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Override PartName="/xl/charts/colors3.xml" ContentType="application/vnd.ms-office.chartcolorstyle+xml"/>
  <Override PartName="/xl/charts/style3.xml" ContentType="application/vnd.ms-office.chartstyle+xml"/>
  <Override PartName="/xl/charts/colors4.xml" ContentType="application/vnd.ms-office.chartcolorstyle+xml"/>
  <Override PartName="/xl/charts/style4.xml" ContentType="application/vnd.ms-office.chartstyle+xml"/>
  <Override PartName="/xl/charts/colors5.xml" ContentType="application/vnd.ms-office.chartcolorstyle+xml"/>
  <Override PartName="/xl/charts/style5.xml" ContentType="application/vnd.ms-office.chartstyle+xml"/>
  <Override PartName="/xl/charts/colors6.xml" ContentType="application/vnd.ms-office.chartcolorstyle+xml"/>
  <Override PartName="/xl/charts/style6.xml" ContentType="application/vnd.ms-office.chartstyle+xml"/>
  <Override PartName="/xl/charts/colors7.xml" ContentType="application/vnd.ms-office.chartcolorstyle+xml"/>
  <Override PartName="/xl/charts/style7.xml" ContentType="application/vnd.ms-office.chartstyle+xml"/>
  <Override PartName="/xl/charts/colors8.xml" ContentType="application/vnd.ms-office.chartcolorstyle+xml"/>
  <Override PartName="/xl/charts/style8.xml" ContentType="application/vnd.ms-office.chartstyle+xml"/>
  <Override PartName="/xl/charts/colors9.xml" ContentType="application/vnd.ms-office.chartcolorstyle+xml"/>
  <Override PartName="/xl/charts/style9.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19200" windowHeight="7155"/>
  </bookViews>
  <sheets>
    <sheet name="Measure Tables" sheetId="1" r:id="rId1"/>
    <sheet name="TRC Figure" sheetId="4" r:id="rId2"/>
    <sheet name="2011 PA Study-Res" sheetId="2" r:id="rId3"/>
    <sheet name="Adaptation" sheetId="3" r:id="rId4"/>
    <sheet name="Sorted" sheetId="5" r:id="rId5"/>
    <sheet name="VEIC Flag" sheetId="6" r:id="rId6"/>
    <sheet name="Figures by Program and End Use " sheetId="7" r:id="rId7"/>
  </sheets>
  <externalReferences>
    <externalReference r:id="rId8"/>
  </externalReferences>
  <definedNames>
    <definedName name="_xlnm._FilterDatabase" localSheetId="0" hidden="1">'Measure Tables'!$A$2:$AZ$283</definedName>
    <definedName name="B_Incent_Percent">'[1]Scenario Dashboard'!#REF!</definedName>
    <definedName name="Discount_Rate">'[1]Summary Parameters'!$C$19</definedName>
    <definedName name="Dual_Life_Split">'[1]Scenario Dashboard'!$M$27</definedName>
    <definedName name="measure_name">'TRC Figure'!$A$1:$A$203</definedName>
    <definedName name="perc_change">'TRC Figure'!$D$1:$D$203</definedName>
    <definedName name="RDR">'Measure Tables'!$R$3</definedName>
    <definedName name="ReEngage">'[1]Scenario Dashboard'!$B$107</definedName>
    <definedName name="RePartic">'[1]Scenario Dashboard'!$B$109</definedName>
    <definedName name="Scenario_Incent_Percent">'[1]Scenario Dashboard'!#REF!</definedName>
    <definedName name="trc">'TRC Figure'!$B$1:$B$203</definedName>
    <definedName name="trc_neb">'TRC Figure'!$C$1:$C$203</definedName>
    <definedName name="TRC_Screen">'[1]Scenario Dashboard'!$B$101</definedName>
  </definedNames>
  <calcPr calcId="152511"/>
</workbook>
</file>

<file path=xl/calcChain.xml><?xml version="1.0" encoding="utf-8"?>
<calcChain xmlns="http://schemas.openxmlformats.org/spreadsheetml/2006/main">
  <c r="I56" i="3" l="1"/>
  <c r="I55" i="3"/>
  <c r="E45" i="7" l="1"/>
  <c r="E46" i="7"/>
  <c r="E44" i="7"/>
  <c r="E40" i="7"/>
  <c r="E36" i="7"/>
  <c r="E37" i="7"/>
  <c r="E38" i="7"/>
  <c r="E39" i="7"/>
  <c r="E35" i="7"/>
  <c r="E31" i="7"/>
  <c r="E29" i="7"/>
  <c r="E30" i="7"/>
  <c r="E28" i="7"/>
  <c r="E24" i="7" l="1"/>
  <c r="E23" i="7"/>
  <c r="E17" i="7"/>
  <c r="E18" i="7"/>
  <c r="E19" i="7"/>
  <c r="E16" i="7"/>
  <c r="E12" i="7"/>
  <c r="E6" i="7"/>
  <c r="E7" i="7"/>
  <c r="E8" i="7"/>
  <c r="E9" i="7"/>
  <c r="E10" i="7"/>
  <c r="E11" i="7"/>
  <c r="BN210" i="1" l="1"/>
  <c r="CC146" i="1" l="1"/>
  <c r="CC147" i="1"/>
  <c r="CC148" i="1"/>
  <c r="CC149" i="1"/>
  <c r="CC150" i="1"/>
  <c r="AC252" i="1" l="1"/>
  <c r="AC253" i="1"/>
  <c r="BC11" i="4" l="1"/>
  <c r="BC12" i="4"/>
  <c r="BC13" i="4"/>
  <c r="CK206" i="1" l="1"/>
  <c r="CK205" i="1"/>
  <c r="CK204" i="1"/>
  <c r="CK203" i="1"/>
  <c r="CK202" i="1"/>
  <c r="CK201" i="1"/>
  <c r="BW206" i="1"/>
  <c r="BW205" i="1"/>
  <c r="BW204" i="1"/>
  <c r="BW203" i="1"/>
  <c r="BW202" i="1"/>
  <c r="BW201" i="1"/>
  <c r="BI206" i="1"/>
  <c r="BJ206" i="1" s="1"/>
  <c r="BI205" i="1"/>
  <c r="BJ205" i="1" s="1"/>
  <c r="BI204" i="1"/>
  <c r="BJ204" i="1" s="1"/>
  <c r="BI203" i="1"/>
  <c r="BJ203" i="1" s="1"/>
  <c r="BI202" i="1"/>
  <c r="BJ202" i="1" s="1"/>
  <c r="BI201" i="1"/>
  <c r="BJ201" i="1" s="1"/>
  <c r="S283" i="1"/>
  <c r="S282" i="1"/>
  <c r="S281" i="1"/>
  <c r="S266" i="1"/>
  <c r="S265" i="1"/>
  <c r="S264" i="1"/>
  <c r="S263" i="1"/>
  <c r="S260" i="1"/>
  <c r="S259" i="1"/>
  <c r="S242" i="1"/>
  <c r="S241" i="1"/>
  <c r="S240" i="1"/>
  <c r="S239" i="1"/>
  <c r="S238" i="1"/>
  <c r="S237" i="1"/>
  <c r="S236" i="1"/>
  <c r="S235" i="1"/>
  <c r="S227" i="1"/>
  <c r="S226" i="1"/>
  <c r="S225" i="1"/>
  <c r="S224" i="1"/>
  <c r="S223" i="1"/>
  <c r="S222" i="1"/>
  <c r="S221" i="1"/>
  <c r="S220" i="1"/>
  <c r="S219" i="1"/>
  <c r="S217" i="1"/>
  <c r="S216" i="1"/>
  <c r="S158" i="1"/>
  <c r="S157" i="1"/>
  <c r="S156" i="1"/>
  <c r="S155" i="1"/>
  <c r="S154" i="1"/>
  <c r="S153" i="1"/>
  <c r="S152" i="1"/>
  <c r="S151" i="1"/>
  <c r="S143" i="1"/>
  <c r="S142" i="1"/>
  <c r="S141" i="1"/>
  <c r="S140" i="1"/>
  <c r="S139" i="1"/>
  <c r="S138" i="1"/>
  <c r="S137" i="1"/>
  <c r="S136" i="1"/>
  <c r="S135" i="1"/>
  <c r="S134" i="1"/>
  <c r="S133" i="1"/>
  <c r="S132" i="1"/>
  <c r="S131" i="1"/>
  <c r="S130" i="1"/>
  <c r="S129" i="1"/>
  <c r="S128" i="1"/>
  <c r="S127" i="1"/>
  <c r="S126" i="1"/>
  <c r="S125" i="1"/>
  <c r="S124" i="1"/>
  <c r="S123" i="1"/>
  <c r="S122" i="1"/>
  <c r="S59" i="1"/>
  <c r="S58" i="1"/>
  <c r="S57" i="1"/>
  <c r="S56" i="1"/>
  <c r="S55" i="1"/>
  <c r="S54" i="1"/>
  <c r="S53" i="1"/>
  <c r="S52" i="1"/>
  <c r="S51" i="1"/>
  <c r="S50" i="1"/>
  <c r="S49" i="1"/>
  <c r="S48" i="1"/>
  <c r="S47" i="1"/>
  <c r="S46" i="1"/>
  <c r="S45" i="1"/>
  <c r="S44" i="1"/>
  <c r="S43" i="1"/>
  <c r="S42" i="1"/>
  <c r="S41" i="1"/>
  <c r="S40" i="1"/>
  <c r="S39" i="1"/>
  <c r="S38" i="1"/>
  <c r="S37" i="1"/>
  <c r="S36" i="1"/>
  <c r="S35" i="1"/>
  <c r="S34" i="1"/>
  <c r="S33" i="1"/>
  <c r="S32" i="1"/>
  <c r="S31" i="1"/>
  <c r="S30" i="1"/>
  <c r="S29" i="1"/>
  <c r="S28" i="1"/>
  <c r="S26" i="1"/>
  <c r="S25" i="1"/>
  <c r="S24" i="1"/>
  <c r="S17" i="1"/>
  <c r="S16" i="1"/>
  <c r="S15" i="1"/>
  <c r="S14" i="1"/>
  <c r="S13" i="1"/>
  <c r="R283" i="1"/>
  <c r="R282" i="1"/>
  <c r="R281" i="1"/>
  <c r="R280" i="1"/>
  <c r="R279" i="1"/>
  <c r="R278" i="1"/>
  <c r="R277" i="1"/>
  <c r="R276" i="1"/>
  <c r="R275" i="1"/>
  <c r="R266" i="1"/>
  <c r="R264" i="1"/>
  <c r="R263" i="1"/>
  <c r="R260" i="1"/>
  <c r="R259" i="1"/>
  <c r="R244" i="1"/>
  <c r="R243" i="1"/>
  <c r="R227" i="1"/>
  <c r="R226" i="1"/>
  <c r="R224" i="1"/>
  <c r="R223" i="1"/>
  <c r="R218" i="1"/>
  <c r="R208" i="1"/>
  <c r="R207" i="1"/>
  <c r="R200" i="1"/>
  <c r="R199"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R10" i="1"/>
  <c r="R9" i="1"/>
  <c r="R8" i="1"/>
  <c r="R7" i="1"/>
  <c r="R6" i="1"/>
  <c r="R5" i="1"/>
  <c r="CK260" i="1" l="1"/>
  <c r="CQ260" i="1" s="1"/>
  <c r="BW32" i="1"/>
  <c r="CC32" i="1" s="1"/>
  <c r="BW44" i="1"/>
  <c r="BX44" i="1" s="1"/>
  <c r="CK264" i="1"/>
  <c r="CL264" i="1" s="1"/>
  <c r="BW128" i="1"/>
  <c r="BW140" i="1"/>
  <c r="BI17" i="1"/>
  <c r="BI141" i="1"/>
  <c r="BW156" i="1"/>
  <c r="CK281" i="1"/>
  <c r="BI156" i="1"/>
  <c r="BI133" i="1"/>
  <c r="CK33" i="1"/>
  <c r="BI37" i="1"/>
  <c r="BI45" i="1"/>
  <c r="BW53" i="1"/>
  <c r="CK266" i="1"/>
  <c r="CK283" i="1"/>
  <c r="BW14" i="1"/>
  <c r="BI31" i="1"/>
  <c r="BW43" i="1"/>
  <c r="BI47" i="1"/>
  <c r="BI55" i="1"/>
  <c r="BW59" i="1"/>
  <c r="CK123" i="1"/>
  <c r="BI127" i="1"/>
  <c r="BI143" i="1"/>
  <c r="CK154" i="1"/>
  <c r="BI226" i="1"/>
  <c r="BW39" i="1"/>
  <c r="BI39" i="1"/>
  <c r="BI43" i="1"/>
  <c r="CK35" i="1"/>
  <c r="BW35" i="1"/>
  <c r="BI35" i="1"/>
  <c r="BW135" i="1"/>
  <c r="BI135" i="1"/>
  <c r="BI139" i="1"/>
  <c r="CK139" i="1"/>
  <c r="BI154" i="1"/>
  <c r="CK14" i="1"/>
  <c r="BW139" i="1"/>
  <c r="CK51" i="1"/>
  <c r="BI51" i="1"/>
  <c r="BW55" i="1"/>
  <c r="CK55" i="1"/>
  <c r="CK59" i="1"/>
  <c r="BI59" i="1"/>
  <c r="BW123" i="1"/>
  <c r="BI123" i="1"/>
  <c r="CK131" i="1"/>
  <c r="BW131" i="1"/>
  <c r="BI131" i="1"/>
  <c r="BW158" i="1"/>
  <c r="CK158" i="1"/>
  <c r="BI158" i="1"/>
  <c r="CK43" i="1"/>
  <c r="CK156" i="1"/>
  <c r="BI53" i="1"/>
  <c r="BW28" i="1"/>
  <c r="CK28" i="1"/>
  <c r="BW52" i="1"/>
  <c r="CK52" i="1"/>
  <c r="BW124" i="1"/>
  <c r="CK124" i="1"/>
  <c r="BW223" i="1"/>
  <c r="CK223" i="1"/>
  <c r="CK44" i="1"/>
  <c r="CK32" i="1"/>
  <c r="CK53" i="1"/>
  <c r="CK140" i="1"/>
  <c r="BW15" i="1"/>
  <c r="BI15" i="1"/>
  <c r="CK15" i="1"/>
  <c r="CK24" i="1"/>
  <c r="BW24" i="1"/>
  <c r="BW36" i="1"/>
  <c r="CK36" i="1"/>
  <c r="BW40" i="1"/>
  <c r="CK40" i="1"/>
  <c r="BW48" i="1"/>
  <c r="CK48" i="1"/>
  <c r="BW56" i="1"/>
  <c r="CK56" i="1"/>
  <c r="BW132" i="1"/>
  <c r="CK132" i="1"/>
  <c r="BW136" i="1"/>
  <c r="CK136" i="1"/>
  <c r="BW151" i="1"/>
  <c r="CK151" i="1"/>
  <c r="BW155" i="1"/>
  <c r="CK155" i="1"/>
  <c r="BW227" i="1"/>
  <c r="CK227" i="1"/>
  <c r="CK128" i="1"/>
  <c r="BW16" i="1"/>
  <c r="CK16" i="1"/>
  <c r="BW25" i="1"/>
  <c r="CK25" i="1"/>
  <c r="BI25" i="1"/>
  <c r="BW29" i="1"/>
  <c r="CK29" i="1"/>
  <c r="BW33" i="1"/>
  <c r="BI33" i="1"/>
  <c r="BW37" i="1"/>
  <c r="CK37" i="1"/>
  <c r="BW41" i="1"/>
  <c r="CK41" i="1"/>
  <c r="BI41" i="1"/>
  <c r="BW45" i="1"/>
  <c r="CK45" i="1"/>
  <c r="BW49" i="1"/>
  <c r="CK49" i="1"/>
  <c r="BI49" i="1"/>
  <c r="BW57" i="1"/>
  <c r="CK57" i="1"/>
  <c r="BI57" i="1"/>
  <c r="BW125" i="1"/>
  <c r="CK125" i="1"/>
  <c r="BW129" i="1"/>
  <c r="BI129" i="1"/>
  <c r="BW133" i="1"/>
  <c r="CK133" i="1"/>
  <c r="BW137" i="1"/>
  <c r="CK137" i="1"/>
  <c r="BI137" i="1"/>
  <c r="BW141" i="1"/>
  <c r="CK141" i="1"/>
  <c r="BW152" i="1"/>
  <c r="CK152" i="1"/>
  <c r="BI152" i="1"/>
  <c r="BW224" i="1"/>
  <c r="CK224" i="1"/>
  <c r="BI224" i="1"/>
  <c r="BW259" i="1"/>
  <c r="CK259" i="1"/>
  <c r="BW263" i="1"/>
  <c r="CK263" i="1"/>
  <c r="BW282" i="1"/>
  <c r="CK282" i="1"/>
  <c r="BI29" i="1"/>
  <c r="BI125" i="1"/>
  <c r="CK129" i="1"/>
  <c r="BW13" i="1"/>
  <c r="CK13" i="1"/>
  <c r="BW17" i="1"/>
  <c r="CK17" i="1"/>
  <c r="BW26" i="1"/>
  <c r="CK26" i="1"/>
  <c r="BW30" i="1"/>
  <c r="CK30" i="1"/>
  <c r="BW34" i="1"/>
  <c r="CK34" i="1"/>
  <c r="BW38" i="1"/>
  <c r="CK38" i="1"/>
  <c r="BW42" i="1"/>
  <c r="CK42" i="1"/>
  <c r="BW46" i="1"/>
  <c r="CK46" i="1"/>
  <c r="BW50" i="1"/>
  <c r="CK50" i="1"/>
  <c r="BW54" i="1"/>
  <c r="CK54" i="1"/>
  <c r="BW58" i="1"/>
  <c r="CK58" i="1"/>
  <c r="BW122" i="1"/>
  <c r="CK122" i="1"/>
  <c r="BW126" i="1"/>
  <c r="CK126" i="1"/>
  <c r="BW130" i="1"/>
  <c r="CK130" i="1"/>
  <c r="BW134" i="1"/>
  <c r="CK134" i="1"/>
  <c r="BW138" i="1"/>
  <c r="CK138" i="1"/>
  <c r="BW142" i="1"/>
  <c r="CK142" i="1"/>
  <c r="BW153" i="1"/>
  <c r="CK153" i="1"/>
  <c r="BW157" i="1"/>
  <c r="CK157" i="1"/>
  <c r="BI13" i="1"/>
  <c r="BW31" i="1"/>
  <c r="CK31" i="1"/>
  <c r="BW47" i="1"/>
  <c r="CK47" i="1"/>
  <c r="BW127" i="1"/>
  <c r="CK127" i="1"/>
  <c r="BW143" i="1"/>
  <c r="CK143" i="1"/>
  <c r="BW226" i="1"/>
  <c r="CK226" i="1"/>
  <c r="BW51" i="1"/>
  <c r="BW154" i="1"/>
  <c r="CK39" i="1"/>
  <c r="CK135" i="1"/>
  <c r="BW266" i="1"/>
  <c r="BI266" i="1"/>
  <c r="BW281" i="1"/>
  <c r="BI281" i="1"/>
  <c r="BI16" i="1"/>
  <c r="BI24" i="1"/>
  <c r="BI28" i="1"/>
  <c r="BI32" i="1"/>
  <c r="BI36" i="1"/>
  <c r="BI40" i="1"/>
  <c r="BI44" i="1"/>
  <c r="BI48" i="1"/>
  <c r="BI52" i="1"/>
  <c r="BI56" i="1"/>
  <c r="BI124" i="1"/>
  <c r="BI128" i="1"/>
  <c r="BI132" i="1"/>
  <c r="BI136" i="1"/>
  <c r="BI140" i="1"/>
  <c r="BI151" i="1"/>
  <c r="BI155" i="1"/>
  <c r="BI263" i="1"/>
  <c r="BW260" i="1"/>
  <c r="BI260" i="1"/>
  <c r="BW264" i="1"/>
  <c r="BI264" i="1"/>
  <c r="BW283" i="1"/>
  <c r="BI283" i="1"/>
  <c r="BI14" i="1"/>
  <c r="BI26" i="1"/>
  <c r="BI30" i="1"/>
  <c r="BI34" i="1"/>
  <c r="BI38" i="1"/>
  <c r="BI42" i="1"/>
  <c r="BI46" i="1"/>
  <c r="BI50" i="1"/>
  <c r="BI54" i="1"/>
  <c r="BI58" i="1"/>
  <c r="BI122" i="1"/>
  <c r="BI126" i="1"/>
  <c r="BI130" i="1"/>
  <c r="BI134" i="1"/>
  <c r="BI138" i="1"/>
  <c r="BI142" i="1"/>
  <c r="BI153" i="1"/>
  <c r="BI157" i="1"/>
  <c r="BI223" i="1"/>
  <c r="BI227" i="1"/>
  <c r="BI259" i="1"/>
  <c r="BI282" i="1"/>
  <c r="BX32" i="1" l="1"/>
  <c r="CL260" i="1"/>
  <c r="CQ264" i="1"/>
  <c r="CC44" i="1"/>
  <c r="F38" i="7"/>
  <c r="G38" i="7" s="1"/>
  <c r="F7" i="7"/>
  <c r="G7" i="7" s="1"/>
  <c r="F9" i="7"/>
  <c r="G9" i="7" s="1"/>
  <c r="F45" i="7"/>
  <c r="G45" i="7" s="1"/>
  <c r="F18" i="7"/>
  <c r="G18" i="7" s="1"/>
  <c r="F44" i="7"/>
  <c r="G44" i="7" s="1"/>
  <c r="F40" i="7"/>
  <c r="G40" i="7" s="1"/>
  <c r="F8" i="7"/>
  <c r="G8" i="7" s="1"/>
  <c r="BO227" i="1"/>
  <c r="BJ227" i="1"/>
  <c r="BO142" i="1"/>
  <c r="BJ142" i="1"/>
  <c r="BO126" i="1"/>
  <c r="BJ126" i="1"/>
  <c r="BO50" i="1"/>
  <c r="BJ50" i="1"/>
  <c r="BO34" i="1"/>
  <c r="BJ34" i="1"/>
  <c r="BO283" i="1"/>
  <c r="BJ283" i="1"/>
  <c r="BO260" i="1"/>
  <c r="BJ260" i="1"/>
  <c r="BO151" i="1"/>
  <c r="BJ151" i="1"/>
  <c r="BO128" i="1"/>
  <c r="BJ128" i="1"/>
  <c r="BO48" i="1"/>
  <c r="BJ48" i="1"/>
  <c r="BO32" i="1"/>
  <c r="BJ32" i="1"/>
  <c r="BO281" i="1"/>
  <c r="BJ281" i="1"/>
  <c r="CQ135" i="1"/>
  <c r="CL135" i="1"/>
  <c r="CQ226" i="1"/>
  <c r="CL226" i="1"/>
  <c r="CQ127" i="1"/>
  <c r="CL127" i="1"/>
  <c r="CQ31" i="1"/>
  <c r="CL31" i="1"/>
  <c r="CC157" i="1"/>
  <c r="BX157" i="1"/>
  <c r="CC142" i="1"/>
  <c r="BX142" i="1"/>
  <c r="CC134" i="1"/>
  <c r="BX134" i="1"/>
  <c r="CC126" i="1"/>
  <c r="BX126" i="1"/>
  <c r="CC58" i="1"/>
  <c r="BX58" i="1"/>
  <c r="CC50" i="1"/>
  <c r="BX50" i="1"/>
  <c r="CC42" i="1"/>
  <c r="BX42" i="1"/>
  <c r="CC34" i="1"/>
  <c r="BX34" i="1"/>
  <c r="CC26" i="1"/>
  <c r="BX26" i="1"/>
  <c r="CC13" i="1"/>
  <c r="BX13" i="1"/>
  <c r="CQ282" i="1"/>
  <c r="CL282" i="1"/>
  <c r="CQ259" i="1"/>
  <c r="CL259" i="1"/>
  <c r="CC224" i="1"/>
  <c r="BX224" i="1"/>
  <c r="CQ141" i="1"/>
  <c r="CL141" i="1"/>
  <c r="CC137" i="1"/>
  <c r="BX137" i="1"/>
  <c r="CC129" i="1"/>
  <c r="BX129" i="1"/>
  <c r="CQ57" i="1"/>
  <c r="CL57" i="1"/>
  <c r="CC49" i="1"/>
  <c r="BX49" i="1"/>
  <c r="CQ41" i="1"/>
  <c r="CL41" i="1"/>
  <c r="BO33" i="1"/>
  <c r="BJ33" i="1"/>
  <c r="BO25" i="1"/>
  <c r="BJ25" i="1"/>
  <c r="CC16" i="1"/>
  <c r="BX16" i="1"/>
  <c r="CQ155" i="1"/>
  <c r="CL155" i="1"/>
  <c r="CQ136" i="1"/>
  <c r="CL136" i="1"/>
  <c r="CQ56" i="1"/>
  <c r="CL56" i="1"/>
  <c r="CQ40" i="1"/>
  <c r="CL40" i="1"/>
  <c r="CC24" i="1"/>
  <c r="BX24" i="1"/>
  <c r="CC15" i="1"/>
  <c r="BX15" i="1"/>
  <c r="CQ44" i="1"/>
  <c r="CL44" i="1"/>
  <c r="CC124" i="1"/>
  <c r="BX124" i="1"/>
  <c r="CC28" i="1"/>
  <c r="BX28" i="1"/>
  <c r="BO158" i="1"/>
  <c r="BJ158" i="1"/>
  <c r="CC131" i="1"/>
  <c r="BX131" i="1"/>
  <c r="BO59" i="1"/>
  <c r="BJ59" i="1"/>
  <c r="BO51" i="1"/>
  <c r="BJ51" i="1"/>
  <c r="BO154" i="1"/>
  <c r="BJ154" i="1"/>
  <c r="CC135" i="1"/>
  <c r="BX135" i="1"/>
  <c r="BO43" i="1"/>
  <c r="BJ43" i="1"/>
  <c r="CQ154" i="1"/>
  <c r="CL154" i="1"/>
  <c r="CC59" i="1"/>
  <c r="BX59" i="1"/>
  <c r="BO31" i="1"/>
  <c r="BJ31" i="1"/>
  <c r="CC53" i="1"/>
  <c r="BX53" i="1"/>
  <c r="BO133" i="1"/>
  <c r="BJ133" i="1"/>
  <c r="BO141" i="1"/>
  <c r="BJ141" i="1"/>
  <c r="BO223" i="1"/>
  <c r="BJ223" i="1"/>
  <c r="BO138" i="1"/>
  <c r="BJ138" i="1"/>
  <c r="BO122" i="1"/>
  <c r="BJ122" i="1"/>
  <c r="BO46" i="1"/>
  <c r="BJ46" i="1"/>
  <c r="BO30" i="1"/>
  <c r="BJ30" i="1"/>
  <c r="CC283" i="1"/>
  <c r="BX283" i="1"/>
  <c r="CC260" i="1"/>
  <c r="BX260" i="1"/>
  <c r="BO140" i="1"/>
  <c r="BJ140" i="1"/>
  <c r="BO124" i="1"/>
  <c r="BJ124" i="1"/>
  <c r="BO44" i="1"/>
  <c r="BJ44" i="1"/>
  <c r="BO28" i="1"/>
  <c r="BJ28" i="1"/>
  <c r="CC281" i="1"/>
  <c r="BX281" i="1"/>
  <c r="CQ39" i="1"/>
  <c r="CL39" i="1"/>
  <c r="CC226" i="1"/>
  <c r="BX226" i="1"/>
  <c r="CC127" i="1"/>
  <c r="BX127" i="1"/>
  <c r="CC31" i="1"/>
  <c r="BX31" i="1"/>
  <c r="CQ153" i="1"/>
  <c r="CL153" i="1"/>
  <c r="CQ138" i="1"/>
  <c r="CL138" i="1"/>
  <c r="CQ130" i="1"/>
  <c r="CL130" i="1"/>
  <c r="CQ122" i="1"/>
  <c r="CL122" i="1"/>
  <c r="CQ54" i="1"/>
  <c r="CL54" i="1"/>
  <c r="CQ46" i="1"/>
  <c r="CL46" i="1"/>
  <c r="CQ38" i="1"/>
  <c r="CL38" i="1"/>
  <c r="CQ30" i="1"/>
  <c r="CL30" i="1"/>
  <c r="CQ17" i="1"/>
  <c r="CL17" i="1"/>
  <c r="CQ129" i="1"/>
  <c r="CL129" i="1"/>
  <c r="CC282" i="1"/>
  <c r="BX282" i="1"/>
  <c r="CC259" i="1"/>
  <c r="BX259" i="1"/>
  <c r="BO152" i="1"/>
  <c r="BJ152" i="1"/>
  <c r="CC141" i="1"/>
  <c r="BX141" i="1"/>
  <c r="CQ133" i="1"/>
  <c r="CL133" i="1"/>
  <c r="CQ125" i="1"/>
  <c r="CL125" i="1"/>
  <c r="CC57" i="1"/>
  <c r="BX57" i="1"/>
  <c r="CQ45" i="1"/>
  <c r="CL45" i="1"/>
  <c r="CC41" i="1"/>
  <c r="BX41" i="1"/>
  <c r="CC33" i="1"/>
  <c r="BX33" i="1"/>
  <c r="CQ25" i="1"/>
  <c r="CL25" i="1"/>
  <c r="CQ128" i="1"/>
  <c r="CL128" i="1"/>
  <c r="CC155" i="1"/>
  <c r="BX155" i="1"/>
  <c r="CC136" i="1"/>
  <c r="BX136" i="1"/>
  <c r="CC56" i="1"/>
  <c r="BX56" i="1"/>
  <c r="CC40" i="1"/>
  <c r="BX40" i="1"/>
  <c r="CQ24" i="1"/>
  <c r="CL24" i="1"/>
  <c r="CQ140" i="1"/>
  <c r="CL140" i="1"/>
  <c r="CQ223" i="1"/>
  <c r="CL223" i="1"/>
  <c r="CQ52" i="1"/>
  <c r="CL52" i="1"/>
  <c r="BO53" i="1"/>
  <c r="BJ53" i="1"/>
  <c r="CQ158" i="1"/>
  <c r="CL158" i="1"/>
  <c r="CQ131" i="1"/>
  <c r="CL131" i="1"/>
  <c r="CQ59" i="1"/>
  <c r="CL59" i="1"/>
  <c r="CQ51" i="1"/>
  <c r="CL51" i="1"/>
  <c r="CQ139" i="1"/>
  <c r="CL139" i="1"/>
  <c r="BO35" i="1"/>
  <c r="BJ35" i="1"/>
  <c r="BO39" i="1"/>
  <c r="BJ39" i="1"/>
  <c r="BO143" i="1"/>
  <c r="BJ143" i="1"/>
  <c r="BO55" i="1"/>
  <c r="BJ55" i="1"/>
  <c r="CC14" i="1"/>
  <c r="BX14" i="1"/>
  <c r="BO45" i="1"/>
  <c r="BJ45" i="1"/>
  <c r="BO156" i="1"/>
  <c r="BJ156" i="1"/>
  <c r="BO17" i="1"/>
  <c r="BJ17" i="1"/>
  <c r="BO282" i="1"/>
  <c r="BJ282" i="1"/>
  <c r="BO157" i="1"/>
  <c r="BJ157" i="1"/>
  <c r="BO134" i="1"/>
  <c r="BJ134" i="1"/>
  <c r="BO58" i="1"/>
  <c r="BJ58" i="1"/>
  <c r="BO42" i="1"/>
  <c r="BJ42" i="1"/>
  <c r="BO26" i="1"/>
  <c r="BJ26" i="1"/>
  <c r="BO264" i="1"/>
  <c r="BJ264" i="1"/>
  <c r="BO263" i="1"/>
  <c r="BJ263" i="1"/>
  <c r="BO136" i="1"/>
  <c r="BJ136" i="1"/>
  <c r="BO56" i="1"/>
  <c r="BJ56" i="1"/>
  <c r="BO40" i="1"/>
  <c r="BJ40" i="1"/>
  <c r="BO24" i="1"/>
  <c r="BJ24" i="1"/>
  <c r="BO266" i="1"/>
  <c r="BJ266" i="1"/>
  <c r="CC154" i="1"/>
  <c r="BX154" i="1"/>
  <c r="CQ143" i="1"/>
  <c r="CL143" i="1"/>
  <c r="CQ47" i="1"/>
  <c r="CL47" i="1"/>
  <c r="BO13" i="1"/>
  <c r="BJ13" i="1"/>
  <c r="CC153" i="1"/>
  <c r="BX153" i="1"/>
  <c r="CC138" i="1"/>
  <c r="BX138" i="1"/>
  <c r="CC130" i="1"/>
  <c r="BX130" i="1"/>
  <c r="CC122" i="1"/>
  <c r="BX122" i="1"/>
  <c r="CC54" i="1"/>
  <c r="BX54" i="1"/>
  <c r="CC46" i="1"/>
  <c r="BX46" i="1"/>
  <c r="CC38" i="1"/>
  <c r="BX38" i="1"/>
  <c r="CC30" i="1"/>
  <c r="BX30" i="1"/>
  <c r="CC17" i="1"/>
  <c r="BX17" i="1"/>
  <c r="BO125" i="1"/>
  <c r="BJ125" i="1"/>
  <c r="CQ263" i="1"/>
  <c r="CL263" i="1"/>
  <c r="BO224" i="1"/>
  <c r="BJ224" i="1"/>
  <c r="CQ152" i="1"/>
  <c r="CL152" i="1"/>
  <c r="BO137" i="1"/>
  <c r="BJ137" i="1"/>
  <c r="CC133" i="1"/>
  <c r="BX133" i="1"/>
  <c r="CC125" i="1"/>
  <c r="BX125" i="1"/>
  <c r="BO49" i="1"/>
  <c r="BJ49" i="1"/>
  <c r="CC45" i="1"/>
  <c r="BX45" i="1"/>
  <c r="CQ37" i="1"/>
  <c r="CL37" i="1"/>
  <c r="CQ29" i="1"/>
  <c r="CL29" i="1"/>
  <c r="CC25" i="1"/>
  <c r="BX25" i="1"/>
  <c r="CQ227" i="1"/>
  <c r="CL227" i="1"/>
  <c r="CQ151" i="1"/>
  <c r="CL151" i="1"/>
  <c r="CQ132" i="1"/>
  <c r="CL132" i="1"/>
  <c r="CQ48" i="1"/>
  <c r="CL48" i="1"/>
  <c r="CQ36" i="1"/>
  <c r="CL36" i="1"/>
  <c r="CQ15" i="1"/>
  <c r="CL15" i="1"/>
  <c r="CQ53" i="1"/>
  <c r="CL53" i="1"/>
  <c r="CC223" i="1"/>
  <c r="BX223" i="1"/>
  <c r="CC52" i="1"/>
  <c r="BX52" i="1"/>
  <c r="CQ156" i="1"/>
  <c r="CL156" i="1"/>
  <c r="CC158" i="1"/>
  <c r="BX158" i="1"/>
  <c r="BO123" i="1"/>
  <c r="BJ123" i="1"/>
  <c r="CQ55" i="1"/>
  <c r="CL55" i="1"/>
  <c r="CC139" i="1"/>
  <c r="BX139" i="1"/>
  <c r="BO139" i="1"/>
  <c r="BJ139" i="1"/>
  <c r="CC35" i="1"/>
  <c r="BX35" i="1"/>
  <c r="CC39" i="1"/>
  <c r="BX39" i="1"/>
  <c r="BO127" i="1"/>
  <c r="BJ127" i="1"/>
  <c r="BO47" i="1"/>
  <c r="BJ47" i="1"/>
  <c r="CQ283" i="1"/>
  <c r="CL283" i="1"/>
  <c r="BO37" i="1"/>
  <c r="BJ37" i="1"/>
  <c r="CQ281" i="1"/>
  <c r="CL281" i="1"/>
  <c r="CC140" i="1"/>
  <c r="BX140" i="1"/>
  <c r="BO259" i="1"/>
  <c r="BJ259" i="1"/>
  <c r="BO153" i="1"/>
  <c r="BJ153" i="1"/>
  <c r="BO130" i="1"/>
  <c r="BJ130" i="1"/>
  <c r="BO54" i="1"/>
  <c r="BJ54" i="1"/>
  <c r="BO38" i="1"/>
  <c r="BJ38" i="1"/>
  <c r="BO14" i="1"/>
  <c r="BJ14" i="1"/>
  <c r="CC264" i="1"/>
  <c r="BX264" i="1"/>
  <c r="BO155" i="1"/>
  <c r="BJ155" i="1"/>
  <c r="BO132" i="1"/>
  <c r="BJ132" i="1"/>
  <c r="BO52" i="1"/>
  <c r="BJ52" i="1"/>
  <c r="BO36" i="1"/>
  <c r="BJ36" i="1"/>
  <c r="BO16" i="1"/>
  <c r="BJ16" i="1"/>
  <c r="CC266" i="1"/>
  <c r="BX266" i="1"/>
  <c r="CC51" i="1"/>
  <c r="BX51" i="1"/>
  <c r="CC143" i="1"/>
  <c r="BX143" i="1"/>
  <c r="CC47" i="1"/>
  <c r="BX47" i="1"/>
  <c r="CQ157" i="1"/>
  <c r="CL157" i="1"/>
  <c r="CQ142" i="1"/>
  <c r="CL142" i="1"/>
  <c r="CQ134" i="1"/>
  <c r="CL134" i="1"/>
  <c r="CQ126" i="1"/>
  <c r="CL126" i="1"/>
  <c r="CQ58" i="1"/>
  <c r="CL58" i="1"/>
  <c r="CQ50" i="1"/>
  <c r="CL50" i="1"/>
  <c r="CQ42" i="1"/>
  <c r="CL42" i="1"/>
  <c r="CQ34" i="1"/>
  <c r="CL34" i="1"/>
  <c r="CQ26" i="1"/>
  <c r="CL26" i="1"/>
  <c r="CQ13" i="1"/>
  <c r="CL13" i="1"/>
  <c r="BO29" i="1"/>
  <c r="BJ29" i="1"/>
  <c r="CC263" i="1"/>
  <c r="BX263" i="1"/>
  <c r="CQ224" i="1"/>
  <c r="CL224" i="1"/>
  <c r="CC152" i="1"/>
  <c r="BX152" i="1"/>
  <c r="CQ137" i="1"/>
  <c r="CL137" i="1"/>
  <c r="BO129" i="1"/>
  <c r="BJ129" i="1"/>
  <c r="BO57" i="1"/>
  <c r="BJ57" i="1"/>
  <c r="CQ49" i="1"/>
  <c r="CL49" i="1"/>
  <c r="BO41" i="1"/>
  <c r="BJ41" i="1"/>
  <c r="CC37" i="1"/>
  <c r="BX37" i="1"/>
  <c r="CC29" i="1"/>
  <c r="BX29" i="1"/>
  <c r="CQ16" i="1"/>
  <c r="CL16" i="1"/>
  <c r="CC227" i="1"/>
  <c r="BX227" i="1"/>
  <c r="CC151" i="1"/>
  <c r="BX151" i="1"/>
  <c r="CC132" i="1"/>
  <c r="BX132" i="1"/>
  <c r="CC48" i="1"/>
  <c r="BX48" i="1"/>
  <c r="CC36" i="1"/>
  <c r="BX36" i="1"/>
  <c r="BO15" i="1"/>
  <c r="BJ15" i="1"/>
  <c r="CQ32" i="1"/>
  <c r="CL32" i="1"/>
  <c r="CQ124" i="1"/>
  <c r="CL124" i="1"/>
  <c r="CQ28" i="1"/>
  <c r="CL28" i="1"/>
  <c r="CQ43" i="1"/>
  <c r="CL43" i="1"/>
  <c r="BO131" i="1"/>
  <c r="BJ131" i="1"/>
  <c r="CC123" i="1"/>
  <c r="BX123" i="1"/>
  <c r="CC55" i="1"/>
  <c r="BX55" i="1"/>
  <c r="CQ14" i="1"/>
  <c r="CL14" i="1"/>
  <c r="BO135" i="1"/>
  <c r="BJ135" i="1"/>
  <c r="CQ35" i="1"/>
  <c r="CL35" i="1"/>
  <c r="BO226" i="1"/>
  <c r="BJ226" i="1"/>
  <c r="CQ123" i="1"/>
  <c r="CL123" i="1"/>
  <c r="CC43" i="1"/>
  <c r="BX43" i="1"/>
  <c r="CQ266" i="1"/>
  <c r="CL266" i="1"/>
  <c r="CQ33" i="1"/>
  <c r="CL33" i="1"/>
  <c r="CC156" i="1"/>
  <c r="BX156" i="1"/>
  <c r="CC128" i="1"/>
  <c r="BX128" i="1"/>
  <c r="AG280" i="1"/>
  <c r="AG279" i="1"/>
  <c r="AG278" i="1"/>
  <c r="AG277" i="1"/>
  <c r="AG276" i="1"/>
  <c r="AE276" i="1"/>
  <c r="AD276" i="1"/>
  <c r="AE280" i="1"/>
  <c r="AE279" i="1"/>
  <c r="AE278" i="1"/>
  <c r="AE277" i="1"/>
  <c r="AD280" i="1"/>
  <c r="AD279" i="1"/>
  <c r="AD278" i="1"/>
  <c r="Z280" i="1"/>
  <c r="AC280" i="1" s="1"/>
  <c r="S280" i="1" s="1"/>
  <c r="Z279" i="1"/>
  <c r="AC279" i="1" s="1"/>
  <c r="S279" i="1" s="1"/>
  <c r="Z278" i="1"/>
  <c r="AC278" i="1" s="1"/>
  <c r="S278" i="1" s="1"/>
  <c r="Z277" i="1"/>
  <c r="AC277" i="1" s="1"/>
  <c r="S277" i="1" s="1"/>
  <c r="Z276" i="1"/>
  <c r="Z275" i="1"/>
  <c r="AG275" i="1"/>
  <c r="AE275" i="1"/>
  <c r="AD275" i="1"/>
  <c r="AD277" i="1" s="1"/>
  <c r="AC267" i="1"/>
  <c r="S267" i="1" s="1"/>
  <c r="AJ267" i="1"/>
  <c r="AE267" i="1"/>
  <c r="AD267" i="1"/>
  <c r="AE262" i="1"/>
  <c r="AD262" i="1"/>
  <c r="AG262" i="1"/>
  <c r="AB262" i="1" s="1"/>
  <c r="R262" i="1" s="1"/>
  <c r="AG261" i="1"/>
  <c r="AB261" i="1" s="1"/>
  <c r="R261" i="1" s="1"/>
  <c r="AE261" i="1"/>
  <c r="AD261" i="1"/>
  <c r="AH255" i="1"/>
  <c r="AJ255" i="1"/>
  <c r="AD255" i="1"/>
  <c r="AJ258" i="1"/>
  <c r="AL258" i="1" s="1"/>
  <c r="AJ256" i="1"/>
  <c r="AH256" i="1"/>
  <c r="AD256" i="1"/>
  <c r="AH254" i="1"/>
  <c r="AJ254" i="1"/>
  <c r="AC254" i="1"/>
  <c r="S254" i="1" s="1"/>
  <c r="AD254" i="1"/>
  <c r="S253" i="1"/>
  <c r="AJ257" i="1"/>
  <c r="AH257" i="1"/>
  <c r="AD257" i="1"/>
  <c r="AJ253" i="1"/>
  <c r="AH253" i="1"/>
  <c r="AD253" i="1"/>
  <c r="AH252" i="1"/>
  <c r="AJ252" i="1"/>
  <c r="AD252" i="1"/>
  <c r="AH251" i="1"/>
  <c r="AJ251" i="1"/>
  <c r="AD251" i="1"/>
  <c r="CK279" i="1" l="1"/>
  <c r="BI279" i="1"/>
  <c r="BW279" i="1"/>
  <c r="AL280" i="1"/>
  <c r="CK277" i="1"/>
  <c r="BI277" i="1"/>
  <c r="BW277" i="1"/>
  <c r="BI278" i="1"/>
  <c r="CK278" i="1"/>
  <c r="BW278" i="1"/>
  <c r="BW280" i="1"/>
  <c r="BI280" i="1"/>
  <c r="CK280" i="1"/>
  <c r="AL255" i="1"/>
  <c r="AL276" i="1"/>
  <c r="AC276" i="1" s="1"/>
  <c r="S276" i="1" s="1"/>
  <c r="AL252" i="1"/>
  <c r="AL261" i="1"/>
  <c r="AC262" i="1"/>
  <c r="S262" i="1" s="1"/>
  <c r="CK262" i="1" s="1"/>
  <c r="AL275" i="1"/>
  <c r="AC275" i="1" s="1"/>
  <c r="S275" i="1" s="1"/>
  <c r="AL279" i="1"/>
  <c r="AL251" i="1"/>
  <c r="AL254" i="1"/>
  <c r="AL278" i="1"/>
  <c r="AL256" i="1"/>
  <c r="AL267" i="1"/>
  <c r="AL277" i="1"/>
  <c r="AC261" i="1"/>
  <c r="S261" i="1" s="1"/>
  <c r="BI261" i="1" s="1"/>
  <c r="AL262" i="1"/>
  <c r="AL253" i="1"/>
  <c r="AL257" i="1"/>
  <c r="AM137" i="1"/>
  <c r="AL137" i="1"/>
  <c r="AK137" i="1"/>
  <c r="AI137" i="1"/>
  <c r="AH137" i="1"/>
  <c r="AG137" i="1"/>
  <c r="AF137" i="1"/>
  <c r="AE137" i="1"/>
  <c r="AD137" i="1"/>
  <c r="AM136" i="1"/>
  <c r="AL136" i="1"/>
  <c r="AK136" i="1"/>
  <c r="AI136" i="1"/>
  <c r="AH136" i="1"/>
  <c r="AG136" i="1"/>
  <c r="AF136" i="1"/>
  <c r="AE136" i="1"/>
  <c r="AD136" i="1"/>
  <c r="AM135" i="1"/>
  <c r="AL135" i="1"/>
  <c r="AK135" i="1"/>
  <c r="AI135" i="1"/>
  <c r="AH135" i="1"/>
  <c r="AG135" i="1"/>
  <c r="AF135" i="1"/>
  <c r="AE135" i="1"/>
  <c r="AD135" i="1"/>
  <c r="AM134" i="1"/>
  <c r="AL134" i="1"/>
  <c r="AK134" i="1"/>
  <c r="AI134" i="1"/>
  <c r="AH134" i="1"/>
  <c r="AG134" i="1"/>
  <c r="AF134" i="1"/>
  <c r="AE134" i="1"/>
  <c r="AD134" i="1"/>
  <c r="AI133" i="1"/>
  <c r="AM133" i="1"/>
  <c r="AL133" i="1"/>
  <c r="AK133" i="1"/>
  <c r="AH133" i="1"/>
  <c r="AG133" i="1"/>
  <c r="AF133" i="1"/>
  <c r="AE133" i="1"/>
  <c r="AD133" i="1"/>
  <c r="AH59" i="1"/>
  <c r="AH58" i="1"/>
  <c r="AH57" i="1"/>
  <c r="AH56" i="1"/>
  <c r="AH26" i="1"/>
  <c r="AH25" i="1"/>
  <c r="BO280" i="1" l="1"/>
  <c r="BJ280" i="1"/>
  <c r="BO278" i="1"/>
  <c r="BJ278" i="1"/>
  <c r="BO261" i="1"/>
  <c r="BJ261" i="1"/>
  <c r="CC280" i="1"/>
  <c r="BX280" i="1"/>
  <c r="CC277" i="1"/>
  <c r="BX277" i="1"/>
  <c r="CC279" i="1"/>
  <c r="BX279" i="1"/>
  <c r="CQ262" i="1"/>
  <c r="CL262" i="1"/>
  <c r="CC278" i="1"/>
  <c r="BX278" i="1"/>
  <c r="BO277" i="1"/>
  <c r="BJ277" i="1"/>
  <c r="BO279" i="1"/>
  <c r="BJ279" i="1"/>
  <c r="CQ280" i="1"/>
  <c r="CL280" i="1"/>
  <c r="CQ278" i="1"/>
  <c r="CL278" i="1"/>
  <c r="CQ277" i="1"/>
  <c r="CL277" i="1"/>
  <c r="CQ279" i="1"/>
  <c r="CL279" i="1"/>
  <c r="CK275" i="1"/>
  <c r="BI275" i="1"/>
  <c r="BW275" i="1"/>
  <c r="CK261" i="1"/>
  <c r="BW261" i="1"/>
  <c r="BW262" i="1"/>
  <c r="CK276" i="1"/>
  <c r="BI276" i="1"/>
  <c r="BW276" i="1"/>
  <c r="BI262" i="1"/>
  <c r="AM26" i="1"/>
  <c r="AL26" i="1"/>
  <c r="AK26" i="1"/>
  <c r="AI26" i="1"/>
  <c r="AG26" i="1"/>
  <c r="AF26" i="1"/>
  <c r="AE26" i="1"/>
  <c r="AD26" i="1"/>
  <c r="AM25" i="1"/>
  <c r="AL25" i="1"/>
  <c r="AK25" i="1"/>
  <c r="AI25" i="1"/>
  <c r="AG25" i="1"/>
  <c r="AF25" i="1"/>
  <c r="AE25" i="1"/>
  <c r="AD25" i="1"/>
  <c r="AM59" i="1"/>
  <c r="AM58" i="1"/>
  <c r="AM57" i="1"/>
  <c r="AL59" i="1"/>
  <c r="AL58" i="1"/>
  <c r="AL57" i="1"/>
  <c r="AK59" i="1"/>
  <c r="AK58" i="1"/>
  <c r="AK57" i="1"/>
  <c r="AI59" i="1"/>
  <c r="AI58" i="1"/>
  <c r="AI57" i="1"/>
  <c r="AG59" i="1"/>
  <c r="AG58" i="1"/>
  <c r="AG57" i="1"/>
  <c r="AF59" i="1"/>
  <c r="AF58" i="1"/>
  <c r="AF57" i="1"/>
  <c r="AE59" i="1"/>
  <c r="AE58" i="1"/>
  <c r="AE57" i="1"/>
  <c r="AD59" i="1"/>
  <c r="AD58" i="1"/>
  <c r="AD57" i="1"/>
  <c r="AL56" i="1"/>
  <c r="AM56" i="1"/>
  <c r="AK56" i="1"/>
  <c r="AI56" i="1"/>
  <c r="AG56" i="1"/>
  <c r="AF56" i="1"/>
  <c r="AE56" i="1"/>
  <c r="AD56" i="1"/>
  <c r="AD158" i="1"/>
  <c r="AD157" i="1"/>
  <c r="AE157" i="1" s="1"/>
  <c r="AF157" i="1" s="1"/>
  <c r="AG157" i="1" s="1"/>
  <c r="AH157" i="1" s="1"/>
  <c r="AD156" i="1"/>
  <c r="AE156" i="1" s="1"/>
  <c r="AF156" i="1" s="1"/>
  <c r="AG156" i="1" s="1"/>
  <c r="AH156" i="1" s="1"/>
  <c r="AD155" i="1"/>
  <c r="AE155" i="1" s="1"/>
  <c r="AF155" i="1" s="1"/>
  <c r="AG155" i="1" s="1"/>
  <c r="AH155" i="1" s="1"/>
  <c r="AD154" i="1"/>
  <c r="AE154" i="1" s="1"/>
  <c r="AF154" i="1" s="1"/>
  <c r="AG154" i="1" s="1"/>
  <c r="AH154" i="1" s="1"/>
  <c r="AD153" i="1"/>
  <c r="AE153" i="1" s="1"/>
  <c r="AF153" i="1" s="1"/>
  <c r="AG153" i="1" s="1"/>
  <c r="AH153" i="1" s="1"/>
  <c r="AD152" i="1"/>
  <c r="AE152" i="1" s="1"/>
  <c r="AF152" i="1" s="1"/>
  <c r="AG152" i="1" s="1"/>
  <c r="AH152" i="1" s="1"/>
  <c r="AD151" i="1"/>
  <c r="AE151" i="1" s="1"/>
  <c r="AF151" i="1" s="1"/>
  <c r="AG151" i="1" s="1"/>
  <c r="AH151" i="1" s="1"/>
  <c r="AD55" i="1"/>
  <c r="AE55" i="1" s="1"/>
  <c r="AF55" i="1" s="1"/>
  <c r="AG55" i="1" s="1"/>
  <c r="AH55" i="1" s="1"/>
  <c r="AD54" i="1"/>
  <c r="AE54" i="1" s="1"/>
  <c r="AF54" i="1" s="1"/>
  <c r="AG54" i="1" s="1"/>
  <c r="AH54" i="1" s="1"/>
  <c r="AD53" i="1"/>
  <c r="AE53" i="1" s="1"/>
  <c r="AF53" i="1" s="1"/>
  <c r="AG53" i="1" s="1"/>
  <c r="AH53" i="1" s="1"/>
  <c r="AD52" i="1"/>
  <c r="AE52" i="1" s="1"/>
  <c r="AF52" i="1" s="1"/>
  <c r="AG52" i="1" s="1"/>
  <c r="AH52" i="1" s="1"/>
  <c r="AD51" i="1"/>
  <c r="AE51" i="1" s="1"/>
  <c r="AF51" i="1" s="1"/>
  <c r="AG51" i="1" s="1"/>
  <c r="AH51" i="1" s="1"/>
  <c r="AD50" i="1"/>
  <c r="AE50" i="1" s="1"/>
  <c r="AF50" i="1" s="1"/>
  <c r="AG50" i="1" s="1"/>
  <c r="AH50" i="1" s="1"/>
  <c r="AD49" i="1"/>
  <c r="AE49" i="1" s="1"/>
  <c r="AF49" i="1" s="1"/>
  <c r="AG49" i="1" s="1"/>
  <c r="AH49" i="1" s="1"/>
  <c r="AD48" i="1"/>
  <c r="AE48" i="1" s="1"/>
  <c r="AF48" i="1" s="1"/>
  <c r="AG48" i="1" s="1"/>
  <c r="AH48" i="1" s="1"/>
  <c r="AD47" i="1"/>
  <c r="AE47" i="1" s="1"/>
  <c r="AF47" i="1" s="1"/>
  <c r="AG47" i="1" s="1"/>
  <c r="AH47" i="1" s="1"/>
  <c r="AD46" i="1"/>
  <c r="AE46" i="1" s="1"/>
  <c r="AF46" i="1" s="1"/>
  <c r="AG46" i="1" s="1"/>
  <c r="AH46" i="1" s="1"/>
  <c r="AD45" i="1"/>
  <c r="AE45" i="1" s="1"/>
  <c r="AF45" i="1" s="1"/>
  <c r="AG45" i="1" s="1"/>
  <c r="AH45" i="1" s="1"/>
  <c r="AD44" i="1"/>
  <c r="AE44" i="1" s="1"/>
  <c r="AF44" i="1" s="1"/>
  <c r="AG44" i="1" s="1"/>
  <c r="AH44" i="1" s="1"/>
  <c r="AD43" i="1"/>
  <c r="AE43" i="1" s="1"/>
  <c r="AF43" i="1" s="1"/>
  <c r="AG43" i="1" s="1"/>
  <c r="AH43" i="1" s="1"/>
  <c r="AD42" i="1"/>
  <c r="AE42" i="1" s="1"/>
  <c r="AF42" i="1" s="1"/>
  <c r="AG42" i="1" s="1"/>
  <c r="AH42" i="1" s="1"/>
  <c r="AD41" i="1"/>
  <c r="AE41" i="1" s="1"/>
  <c r="AF41" i="1" s="1"/>
  <c r="AG41" i="1" s="1"/>
  <c r="AH41" i="1" s="1"/>
  <c r="AD40" i="1"/>
  <c r="AE40" i="1" s="1"/>
  <c r="AF40" i="1" s="1"/>
  <c r="AG40" i="1" s="1"/>
  <c r="AH40" i="1" s="1"/>
  <c r="AD39" i="1"/>
  <c r="AE39" i="1" s="1"/>
  <c r="AF39" i="1" s="1"/>
  <c r="AG39" i="1" s="1"/>
  <c r="AH39" i="1" s="1"/>
  <c r="AD38" i="1"/>
  <c r="AE38" i="1" s="1"/>
  <c r="AF38" i="1" s="1"/>
  <c r="AG38" i="1" s="1"/>
  <c r="AH38" i="1" s="1"/>
  <c r="AD37" i="1"/>
  <c r="AE37" i="1" s="1"/>
  <c r="AF37" i="1" s="1"/>
  <c r="AG37" i="1" s="1"/>
  <c r="AH37" i="1" s="1"/>
  <c r="AD36" i="1"/>
  <c r="AE36" i="1" s="1"/>
  <c r="AF36" i="1" s="1"/>
  <c r="AG36" i="1" s="1"/>
  <c r="AH36" i="1" s="1"/>
  <c r="AD35" i="1"/>
  <c r="AE35" i="1" s="1"/>
  <c r="AF35" i="1" s="1"/>
  <c r="AG35" i="1" s="1"/>
  <c r="AH35" i="1" s="1"/>
  <c r="AD34" i="1"/>
  <c r="AE34" i="1" s="1"/>
  <c r="AF34" i="1" s="1"/>
  <c r="AG34" i="1" s="1"/>
  <c r="AH34" i="1" s="1"/>
  <c r="AD33" i="1"/>
  <c r="AE33" i="1" s="1"/>
  <c r="AF33" i="1" s="1"/>
  <c r="AG33" i="1" s="1"/>
  <c r="AH33" i="1" s="1"/>
  <c r="AD32" i="1"/>
  <c r="AE32" i="1" s="1"/>
  <c r="AF32" i="1" s="1"/>
  <c r="AG32" i="1" s="1"/>
  <c r="AH32" i="1" s="1"/>
  <c r="AD31" i="1"/>
  <c r="AE31" i="1" s="1"/>
  <c r="AF31" i="1" s="1"/>
  <c r="AG31" i="1" s="1"/>
  <c r="AH31" i="1" s="1"/>
  <c r="AD30" i="1"/>
  <c r="AE30" i="1" s="1"/>
  <c r="AF30" i="1" s="1"/>
  <c r="AG30" i="1" s="1"/>
  <c r="AH30" i="1" s="1"/>
  <c r="AD29" i="1"/>
  <c r="AE29" i="1" s="1"/>
  <c r="AF29" i="1" s="1"/>
  <c r="AG29" i="1" s="1"/>
  <c r="AH29" i="1" s="1"/>
  <c r="AD28" i="1"/>
  <c r="AE28" i="1" s="1"/>
  <c r="AF28" i="1" s="1"/>
  <c r="AG28" i="1" s="1"/>
  <c r="AH28" i="1" s="1"/>
  <c r="AI158" i="1"/>
  <c r="AK158" i="1" s="1"/>
  <c r="AL158" i="1" s="1"/>
  <c r="AM158" i="1" s="1"/>
  <c r="AI157" i="1"/>
  <c r="AK157" i="1" s="1"/>
  <c r="AL157" i="1" s="1"/>
  <c r="AM157" i="1" s="1"/>
  <c r="AI156" i="1"/>
  <c r="AK156" i="1" s="1"/>
  <c r="AL156" i="1" s="1"/>
  <c r="AM156" i="1" s="1"/>
  <c r="AI155" i="1"/>
  <c r="AK155" i="1" s="1"/>
  <c r="AL155" i="1" s="1"/>
  <c r="AM155" i="1" s="1"/>
  <c r="AI154" i="1"/>
  <c r="AK154" i="1" s="1"/>
  <c r="AL154" i="1" s="1"/>
  <c r="AM154" i="1" s="1"/>
  <c r="AI153" i="1"/>
  <c r="AK153" i="1" s="1"/>
  <c r="AL153" i="1" s="1"/>
  <c r="AM153" i="1" s="1"/>
  <c r="AI152" i="1"/>
  <c r="AK152" i="1" s="1"/>
  <c r="AL152" i="1" s="1"/>
  <c r="AM152" i="1" s="1"/>
  <c r="AI151" i="1"/>
  <c r="AK151" i="1" s="1"/>
  <c r="AL151" i="1" s="1"/>
  <c r="AM151" i="1" s="1"/>
  <c r="AI55" i="1"/>
  <c r="AK55" i="1" s="1"/>
  <c r="AL55" i="1" s="1"/>
  <c r="AM55" i="1" s="1"/>
  <c r="AI54" i="1"/>
  <c r="AK54" i="1" s="1"/>
  <c r="AL54" i="1" s="1"/>
  <c r="AM54" i="1" s="1"/>
  <c r="AI53" i="1"/>
  <c r="AK53" i="1" s="1"/>
  <c r="AL53" i="1" s="1"/>
  <c r="AM53" i="1" s="1"/>
  <c r="AI52" i="1"/>
  <c r="AK52" i="1" s="1"/>
  <c r="AL52" i="1" s="1"/>
  <c r="AM52" i="1" s="1"/>
  <c r="AI51" i="1"/>
  <c r="AK51" i="1" s="1"/>
  <c r="AL51" i="1" s="1"/>
  <c r="AM51" i="1" s="1"/>
  <c r="AI50" i="1"/>
  <c r="AK50" i="1" s="1"/>
  <c r="AL50" i="1" s="1"/>
  <c r="AM50" i="1" s="1"/>
  <c r="AI49" i="1"/>
  <c r="AK49" i="1" s="1"/>
  <c r="AL49" i="1" s="1"/>
  <c r="AM49" i="1" s="1"/>
  <c r="AI48" i="1"/>
  <c r="AK48" i="1" s="1"/>
  <c r="AL48" i="1" s="1"/>
  <c r="AM48" i="1" s="1"/>
  <c r="AI47" i="1"/>
  <c r="AK47" i="1" s="1"/>
  <c r="AL47" i="1" s="1"/>
  <c r="AM47" i="1" s="1"/>
  <c r="AI46" i="1"/>
  <c r="AK46" i="1" s="1"/>
  <c r="AL46" i="1" s="1"/>
  <c r="AM46" i="1" s="1"/>
  <c r="AI45" i="1"/>
  <c r="AK45" i="1" s="1"/>
  <c r="AL45" i="1" s="1"/>
  <c r="AM45" i="1" s="1"/>
  <c r="AI44" i="1"/>
  <c r="AK44" i="1" s="1"/>
  <c r="AL44" i="1" s="1"/>
  <c r="AM44" i="1" s="1"/>
  <c r="AI43" i="1"/>
  <c r="AK43" i="1" s="1"/>
  <c r="AL43" i="1" s="1"/>
  <c r="AM43" i="1" s="1"/>
  <c r="AI42" i="1"/>
  <c r="AK42" i="1" s="1"/>
  <c r="AL42" i="1" s="1"/>
  <c r="AM42" i="1" s="1"/>
  <c r="AI41" i="1"/>
  <c r="AK41" i="1" s="1"/>
  <c r="AL41" i="1" s="1"/>
  <c r="AM41" i="1" s="1"/>
  <c r="AI40" i="1"/>
  <c r="AK40" i="1" s="1"/>
  <c r="AL40" i="1" s="1"/>
  <c r="AM40" i="1" s="1"/>
  <c r="AI39" i="1"/>
  <c r="AK39" i="1" s="1"/>
  <c r="AL39" i="1" s="1"/>
  <c r="AM39" i="1" s="1"/>
  <c r="AI38" i="1"/>
  <c r="AK38" i="1" s="1"/>
  <c r="AL38" i="1" s="1"/>
  <c r="AM38" i="1" s="1"/>
  <c r="AI37" i="1"/>
  <c r="AK37" i="1" s="1"/>
  <c r="AL37" i="1" s="1"/>
  <c r="AM37" i="1" s="1"/>
  <c r="AI36" i="1"/>
  <c r="AK36" i="1" s="1"/>
  <c r="AL36" i="1" s="1"/>
  <c r="AM36" i="1" s="1"/>
  <c r="AI35" i="1"/>
  <c r="AK35" i="1" s="1"/>
  <c r="AL35" i="1" s="1"/>
  <c r="AM35" i="1" s="1"/>
  <c r="AI34" i="1"/>
  <c r="AK34" i="1" s="1"/>
  <c r="AL34" i="1" s="1"/>
  <c r="AM34" i="1" s="1"/>
  <c r="AI33" i="1"/>
  <c r="AK33" i="1" s="1"/>
  <c r="AL33" i="1" s="1"/>
  <c r="AM33" i="1" s="1"/>
  <c r="AI32" i="1"/>
  <c r="AK32" i="1" s="1"/>
  <c r="AL32" i="1" s="1"/>
  <c r="AM32" i="1" s="1"/>
  <c r="AI31" i="1"/>
  <c r="AK31" i="1" s="1"/>
  <c r="AL31" i="1" s="1"/>
  <c r="AM31" i="1" s="1"/>
  <c r="AI30" i="1"/>
  <c r="AK30" i="1" s="1"/>
  <c r="AL30" i="1" s="1"/>
  <c r="AM30" i="1" s="1"/>
  <c r="AI29" i="1"/>
  <c r="AK29" i="1" s="1"/>
  <c r="AL29" i="1" s="1"/>
  <c r="AM29" i="1" s="1"/>
  <c r="AI28" i="1"/>
  <c r="AK28" i="1" s="1"/>
  <c r="AL28" i="1" s="1"/>
  <c r="AM28" i="1" s="1"/>
  <c r="AI143" i="1"/>
  <c r="AI142" i="1"/>
  <c r="AL142" i="1" s="1"/>
  <c r="AI141" i="1"/>
  <c r="AL141" i="1" s="1"/>
  <c r="AI140" i="1"/>
  <c r="AL140" i="1" s="1"/>
  <c r="AI139" i="1"/>
  <c r="AL139" i="1" s="1"/>
  <c r="AI138" i="1"/>
  <c r="AL138" i="1" s="1"/>
  <c r="AI24" i="1"/>
  <c r="AL24" i="1" s="1"/>
  <c r="AI17" i="1"/>
  <c r="AL17" i="1" s="1"/>
  <c r="AI16" i="1"/>
  <c r="AL16" i="1" s="1"/>
  <c r="AI15" i="1"/>
  <c r="AL15" i="1" s="1"/>
  <c r="AI14" i="1"/>
  <c r="AL14" i="1" s="1"/>
  <c r="AI13" i="1"/>
  <c r="AL13" i="1" s="1"/>
  <c r="AL143" i="1"/>
  <c r="AE143" i="1"/>
  <c r="AG143" i="1" s="1"/>
  <c r="AE142" i="1"/>
  <c r="AG142" i="1" s="1"/>
  <c r="AE141" i="1"/>
  <c r="AG141" i="1" s="1"/>
  <c r="AE140" i="1"/>
  <c r="AG140" i="1" s="1"/>
  <c r="AE139" i="1"/>
  <c r="AG139" i="1" s="1"/>
  <c r="AE138" i="1"/>
  <c r="AG138" i="1" s="1"/>
  <c r="AE24" i="1"/>
  <c r="AG24" i="1" s="1"/>
  <c r="AE17" i="1"/>
  <c r="AG17" i="1" s="1"/>
  <c r="AE16" i="1"/>
  <c r="AG16" i="1" s="1"/>
  <c r="AE15" i="1"/>
  <c r="AG15" i="1" s="1"/>
  <c r="AE14" i="1"/>
  <c r="AG14" i="1" s="1"/>
  <c r="AE13" i="1"/>
  <c r="AG13" i="1" s="1"/>
  <c r="AD143" i="1"/>
  <c r="AF143" i="1" s="1"/>
  <c r="AH143" i="1" s="1"/>
  <c r="AK143" i="1" s="1"/>
  <c r="AM143" i="1" s="1"/>
  <c r="AD142" i="1"/>
  <c r="AF142" i="1" s="1"/>
  <c r="AH142" i="1" s="1"/>
  <c r="AK142" i="1" s="1"/>
  <c r="AM142" i="1" s="1"/>
  <c r="AD141" i="1"/>
  <c r="AF141" i="1" s="1"/>
  <c r="AH141" i="1" s="1"/>
  <c r="AK141" i="1" s="1"/>
  <c r="AM141" i="1" s="1"/>
  <c r="AD140" i="1"/>
  <c r="AF140" i="1" s="1"/>
  <c r="AH140" i="1" s="1"/>
  <c r="AK140" i="1" s="1"/>
  <c r="AM140" i="1" s="1"/>
  <c r="AD139" i="1"/>
  <c r="AF139" i="1" s="1"/>
  <c r="AH139" i="1" s="1"/>
  <c r="AK139" i="1" s="1"/>
  <c r="AM139" i="1" s="1"/>
  <c r="AD138" i="1"/>
  <c r="AF138" i="1" s="1"/>
  <c r="AH138" i="1" s="1"/>
  <c r="AK138" i="1" s="1"/>
  <c r="AM138" i="1" s="1"/>
  <c r="AD24" i="1"/>
  <c r="AF24" i="1" s="1"/>
  <c r="AH24" i="1" s="1"/>
  <c r="AK24" i="1" s="1"/>
  <c r="AM24" i="1" s="1"/>
  <c r="AD17" i="1"/>
  <c r="AF17" i="1" s="1"/>
  <c r="AH17" i="1" s="1"/>
  <c r="AK17" i="1" s="1"/>
  <c r="AM17" i="1" s="1"/>
  <c r="AD16" i="1"/>
  <c r="AF16" i="1" s="1"/>
  <c r="AH16" i="1" s="1"/>
  <c r="AK16" i="1" s="1"/>
  <c r="AM16" i="1" s="1"/>
  <c r="AD15" i="1"/>
  <c r="AF15" i="1" s="1"/>
  <c r="AH15" i="1" s="1"/>
  <c r="AK15" i="1" s="1"/>
  <c r="AM15" i="1" s="1"/>
  <c r="AD14" i="1"/>
  <c r="AF14" i="1" s="1"/>
  <c r="AH14" i="1" s="1"/>
  <c r="AK14" i="1" s="1"/>
  <c r="AM14" i="1" s="1"/>
  <c r="AD13" i="1"/>
  <c r="AF13" i="1" s="1"/>
  <c r="AH13" i="1" s="1"/>
  <c r="AK13" i="1" s="1"/>
  <c r="AM13" i="1" s="1"/>
  <c r="F46" i="7" l="1"/>
  <c r="G46" i="7" s="1"/>
  <c r="H46" i="7"/>
  <c r="H45" i="7"/>
  <c r="H44" i="7"/>
  <c r="CQ261" i="1"/>
  <c r="CL261" i="1"/>
  <c r="CQ276" i="1"/>
  <c r="CL276" i="1"/>
  <c r="CC275" i="1"/>
  <c r="BX275" i="1"/>
  <c r="BO262" i="1"/>
  <c r="BJ262" i="1"/>
  <c r="CC262" i="1"/>
  <c r="BX262" i="1"/>
  <c r="BO275" i="1"/>
  <c r="BJ275" i="1"/>
  <c r="BO276" i="1"/>
  <c r="BJ276" i="1"/>
  <c r="CC276" i="1"/>
  <c r="BX276" i="1"/>
  <c r="CC261" i="1"/>
  <c r="BX261" i="1"/>
  <c r="CQ275" i="1"/>
  <c r="CL275" i="1"/>
  <c r="AN151" i="1"/>
  <c r="AN155" i="1"/>
  <c r="AN153" i="1"/>
  <c r="AN152" i="1"/>
  <c r="AN156" i="1"/>
  <c r="AN154" i="1"/>
  <c r="AN157" i="1"/>
  <c r="AE158" i="1"/>
  <c r="AF158" i="1" s="1"/>
  <c r="AG158" i="1" s="1"/>
  <c r="AH158" i="1" s="1"/>
  <c r="CO290" i="1"/>
  <c r="AN158" i="1" l="1"/>
  <c r="B29" i="5"/>
  <c r="B215" i="5"/>
  <c r="B212" i="5"/>
  <c r="B206" i="5"/>
  <c r="B203" i="5"/>
  <c r="B202" i="5"/>
  <c r="B201" i="5"/>
  <c r="B198" i="5"/>
  <c r="B196" i="5"/>
  <c r="B195" i="5"/>
  <c r="B194" i="5"/>
  <c r="B193" i="5"/>
  <c r="B191" i="5"/>
  <c r="B186" i="5"/>
  <c r="B185" i="5"/>
  <c r="B184" i="5"/>
  <c r="B183" i="5"/>
  <c r="B182" i="5"/>
  <c r="B181" i="5"/>
  <c r="B175" i="5"/>
  <c r="B173" i="5"/>
  <c r="B171" i="5"/>
  <c r="B166" i="5"/>
  <c r="B165" i="5"/>
  <c r="B163" i="5"/>
  <c r="B157" i="5"/>
  <c r="B156" i="5"/>
  <c r="B155" i="5"/>
  <c r="B152" i="5"/>
  <c r="B151" i="5"/>
  <c r="B150" i="5"/>
  <c r="B149" i="5"/>
  <c r="B147" i="5"/>
  <c r="B144" i="5"/>
  <c r="B141" i="5"/>
  <c r="B125" i="5"/>
  <c r="B122" i="5"/>
  <c r="B115" i="5"/>
  <c r="B114" i="5"/>
  <c r="B113" i="5"/>
  <c r="B112" i="5"/>
  <c r="B111" i="5"/>
  <c r="B110" i="5"/>
  <c r="B109" i="5"/>
  <c r="B107" i="5"/>
  <c r="B92" i="5"/>
  <c r="B91" i="5"/>
  <c r="B90" i="5"/>
  <c r="B88" i="5"/>
  <c r="B87" i="5"/>
  <c r="B86" i="5"/>
  <c r="B85" i="5"/>
  <c r="B80" i="5"/>
  <c r="B78" i="5"/>
  <c r="B76" i="5"/>
  <c r="B72" i="5"/>
  <c r="B71" i="5"/>
  <c r="B65" i="5"/>
  <c r="B64" i="5"/>
  <c r="B61" i="5"/>
  <c r="B60" i="5"/>
  <c r="B54" i="5"/>
  <c r="B52" i="5"/>
  <c r="B51" i="5"/>
  <c r="B50" i="5"/>
  <c r="B47" i="5"/>
  <c r="B43" i="5"/>
  <c r="B39" i="5"/>
  <c r="B33" i="5"/>
  <c r="B32" i="5"/>
  <c r="B30" i="5"/>
  <c r="B27" i="5"/>
  <c r="B26" i="5"/>
  <c r="B25" i="5"/>
  <c r="B24" i="5"/>
  <c r="B17" i="5"/>
  <c r="B15" i="5"/>
  <c r="B14" i="5"/>
  <c r="B8" i="5"/>
  <c r="B6" i="5"/>
  <c r="B5" i="5"/>
  <c r="B4" i="5"/>
  <c r="B2" i="5"/>
  <c r="B19" i="5"/>
  <c r="B187" i="5"/>
  <c r="B28" i="5"/>
  <c r="B13" i="5"/>
  <c r="B59" i="5"/>
  <c r="B199" i="5"/>
  <c r="B219" i="5"/>
  <c r="B145" i="5"/>
  <c r="B11" i="5"/>
  <c r="B9" i="5"/>
  <c r="B143" i="5"/>
  <c r="B3" i="5"/>
  <c r="B209" i="5"/>
  <c r="B10" i="5"/>
  <c r="B190" i="5"/>
  <c r="B69" i="5"/>
  <c r="B74" i="5"/>
  <c r="B200" i="5"/>
  <c r="B192" i="5"/>
  <c r="B81" i="5"/>
  <c r="B82" i="5"/>
  <c r="B105" i="5"/>
  <c r="B164" i="5"/>
  <c r="B217" i="5"/>
  <c r="B233" i="5"/>
  <c r="B239" i="5"/>
  <c r="B211" i="5"/>
  <c r="B132" i="5"/>
  <c r="B12" i="5"/>
  <c r="B134" i="5"/>
  <c r="B48" i="5"/>
  <c r="B139" i="5"/>
  <c r="B131" i="5"/>
  <c r="B142" i="5"/>
  <c r="B220" i="5"/>
  <c r="B100" i="5"/>
  <c r="B23" i="5"/>
  <c r="B108" i="5"/>
  <c r="B221" i="5"/>
  <c r="B154" i="5"/>
  <c r="B169" i="5"/>
  <c r="B172" i="5"/>
  <c r="B222" i="5"/>
  <c r="B235" i="5"/>
  <c r="B180" i="5"/>
  <c r="B179" i="5"/>
  <c r="B178" i="5"/>
  <c r="B177" i="5"/>
  <c r="B176" i="5"/>
  <c r="B153" i="5"/>
  <c r="B40" i="5"/>
  <c r="B106" i="5"/>
  <c r="B123" i="5"/>
  <c r="B162" i="5"/>
  <c r="B232" i="5"/>
  <c r="B167" i="5"/>
  <c r="B133" i="5"/>
  <c r="B53" i="5"/>
  <c r="B146" i="5"/>
  <c r="B102" i="5"/>
  <c r="B140" i="5"/>
  <c r="B79" i="5"/>
  <c r="B34" i="5"/>
  <c r="B137" i="5"/>
  <c r="B104" i="5"/>
  <c r="B35" i="5"/>
  <c r="B98" i="5"/>
  <c r="B73" i="5"/>
  <c r="B31" i="5"/>
  <c r="B135" i="5"/>
  <c r="B36" i="5"/>
  <c r="B101" i="5"/>
  <c r="B77" i="5"/>
  <c r="B124" i="5"/>
  <c r="B44" i="5"/>
  <c r="B189" i="5"/>
  <c r="B84" i="5"/>
  <c r="B229" i="5"/>
  <c r="B63" i="5"/>
  <c r="B216" i="5"/>
  <c r="B46" i="5"/>
  <c r="B230" i="5"/>
  <c r="B37" i="5"/>
  <c r="B188" i="5"/>
  <c r="B89" i="5"/>
  <c r="B128" i="5"/>
  <c r="B7" i="5"/>
  <c r="B174" i="5"/>
  <c r="B218" i="5"/>
  <c r="B49" i="5"/>
  <c r="B45" i="5"/>
  <c r="B70" i="5"/>
  <c r="B121" i="5"/>
  <c r="B120" i="5"/>
  <c r="B119" i="5"/>
  <c r="B118" i="5"/>
  <c r="B117" i="5"/>
  <c r="B97" i="5"/>
  <c r="B96" i="5"/>
  <c r="B95" i="5"/>
  <c r="B94" i="5"/>
  <c r="B93" i="5"/>
  <c r="B42" i="5"/>
  <c r="B41" i="5"/>
  <c r="B21" i="5"/>
  <c r="B158" i="5"/>
  <c r="B136" i="5"/>
  <c r="B223" i="5"/>
  <c r="B38" i="5"/>
  <c r="B148" i="5"/>
  <c r="B161" i="5"/>
  <c r="B20" i="5"/>
  <c r="B83" i="5"/>
  <c r="B22" i="5"/>
  <c r="B103" i="5"/>
  <c r="B16" i="5"/>
  <c r="B62" i="5"/>
  <c r="B75" i="5"/>
  <c r="B18" i="5"/>
  <c r="B170" i="5"/>
  <c r="B116" i="5"/>
  <c r="B168" i="5"/>
  <c r="B208" i="5"/>
  <c r="B234" i="5"/>
  <c r="B228" i="5"/>
  <c r="B214" i="5"/>
  <c r="B213" i="5"/>
  <c r="B99" i="5"/>
  <c r="B67" i="5"/>
  <c r="B138" i="5"/>
  <c r="B160" i="5"/>
  <c r="B159" i="5"/>
  <c r="B68" i="5"/>
  <c r="B130" i="5"/>
  <c r="B227" i="5"/>
  <c r="B207" i="5"/>
  <c r="B58" i="5"/>
  <c r="B57" i="5"/>
  <c r="B197" i="5"/>
  <c r="B129" i="5"/>
  <c r="B224" i="5"/>
  <c r="BD15" i="5"/>
  <c r="BC15" i="5"/>
  <c r="B127" i="5"/>
  <c r="BD14" i="5"/>
  <c r="BC14" i="5"/>
  <c r="B226" i="5"/>
  <c r="BD13" i="5"/>
  <c r="BC13" i="5"/>
  <c r="B204" i="5"/>
  <c r="BD12" i="5"/>
  <c r="BC12" i="5"/>
  <c r="B56" i="5"/>
  <c r="BD11" i="5"/>
  <c r="BC11" i="5"/>
  <c r="B225" i="5"/>
  <c r="BD10" i="5"/>
  <c r="BC10" i="5"/>
  <c r="B126" i="5"/>
  <c r="BD9" i="5"/>
  <c r="BC9" i="5"/>
  <c r="B205" i="5"/>
  <c r="BD8" i="5"/>
  <c r="BC8" i="5"/>
  <c r="B55" i="5"/>
  <c r="BD7" i="5"/>
  <c r="BC7" i="5"/>
  <c r="B231" i="5"/>
  <c r="BD6" i="5"/>
  <c r="BC6" i="5"/>
  <c r="B210" i="5"/>
  <c r="BD5" i="5"/>
  <c r="BC5" i="5"/>
  <c r="B238" i="5"/>
  <c r="BD4" i="5"/>
  <c r="BC4" i="5"/>
  <c r="B237" i="5"/>
  <c r="B236" i="5"/>
  <c r="B66" i="5"/>
  <c r="AN143" i="1" l="1"/>
  <c r="AN142" i="1"/>
  <c r="AN141" i="1"/>
  <c r="AN140" i="1"/>
  <c r="AN139" i="1"/>
  <c r="AN138" i="1"/>
  <c r="AN137" i="1"/>
  <c r="AN136" i="1"/>
  <c r="AN135" i="1"/>
  <c r="AN134" i="1"/>
  <c r="AN133" i="1"/>
  <c r="AN132" i="1"/>
  <c r="AN131" i="1"/>
  <c r="AN130" i="1"/>
  <c r="AN129" i="1"/>
  <c r="AN128" i="1"/>
  <c r="AN127" i="1"/>
  <c r="AN126" i="1"/>
  <c r="AN125" i="1"/>
  <c r="AN124" i="1"/>
  <c r="AN123" i="1"/>
  <c r="AN122" i="1"/>
  <c r="AN59" i="1"/>
  <c r="AN58" i="1"/>
  <c r="AN57" i="1"/>
  <c r="AN56" i="1"/>
  <c r="AN55" i="1"/>
  <c r="AN54" i="1"/>
  <c r="AN53" i="1"/>
  <c r="AN52" i="1"/>
  <c r="AN51" i="1"/>
  <c r="AN50" i="1"/>
  <c r="AN49" i="1"/>
  <c r="AN48" i="1"/>
  <c r="AN47" i="1"/>
  <c r="AN46" i="1"/>
  <c r="AN45" i="1"/>
  <c r="AN44" i="1"/>
  <c r="AN43" i="1"/>
  <c r="AN42" i="1"/>
  <c r="AN41" i="1"/>
  <c r="AN40" i="1"/>
  <c r="AN39" i="1"/>
  <c r="AN38" i="1"/>
  <c r="AN37" i="1"/>
  <c r="AN36" i="1"/>
  <c r="AN35" i="1"/>
  <c r="AN34" i="1"/>
  <c r="AN33" i="1"/>
  <c r="AN32" i="1"/>
  <c r="AN31" i="1"/>
  <c r="AN30" i="1"/>
  <c r="AN29" i="1"/>
  <c r="AN28" i="1"/>
  <c r="AN26" i="1"/>
  <c r="AN25" i="1"/>
  <c r="AN24" i="1"/>
  <c r="AN17" i="1"/>
  <c r="AN16" i="1"/>
  <c r="AN15" i="1"/>
  <c r="AN14" i="1"/>
  <c r="AN13" i="1"/>
  <c r="BD4" i="4" l="1"/>
  <c r="BD5" i="4"/>
  <c r="BD6" i="4"/>
  <c r="BD7" i="4"/>
  <c r="BD8" i="4"/>
  <c r="BD9" i="4"/>
  <c r="BD10" i="4"/>
  <c r="BD11" i="4"/>
  <c r="BD12" i="4"/>
  <c r="BD13" i="4"/>
  <c r="BD14" i="4"/>
  <c r="BD3" i="4"/>
  <c r="BC14" i="4"/>
  <c r="BC10" i="4"/>
  <c r="BC9" i="4"/>
  <c r="BC8" i="4"/>
  <c r="BC7" i="4"/>
  <c r="BC6" i="4"/>
  <c r="BC5" i="4"/>
  <c r="BC3" i="4"/>
  <c r="BC4" i="4"/>
  <c r="B101" i="4"/>
  <c r="B151" i="4"/>
  <c r="B140" i="4"/>
  <c r="B149" i="4"/>
  <c r="B139" i="4"/>
  <c r="B154" i="4"/>
  <c r="B142" i="4"/>
  <c r="B148" i="4"/>
  <c r="B145" i="4"/>
  <c r="B157" i="4"/>
  <c r="B181" i="4"/>
  <c r="B147" i="4"/>
  <c r="B143" i="4"/>
  <c r="B158" i="4"/>
  <c r="B230" i="4"/>
  <c r="B155" i="4"/>
  <c r="B227" i="4"/>
  <c r="B123" i="4"/>
  <c r="B114" i="4"/>
  <c r="B121" i="4"/>
  <c r="B122" i="4"/>
  <c r="B125" i="4"/>
  <c r="B126" i="4"/>
  <c r="B127" i="4"/>
  <c r="B156" i="4"/>
  <c r="B159" i="4"/>
  <c r="B160" i="4"/>
  <c r="B32" i="4"/>
  <c r="B111" i="4"/>
  <c r="B33" i="4"/>
  <c r="B131" i="4"/>
  <c r="B115" i="4"/>
  <c r="B130" i="4"/>
  <c r="B119" i="4"/>
  <c r="B183" i="4"/>
  <c r="B228" i="4"/>
  <c r="B180" i="4"/>
  <c r="B171" i="4"/>
  <c r="B205" i="4"/>
  <c r="B28" i="4"/>
  <c r="B27" i="4"/>
  <c r="B26" i="4"/>
  <c r="B102" i="4"/>
  <c r="B118" i="4"/>
  <c r="B23" i="4"/>
  <c r="B203" i="4"/>
  <c r="B182" i="4"/>
  <c r="B169" i="4"/>
  <c r="B238" i="4"/>
  <c r="B172" i="4"/>
  <c r="B164" i="4"/>
  <c r="B177" i="4"/>
  <c r="B175" i="4"/>
  <c r="B176" i="4"/>
  <c r="B174" i="4"/>
  <c r="B234" i="4"/>
  <c r="B235" i="4"/>
  <c r="B233" i="4"/>
  <c r="B192" i="4"/>
  <c r="B193" i="4"/>
  <c r="B190" i="4"/>
  <c r="B206" i="4"/>
  <c r="B207" i="4"/>
  <c r="B204" i="4"/>
  <c r="B212" i="4"/>
  <c r="B213" i="4"/>
  <c r="B211" i="4"/>
  <c r="B208" i="4"/>
  <c r="B209" i="4"/>
  <c r="B210" i="4"/>
  <c r="B197" i="4"/>
  <c r="B198" i="4"/>
  <c r="B196" i="4"/>
  <c r="B191" i="4"/>
  <c r="B188" i="4"/>
  <c r="B189" i="4"/>
  <c r="B187" i="4"/>
  <c r="B223" i="4"/>
  <c r="B225" i="4"/>
  <c r="B218" i="4"/>
  <c r="B220" i="4"/>
  <c r="B69" i="4"/>
  <c r="B103" i="4"/>
  <c r="B84" i="4"/>
  <c r="B89" i="4"/>
  <c r="B96" i="4"/>
  <c r="B91" i="4"/>
  <c r="B99" i="4"/>
  <c r="B41" i="4"/>
  <c r="B45" i="4"/>
  <c r="B50" i="4"/>
  <c r="B38" i="4"/>
  <c r="B100" i="4"/>
  <c r="B67" i="4"/>
  <c r="B74" i="4"/>
  <c r="B78" i="4"/>
  <c r="B76" i="4"/>
  <c r="B98" i="4"/>
  <c r="B64" i="4"/>
  <c r="B70" i="4"/>
  <c r="B82" i="4"/>
  <c r="B77" i="4"/>
  <c r="B47" i="4"/>
  <c r="B53" i="4"/>
  <c r="B52" i="4"/>
  <c r="B105" i="4"/>
  <c r="B86" i="4"/>
  <c r="B95" i="4"/>
  <c r="B92" i="4"/>
  <c r="B104" i="4"/>
  <c r="B85" i="4"/>
  <c r="B87" i="4"/>
  <c r="B93" i="4"/>
  <c r="B90" i="4"/>
  <c r="B97" i="4"/>
  <c r="B66" i="4"/>
  <c r="B73" i="4"/>
  <c r="B81" i="4"/>
  <c r="B75" i="4"/>
  <c r="B110" i="4"/>
  <c r="B106" i="4"/>
  <c r="B107" i="4"/>
  <c r="B108" i="4"/>
  <c r="B109" i="4"/>
  <c r="B59" i="4"/>
  <c r="B60" i="4"/>
  <c r="B61" i="4"/>
  <c r="B62" i="4"/>
  <c r="B63" i="4"/>
  <c r="B54" i="4"/>
  <c r="B55" i="4"/>
  <c r="B56" i="4"/>
  <c r="B57" i="4"/>
  <c r="B58" i="4"/>
  <c r="B35" i="4"/>
  <c r="B43" i="4"/>
  <c r="B46" i="4"/>
  <c r="B49" i="4"/>
  <c r="B39" i="4"/>
  <c r="B42" i="4"/>
  <c r="B44" i="4"/>
  <c r="B51" i="4"/>
  <c r="B37" i="4"/>
  <c r="B229" i="4"/>
  <c r="B236" i="4"/>
  <c r="B194" i="4"/>
  <c r="B201" i="4"/>
  <c r="B219" i="4"/>
  <c r="B166" i="4"/>
  <c r="B224" i="4"/>
  <c r="B226" i="4"/>
  <c r="B202" i="4"/>
  <c r="B222" i="4"/>
  <c r="B167" i="4"/>
  <c r="B199" i="4"/>
  <c r="B200" i="4"/>
  <c r="B170" i="4"/>
  <c r="B168" i="4"/>
  <c r="B184" i="4"/>
  <c r="B221" i="4"/>
  <c r="B232" i="4"/>
  <c r="B217" i="4"/>
  <c r="B163" i="4"/>
  <c r="B214" i="4"/>
  <c r="B237" i="4"/>
  <c r="B165" i="4"/>
  <c r="B162" i="4"/>
  <c r="B215" i="4"/>
  <c r="B216" i="4"/>
  <c r="B185" i="4"/>
  <c r="B186" i="4"/>
  <c r="B178" i="4"/>
  <c r="B179" i="4"/>
  <c r="B83" i="4"/>
  <c r="B88" i="4"/>
  <c r="B94" i="4"/>
  <c r="B68" i="4"/>
  <c r="B72" i="4"/>
  <c r="B80" i="4"/>
  <c r="B65" i="4"/>
  <c r="B71" i="4"/>
  <c r="B79" i="4"/>
  <c r="B21" i="4"/>
  <c r="B15" i="4"/>
  <c r="B13" i="4"/>
  <c r="B10" i="4"/>
  <c r="B22" i="4"/>
  <c r="B16" i="4"/>
  <c r="B14" i="4"/>
  <c r="B9" i="4"/>
  <c r="B19" i="4"/>
  <c r="B18" i="4"/>
  <c r="B11" i="4"/>
  <c r="B7" i="4"/>
  <c r="B20" i="4"/>
  <c r="B17" i="4"/>
  <c r="B12" i="4"/>
  <c r="B8" i="4"/>
  <c r="B2" i="4"/>
  <c r="B3" i="4"/>
  <c r="B4" i="4"/>
  <c r="B24" i="4"/>
  <c r="B25" i="4"/>
  <c r="B29" i="4"/>
  <c r="B30" i="4"/>
  <c r="B6" i="4"/>
  <c r="B36" i="4"/>
  <c r="B34" i="4"/>
  <c r="B135" i="4"/>
  <c r="B134" i="4"/>
  <c r="B153" i="4"/>
  <c r="B152" i="4"/>
  <c r="B1" i="4"/>
  <c r="B133" i="4"/>
  <c r="B40" i="4"/>
  <c r="B124" i="4"/>
  <c r="B138" i="4"/>
  <c r="B173" i="4"/>
  <c r="B161" i="4"/>
  <c r="B146" i="4"/>
  <c r="B195" i="4"/>
  <c r="B231" i="4"/>
  <c r="B137" i="4"/>
  <c r="B144" i="4"/>
  <c r="B136" i="4"/>
  <c r="B141" i="4"/>
  <c r="B117" i="4"/>
  <c r="B132" i="4"/>
  <c r="B120" i="4"/>
  <c r="B116" i="4"/>
  <c r="B150" i="4"/>
  <c r="B128" i="4"/>
  <c r="B112" i="4"/>
  <c r="B48" i="4"/>
  <c r="B31" i="4"/>
  <c r="B5" i="4"/>
  <c r="B113" i="4"/>
  <c r="B129" i="4"/>
  <c r="Z200" i="1" l="1"/>
  <c r="AC200" i="1" s="1"/>
  <c r="S200" i="1" s="1"/>
  <c r="Z199" i="1"/>
  <c r="AC199" i="1" s="1"/>
  <c r="AJ199" i="1" l="1"/>
  <c r="S199" i="1"/>
  <c r="BW200" i="1"/>
  <c r="BI200" i="1"/>
  <c r="CK200" i="1"/>
  <c r="AL200" i="1"/>
  <c r="AH200" i="1"/>
  <c r="AD200" i="1"/>
  <c r="AK200" i="1"/>
  <c r="AG200" i="1"/>
  <c r="AJ200" i="1"/>
  <c r="AF200" i="1"/>
  <c r="AM200" i="1"/>
  <c r="AI200" i="1"/>
  <c r="AE200" i="1"/>
  <c r="AL199" i="1"/>
  <c r="AG199" i="1"/>
  <c r="AK199" i="1"/>
  <c r="AF199" i="1"/>
  <c r="AI199" i="1"/>
  <c r="AE199" i="1"/>
  <c r="AD199" i="1"/>
  <c r="AM199" i="1"/>
  <c r="AH199" i="1"/>
  <c r="F24" i="7" l="1"/>
  <c r="G24" i="7" s="1"/>
  <c r="CQ200" i="1"/>
  <c r="CL200" i="1"/>
  <c r="CC200" i="1"/>
  <c r="BX200" i="1"/>
  <c r="BO200" i="1"/>
  <c r="BJ200" i="1"/>
  <c r="BI199" i="1"/>
  <c r="BW199" i="1"/>
  <c r="CK199" i="1"/>
  <c r="AN200" i="1"/>
  <c r="AN199" i="1"/>
  <c r="A276" i="1"/>
  <c r="A277" i="1"/>
  <c r="A278" i="1"/>
  <c r="A279" i="1"/>
  <c r="A280" i="1"/>
  <c r="A281" i="1"/>
  <c r="A282" i="1"/>
  <c r="A283" i="1"/>
  <c r="A27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35" i="1"/>
  <c r="A217" i="1"/>
  <c r="A218" i="1"/>
  <c r="A219" i="1"/>
  <c r="A220" i="1"/>
  <c r="A221" i="1"/>
  <c r="A222" i="1"/>
  <c r="A223" i="1"/>
  <c r="A224" i="1"/>
  <c r="A225" i="1"/>
  <c r="A226" i="1"/>
  <c r="A227" i="1"/>
  <c r="A216" i="1"/>
  <c r="A200" i="1"/>
  <c r="A201" i="1"/>
  <c r="A202" i="1"/>
  <c r="A203" i="1"/>
  <c r="A204" i="1"/>
  <c r="A205" i="1"/>
  <c r="A206" i="1"/>
  <c r="A207" i="1"/>
  <c r="A208" i="1"/>
  <c r="A199"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52" i="1"/>
  <c r="A153" i="1"/>
  <c r="A154" i="1"/>
  <c r="A155" i="1"/>
  <c r="A156" i="1"/>
  <c r="A157" i="1"/>
  <c r="A151"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5" i="1"/>
  <c r="T59" i="1"/>
  <c r="T55" i="1"/>
  <c r="T51" i="1"/>
  <c r="T47" i="1"/>
  <c r="T43" i="1"/>
  <c r="T39" i="1"/>
  <c r="T35" i="1"/>
  <c r="T31" i="1"/>
  <c r="F23" i="7" l="1"/>
  <c r="G23" i="7" s="1"/>
  <c r="H23" i="7"/>
  <c r="H24" i="7"/>
  <c r="CQ199" i="1"/>
  <c r="CL199" i="1"/>
  <c r="CC199" i="1"/>
  <c r="BX199" i="1"/>
  <c r="BO199" i="1"/>
  <c r="BJ199" i="1"/>
  <c r="A214" i="4"/>
  <c r="A163" i="5"/>
  <c r="A221" i="4"/>
  <c r="A182" i="5"/>
  <c r="A200" i="4"/>
  <c r="A114" i="5"/>
  <c r="A202" i="4"/>
  <c r="A122" i="5"/>
  <c r="A219" i="4"/>
  <c r="A175" i="5"/>
  <c r="A229" i="4"/>
  <c r="A195" i="5"/>
  <c r="A42" i="4"/>
  <c r="A22" i="5"/>
  <c r="A43" i="4"/>
  <c r="A83" i="5"/>
  <c r="A56" i="4"/>
  <c r="A95" i="5"/>
  <c r="A62" i="4"/>
  <c r="A120" i="5"/>
  <c r="A109" i="4"/>
  <c r="A179" i="5"/>
  <c r="A110" i="4"/>
  <c r="A180" i="5"/>
  <c r="A66" i="4"/>
  <c r="A49" i="5"/>
  <c r="A87" i="4"/>
  <c r="A31" i="5"/>
  <c r="A95" i="4"/>
  <c r="A140" i="5"/>
  <c r="A53" i="4"/>
  <c r="A42" i="5"/>
  <c r="A70" i="4"/>
  <c r="A128" i="5"/>
  <c r="A78" i="4"/>
  <c r="A229" i="5"/>
  <c r="A38" i="4"/>
  <c r="A75" i="5"/>
  <c r="A99" i="4"/>
  <c r="A167" i="5"/>
  <c r="A84" i="4"/>
  <c r="A101" i="5"/>
  <c r="A218" i="4"/>
  <c r="A173" i="5"/>
  <c r="A189" i="4"/>
  <c r="A87" i="5"/>
  <c r="A198" i="4"/>
  <c r="A112" i="5"/>
  <c r="A208" i="4"/>
  <c r="A150" i="5"/>
  <c r="A204" i="4"/>
  <c r="A141" i="5"/>
  <c r="A193" i="4"/>
  <c r="A92" i="5"/>
  <c r="A234" i="4"/>
  <c r="A203" i="5"/>
  <c r="A177" i="4"/>
  <c r="A54" i="5"/>
  <c r="A169" i="4"/>
  <c r="A32" i="5"/>
  <c r="A118" i="4"/>
  <c r="A100" i="5"/>
  <c r="A28" i="4"/>
  <c r="A99" i="5"/>
  <c r="A228" i="4"/>
  <c r="A194" i="5"/>
  <c r="A115" i="4"/>
  <c r="A221" i="5"/>
  <c r="A32" i="4"/>
  <c r="A234" i="5"/>
  <c r="A185" i="4"/>
  <c r="A78" i="5"/>
  <c r="A6" i="4"/>
  <c r="A231" i="5"/>
  <c r="A24" i="4"/>
  <c r="A159" i="5"/>
  <c r="A8" i="4"/>
  <c r="A205" i="5"/>
  <c r="A7" i="4"/>
  <c r="A55" i="5"/>
  <c r="A9" i="4"/>
  <c r="A126" i="5"/>
  <c r="A10" i="4"/>
  <c r="A225" i="5"/>
  <c r="A79" i="4"/>
  <c r="A84" i="5"/>
  <c r="A72" i="4"/>
  <c r="A188" i="5"/>
  <c r="A83" i="4"/>
  <c r="A77" i="5"/>
  <c r="A153" i="4"/>
  <c r="A28" i="5"/>
  <c r="A161" i="4"/>
  <c r="A14" i="5"/>
  <c r="A40" i="4"/>
  <c r="A16" i="5"/>
  <c r="A137" i="4"/>
  <c r="A200" i="5"/>
  <c r="A230" i="4"/>
  <c r="A196" i="5"/>
  <c r="A181" i="4"/>
  <c r="A65" i="5"/>
  <c r="A142" i="4"/>
  <c r="A10" i="5"/>
  <c r="A140" i="4"/>
  <c r="A69" i="5"/>
  <c r="A5" i="4"/>
  <c r="A210" i="5"/>
  <c r="A128" i="4"/>
  <c r="A211" i="5"/>
  <c r="A132" i="4"/>
  <c r="A164" i="5"/>
  <c r="A144" i="4"/>
  <c r="A209" i="5"/>
  <c r="A156" i="4"/>
  <c r="A2" i="5"/>
  <c r="A122" i="4"/>
  <c r="A142" i="5"/>
  <c r="A163" i="4"/>
  <c r="A17" i="5"/>
  <c r="A184" i="4"/>
  <c r="A76" i="5"/>
  <c r="A199" i="4"/>
  <c r="A113" i="5"/>
  <c r="A226" i="4"/>
  <c r="A191" i="5"/>
  <c r="A201" i="4"/>
  <c r="A115" i="5"/>
  <c r="A37" i="4"/>
  <c r="A18" i="5"/>
  <c r="A39" i="4"/>
  <c r="A62" i="5"/>
  <c r="A35" i="4"/>
  <c r="A116" i="5"/>
  <c r="A55" i="4"/>
  <c r="A94" i="5"/>
  <c r="A61" i="4"/>
  <c r="A119" i="5"/>
  <c r="A108" i="4"/>
  <c r="A178" i="5"/>
  <c r="A75" i="4"/>
  <c r="A46" i="5"/>
  <c r="A97" i="4"/>
  <c r="A53" i="5"/>
  <c r="A85" i="4"/>
  <c r="A36" i="5"/>
  <c r="A86" i="4"/>
  <c r="A135" i="5"/>
  <c r="A47" i="4"/>
  <c r="A38" i="5"/>
  <c r="A64" i="4"/>
  <c r="A70" i="5"/>
  <c r="A74" i="4"/>
  <c r="A230" i="5"/>
  <c r="A50" i="4"/>
  <c r="A158" i="5"/>
  <c r="A91" i="4"/>
  <c r="A104" i="5"/>
  <c r="A103" i="4"/>
  <c r="A106" i="5"/>
  <c r="A225" i="4"/>
  <c r="A186" i="5"/>
  <c r="A188" i="4"/>
  <c r="A86" i="5"/>
  <c r="A197" i="4"/>
  <c r="A111" i="5"/>
  <c r="A211" i="4"/>
  <c r="A155" i="5"/>
  <c r="A207" i="4"/>
  <c r="A149" i="5"/>
  <c r="A192" i="4"/>
  <c r="A91" i="5"/>
  <c r="A174" i="4"/>
  <c r="A50" i="5"/>
  <c r="A164" i="4"/>
  <c r="A24" i="5"/>
  <c r="A182" i="4"/>
  <c r="A71" i="5"/>
  <c r="A102" i="4"/>
  <c r="A123" i="5"/>
  <c r="A205" i="4"/>
  <c r="A144" i="5"/>
  <c r="A183" i="4"/>
  <c r="A72" i="5"/>
  <c r="A131" i="4"/>
  <c r="A217" i="5"/>
  <c r="A165" i="4"/>
  <c r="A25" i="5"/>
  <c r="A216" i="4"/>
  <c r="A166" i="5"/>
  <c r="A30" i="4"/>
  <c r="A214" i="5"/>
  <c r="A4" i="4"/>
  <c r="A238" i="5"/>
  <c r="A12" i="4"/>
  <c r="A204" i="5"/>
  <c r="A11" i="4"/>
  <c r="A56" i="5"/>
  <c r="A14" i="4"/>
  <c r="A127" i="5"/>
  <c r="A13" i="4"/>
  <c r="A226" i="5"/>
  <c r="A71" i="4"/>
  <c r="A89" i="5"/>
  <c r="A68" i="4"/>
  <c r="A174" i="5"/>
  <c r="A179" i="4"/>
  <c r="A61" i="5"/>
  <c r="A231" i="4"/>
  <c r="A198" i="5"/>
  <c r="A173" i="4"/>
  <c r="A47" i="5"/>
  <c r="A133" i="4"/>
  <c r="A105" i="5"/>
  <c r="A123" i="4"/>
  <c r="A48" i="5"/>
  <c r="A158" i="4"/>
  <c r="A5" i="5"/>
  <c r="A157" i="4"/>
  <c r="A4" i="5"/>
  <c r="A154" i="4"/>
  <c r="A187" i="5"/>
  <c r="A151" i="4"/>
  <c r="A199" i="5"/>
  <c r="A31" i="4"/>
  <c r="A228" i="5"/>
  <c r="A150" i="4"/>
  <c r="A219" i="5"/>
  <c r="A117" i="4"/>
  <c r="A23" i="5"/>
  <c r="A114" i="4"/>
  <c r="A146" i="5"/>
  <c r="A127" i="4"/>
  <c r="A132" i="5"/>
  <c r="A121" i="4"/>
  <c r="A154" i="5"/>
  <c r="A129" i="4"/>
  <c r="A239" i="5"/>
  <c r="A217" i="4"/>
  <c r="A171" i="5"/>
  <c r="A168" i="4"/>
  <c r="A30" i="5"/>
  <c r="A167" i="4"/>
  <c r="A27" i="5"/>
  <c r="A224" i="4"/>
  <c r="A185" i="5"/>
  <c r="A194" i="4"/>
  <c r="A107" i="5"/>
  <c r="A51" i="4"/>
  <c r="A21" i="5"/>
  <c r="A49" i="4"/>
  <c r="A136" i="5"/>
  <c r="A58" i="4"/>
  <c r="A97" i="5"/>
  <c r="A54" i="4"/>
  <c r="A93" i="5"/>
  <c r="A60" i="4"/>
  <c r="A118" i="5"/>
  <c r="A107" i="4"/>
  <c r="A177" i="5"/>
  <c r="A81" i="4"/>
  <c r="A44" i="5"/>
  <c r="A90" i="4"/>
  <c r="A35" i="5"/>
  <c r="A104" i="4"/>
  <c r="A40" i="5"/>
  <c r="A105" i="4"/>
  <c r="A153" i="5"/>
  <c r="A77" i="4"/>
  <c r="A63" i="5"/>
  <c r="A98" i="4"/>
  <c r="A133" i="5"/>
  <c r="A67" i="4"/>
  <c r="A218" i="5"/>
  <c r="A45" i="4"/>
  <c r="A161" i="5"/>
  <c r="A96" i="4"/>
  <c r="A102" i="5"/>
  <c r="A69" i="4"/>
  <c r="A7" i="5"/>
  <c r="A223" i="4"/>
  <c r="A184" i="5"/>
  <c r="A191" i="4"/>
  <c r="A90" i="5"/>
  <c r="A210" i="4"/>
  <c r="A152" i="5"/>
  <c r="A213" i="4"/>
  <c r="A157" i="5"/>
  <c r="A206" i="4"/>
  <c r="A147" i="5"/>
  <c r="A233" i="4"/>
  <c r="A202" i="5"/>
  <c r="A176" i="4"/>
  <c r="A52" i="5"/>
  <c r="A172" i="4"/>
  <c r="A43" i="5"/>
  <c r="A203" i="4"/>
  <c r="A125" i="5"/>
  <c r="A26" i="4"/>
  <c r="A138" i="5"/>
  <c r="A171" i="4"/>
  <c r="A39" i="5"/>
  <c r="A119" i="4"/>
  <c r="A220" i="5"/>
  <c r="A33" i="4"/>
  <c r="A208" i="5"/>
  <c r="A178" i="4"/>
  <c r="A60" i="5"/>
  <c r="A215" i="4"/>
  <c r="A165" i="5"/>
  <c r="A29" i="4"/>
  <c r="A213" i="5"/>
  <c r="A3" i="4"/>
  <c r="A237" i="5"/>
  <c r="A17" i="4"/>
  <c r="A197" i="5"/>
  <c r="A18" i="4"/>
  <c r="A57" i="5"/>
  <c r="A16" i="4"/>
  <c r="A129" i="5"/>
  <c r="A15" i="4"/>
  <c r="A224" i="5"/>
  <c r="A65" i="4"/>
  <c r="A45" i="5"/>
  <c r="A94" i="4"/>
  <c r="A79" i="5"/>
  <c r="A195" i="4"/>
  <c r="A109" i="5"/>
  <c r="A138" i="4"/>
  <c r="A74" i="5"/>
  <c r="A1" i="4"/>
  <c r="A66" i="5"/>
  <c r="A227" i="4"/>
  <c r="A193" i="5"/>
  <c r="A143" i="4"/>
  <c r="A9" i="5"/>
  <c r="A145" i="4"/>
  <c r="A3" i="5"/>
  <c r="A139" i="4"/>
  <c r="A169" i="5"/>
  <c r="A101" i="4"/>
  <c r="A162" i="5"/>
  <c r="A48" i="4"/>
  <c r="A223" i="5"/>
  <c r="A116" i="4"/>
  <c r="A108" i="5"/>
  <c r="A141" i="4"/>
  <c r="A190" i="5"/>
  <c r="A160" i="4"/>
  <c r="A8" i="5"/>
  <c r="A126" i="4"/>
  <c r="A134" i="5"/>
  <c r="A237" i="4"/>
  <c r="A215" i="5"/>
  <c r="A232" i="4"/>
  <c r="A201" i="5"/>
  <c r="A170" i="4"/>
  <c r="A33" i="5"/>
  <c r="A222" i="4"/>
  <c r="A183" i="5"/>
  <c r="A166" i="4"/>
  <c r="A26" i="5"/>
  <c r="A236" i="4"/>
  <c r="A212" i="5"/>
  <c r="A44" i="4"/>
  <c r="A20" i="5"/>
  <c r="A46" i="4"/>
  <c r="A148" i="5"/>
  <c r="A57" i="4"/>
  <c r="A96" i="5"/>
  <c r="A63" i="4"/>
  <c r="A121" i="5"/>
  <c r="A59" i="4"/>
  <c r="A117" i="5"/>
  <c r="A106" i="4"/>
  <c r="A176" i="5"/>
  <c r="A73" i="4"/>
  <c r="A37" i="5"/>
  <c r="A93" i="4"/>
  <c r="A34" i="5"/>
  <c r="A92" i="4"/>
  <c r="A137" i="5"/>
  <c r="A52" i="4"/>
  <c r="A41" i="5"/>
  <c r="A82" i="4"/>
  <c r="A124" i="5"/>
  <c r="A76" i="4"/>
  <c r="A216" i="5"/>
  <c r="A100" i="4"/>
  <c r="A232" i="5"/>
  <c r="A41" i="4"/>
  <c r="A103" i="5"/>
  <c r="A89" i="4"/>
  <c r="A98" i="5"/>
  <c r="A220" i="4"/>
  <c r="A181" i="5"/>
  <c r="A187" i="4"/>
  <c r="A85" i="5"/>
  <c r="A196" i="4"/>
  <c r="A110" i="5"/>
  <c r="A209" i="4"/>
  <c r="A151" i="5"/>
  <c r="A212" i="4"/>
  <c r="A156" i="5"/>
  <c r="A190" i="4"/>
  <c r="A88" i="5"/>
  <c r="A235" i="4"/>
  <c r="A206" i="5"/>
  <c r="A175" i="4"/>
  <c r="A51" i="5"/>
  <c r="A238" i="4"/>
  <c r="A29" i="5"/>
  <c r="A23" i="4"/>
  <c r="A68" i="5"/>
  <c r="A27" i="4"/>
  <c r="A67" i="5"/>
  <c r="A180" i="4"/>
  <c r="A64" i="5"/>
  <c r="A130" i="4"/>
  <c r="A233" i="5"/>
  <c r="A111" i="4"/>
  <c r="A235" i="5"/>
  <c r="A186" i="4"/>
  <c r="A80" i="5"/>
  <c r="A162" i="4"/>
  <c r="A15" i="5"/>
  <c r="A25" i="4"/>
  <c r="A160" i="5"/>
  <c r="A2" i="4"/>
  <c r="A236" i="5"/>
  <c r="A20" i="4"/>
  <c r="A207" i="5"/>
  <c r="A19" i="4"/>
  <c r="A58" i="5"/>
  <c r="A22" i="4"/>
  <c r="A130" i="5"/>
  <c r="A21" i="4"/>
  <c r="A227" i="5"/>
  <c r="A80" i="4"/>
  <c r="A189" i="5"/>
  <c r="A88" i="4"/>
  <c r="A73" i="5"/>
  <c r="A146" i="4"/>
  <c r="A143" i="5"/>
  <c r="A124" i="4"/>
  <c r="A12" i="5"/>
  <c r="A152" i="4"/>
  <c r="A13" i="5"/>
  <c r="A155" i="4"/>
  <c r="A19" i="5"/>
  <c r="A147" i="4"/>
  <c r="A59" i="5"/>
  <c r="A148" i="4"/>
  <c r="A11" i="5"/>
  <c r="A149" i="4"/>
  <c r="A145" i="5"/>
  <c r="A113" i="4"/>
  <c r="A172" i="5"/>
  <c r="A112" i="4"/>
  <c r="A222" i="5"/>
  <c r="A120" i="4"/>
  <c r="A131" i="5"/>
  <c r="A136" i="4"/>
  <c r="A192" i="5"/>
  <c r="A159" i="4"/>
  <c r="A6" i="5"/>
  <c r="A125" i="4"/>
  <c r="A139" i="5"/>
  <c r="C175" i="4"/>
  <c r="C51" i="5"/>
  <c r="C206" i="5"/>
  <c r="C190" i="4"/>
  <c r="C88" i="5"/>
  <c r="C156" i="5"/>
  <c r="C209" i="4"/>
  <c r="C151" i="5"/>
  <c r="C110" i="5"/>
  <c r="C187" i="4"/>
  <c r="C85" i="5"/>
  <c r="C181" i="5"/>
  <c r="T260" i="1"/>
  <c r="C181" i="4" s="1"/>
  <c r="A36" i="4"/>
  <c r="A170" i="5"/>
  <c r="A134" i="4"/>
  <c r="A82" i="5"/>
  <c r="A34" i="4"/>
  <c r="A168" i="5"/>
  <c r="A135" i="4"/>
  <c r="A81" i="5"/>
  <c r="T15" i="1"/>
  <c r="T123" i="1"/>
  <c r="T127" i="1"/>
  <c r="T131" i="1"/>
  <c r="T135" i="1"/>
  <c r="T139" i="1"/>
  <c r="T154" i="1"/>
  <c r="T158" i="1"/>
  <c r="T16" i="1"/>
  <c r="T24" i="1"/>
  <c r="T28" i="1"/>
  <c r="T32" i="1"/>
  <c r="T36" i="1"/>
  <c r="C233" i="4" s="1"/>
  <c r="T40" i="1"/>
  <c r="C206" i="4" s="1"/>
  <c r="T44" i="1"/>
  <c r="T48" i="1"/>
  <c r="T52" i="1"/>
  <c r="T56" i="1"/>
  <c r="C223" i="4" s="1"/>
  <c r="T124" i="1"/>
  <c r="T128" i="1"/>
  <c r="T132" i="1"/>
  <c r="T136" i="1"/>
  <c r="T140" i="1"/>
  <c r="T151" i="1"/>
  <c r="T155" i="1"/>
  <c r="T13" i="1"/>
  <c r="T17" i="1"/>
  <c r="T25" i="1"/>
  <c r="T29" i="1"/>
  <c r="T33" i="1"/>
  <c r="T37" i="1"/>
  <c r="T41" i="1"/>
  <c r="T45" i="1"/>
  <c r="T49" i="1"/>
  <c r="C197" i="4" s="1"/>
  <c r="T53" i="1"/>
  <c r="T57" i="1"/>
  <c r="T125" i="1"/>
  <c r="T129" i="1"/>
  <c r="T133" i="1"/>
  <c r="T137" i="1"/>
  <c r="T141" i="1"/>
  <c r="T152" i="1"/>
  <c r="T156" i="1"/>
  <c r="T227" i="1"/>
  <c r="T281" i="1"/>
  <c r="C196" i="4"/>
  <c r="C220" i="4"/>
  <c r="C222" i="4"/>
  <c r="C164" i="4"/>
  <c r="C236" i="4"/>
  <c r="T30" i="1"/>
  <c r="T42" i="1"/>
  <c r="T50" i="1"/>
  <c r="T122" i="1"/>
  <c r="T126" i="1"/>
  <c r="T130" i="1"/>
  <c r="T134" i="1"/>
  <c r="T142" i="1"/>
  <c r="T153" i="1"/>
  <c r="T157" i="1"/>
  <c r="T259" i="1"/>
  <c r="C174" i="4"/>
  <c r="T14" i="1"/>
  <c r="T26" i="1"/>
  <c r="T34" i="1"/>
  <c r="T38" i="1"/>
  <c r="T46" i="1"/>
  <c r="T54" i="1"/>
  <c r="T58" i="1"/>
  <c r="C212" i="4"/>
  <c r="C235" i="4"/>
  <c r="T263" i="1"/>
  <c r="T199" i="1"/>
  <c r="T200" i="1"/>
  <c r="T264" i="1"/>
  <c r="T226" i="1"/>
  <c r="T224" i="1"/>
  <c r="T223" i="1"/>
  <c r="T143" i="1"/>
  <c r="T138" i="1"/>
  <c r="T283" i="1"/>
  <c r="T266" i="1"/>
  <c r="T282" i="1"/>
  <c r="C237" i="4" l="1"/>
  <c r="C215" i="5"/>
  <c r="C158" i="4"/>
  <c r="C5" i="5"/>
  <c r="C194" i="5"/>
  <c r="C157" i="4"/>
  <c r="C4" i="5"/>
  <c r="C112" i="5"/>
  <c r="C156" i="4"/>
  <c r="C2" i="5"/>
  <c r="C201" i="4"/>
  <c r="C115" i="5"/>
  <c r="C211" i="4"/>
  <c r="C155" i="5"/>
  <c r="C185" i="4"/>
  <c r="C78" i="5"/>
  <c r="C191" i="4"/>
  <c r="C90" i="5"/>
  <c r="C171" i="4"/>
  <c r="C39" i="5"/>
  <c r="C8" i="5"/>
  <c r="C161" i="4"/>
  <c r="C14" i="5"/>
  <c r="C173" i="5"/>
  <c r="C203" i="5"/>
  <c r="C165" i="5"/>
  <c r="C175" i="5"/>
  <c r="C54" i="5"/>
  <c r="C186" i="4"/>
  <c r="C80" i="5"/>
  <c r="C113" i="5"/>
  <c r="C188" i="4"/>
  <c r="C86" i="5"/>
  <c r="C91" i="5"/>
  <c r="C205" i="4"/>
  <c r="C144" i="5"/>
  <c r="C217" i="4"/>
  <c r="C171" i="5"/>
  <c r="C194" i="4"/>
  <c r="C107" i="5"/>
  <c r="C213" i="4"/>
  <c r="C157" i="5"/>
  <c r="C172" i="4"/>
  <c r="C43" i="5"/>
  <c r="C216" i="4"/>
  <c r="C166" i="5"/>
  <c r="C166" i="4"/>
  <c r="C26" i="5"/>
  <c r="C221" i="4"/>
  <c r="C182" i="5"/>
  <c r="C195" i="4"/>
  <c r="C109" i="5"/>
  <c r="C87" i="5"/>
  <c r="C32" i="5"/>
  <c r="C163" i="5"/>
  <c r="C195" i="5"/>
  <c r="C15" i="5"/>
  <c r="C191" i="5"/>
  <c r="C111" i="5"/>
  <c r="C50" i="5"/>
  <c r="C183" i="4"/>
  <c r="C72" i="5"/>
  <c r="C168" i="4"/>
  <c r="C30" i="5"/>
  <c r="C184" i="5"/>
  <c r="C147" i="5"/>
  <c r="C203" i="4"/>
  <c r="C125" i="5"/>
  <c r="C232" i="4"/>
  <c r="C201" i="5"/>
  <c r="C212" i="5"/>
  <c r="C6" i="5"/>
  <c r="C230" i="4"/>
  <c r="C196" i="5"/>
  <c r="C150" i="5"/>
  <c r="C114" i="5"/>
  <c r="C163" i="4"/>
  <c r="C17" i="5"/>
  <c r="C24" i="5"/>
  <c r="C167" i="4"/>
  <c r="C27" i="5"/>
  <c r="C202" i="5"/>
  <c r="C170" i="4"/>
  <c r="C33" i="5"/>
  <c r="C180" i="4"/>
  <c r="C64" i="5"/>
  <c r="C227" i="4"/>
  <c r="C193" i="5"/>
  <c r="C173" i="4"/>
  <c r="C47" i="5"/>
  <c r="C92" i="5"/>
  <c r="C199" i="4"/>
  <c r="C60" i="5"/>
  <c r="C122" i="5"/>
  <c r="C141" i="5"/>
  <c r="C231" i="4"/>
  <c r="C198" i="5"/>
  <c r="C184" i="4"/>
  <c r="C76" i="5"/>
  <c r="C225" i="4"/>
  <c r="C186" i="5"/>
  <c r="C207" i="4"/>
  <c r="C149" i="5"/>
  <c r="C182" i="4"/>
  <c r="C71" i="5"/>
  <c r="C165" i="4"/>
  <c r="C25" i="5"/>
  <c r="C185" i="5"/>
  <c r="C210" i="4"/>
  <c r="C152" i="5"/>
  <c r="C52" i="5"/>
  <c r="C179" i="4"/>
  <c r="C61" i="5"/>
  <c r="C183" i="5"/>
  <c r="C65" i="5"/>
  <c r="C168" i="5"/>
  <c r="C36" i="4"/>
  <c r="C170" i="5"/>
  <c r="C226" i="4"/>
  <c r="C162" i="4"/>
  <c r="C192" i="4"/>
  <c r="C224" i="4"/>
  <c r="C176" i="4"/>
  <c r="C169" i="4"/>
  <c r="C215" i="4"/>
  <c r="C208" i="4"/>
  <c r="C214" i="4"/>
  <c r="C229" i="4"/>
  <c r="C198" i="4"/>
  <c r="C189" i="4"/>
  <c r="C219" i="4"/>
  <c r="C193" i="4"/>
  <c r="C228" i="4"/>
  <c r="C200" i="4"/>
  <c r="C204" i="4"/>
  <c r="C218" i="4"/>
  <c r="C234" i="4"/>
  <c r="C178" i="4"/>
  <c r="C202" i="4"/>
  <c r="C177" i="4"/>
  <c r="C34" i="4"/>
  <c r="C159" i="4"/>
  <c r="C160" i="4"/>
  <c r="Q283" i="1"/>
  <c r="U283" i="1" s="1"/>
  <c r="Q282" i="1"/>
  <c r="U282" i="1" s="1"/>
  <c r="Q281" i="1"/>
  <c r="U281" i="1" s="1"/>
  <c r="Q280" i="1"/>
  <c r="Q279" i="1"/>
  <c r="Q278" i="1"/>
  <c r="Q277" i="1"/>
  <c r="Q276" i="1"/>
  <c r="Q275" i="1"/>
  <c r="Q267" i="1"/>
  <c r="Q266" i="1"/>
  <c r="U266" i="1" s="1"/>
  <c r="Q265" i="1"/>
  <c r="Q264" i="1"/>
  <c r="U264" i="1" s="1"/>
  <c r="Q263" i="1"/>
  <c r="U263" i="1" s="1"/>
  <c r="Q262" i="1"/>
  <c r="Q261" i="1"/>
  <c r="Q260" i="1"/>
  <c r="U260" i="1" s="1"/>
  <c r="Q259" i="1"/>
  <c r="U259" i="1" s="1"/>
  <c r="Q258" i="1"/>
  <c r="Q257" i="1"/>
  <c r="Q256" i="1"/>
  <c r="Q255" i="1"/>
  <c r="Q254" i="1"/>
  <c r="Q253" i="1"/>
  <c r="Q252" i="1"/>
  <c r="Q251" i="1"/>
  <c r="Q250" i="1"/>
  <c r="Q249" i="1"/>
  <c r="Q248" i="1"/>
  <c r="Q247" i="1"/>
  <c r="Q246" i="1"/>
  <c r="Q245" i="1"/>
  <c r="Q244" i="1"/>
  <c r="Q243" i="1"/>
  <c r="Q242" i="1"/>
  <c r="Q241" i="1"/>
  <c r="Q240" i="1"/>
  <c r="Q239" i="1"/>
  <c r="Q238" i="1"/>
  <c r="Q237" i="1"/>
  <c r="Q236" i="1"/>
  <c r="Q235" i="1"/>
  <c r="Q227" i="1"/>
  <c r="U227" i="1" s="1"/>
  <c r="Q226" i="1"/>
  <c r="U226" i="1" s="1"/>
  <c r="Q225" i="1"/>
  <c r="Q224" i="1"/>
  <c r="U224" i="1" s="1"/>
  <c r="Q223" i="1"/>
  <c r="U223" i="1" s="1"/>
  <c r="Q222" i="1"/>
  <c r="Q221" i="1"/>
  <c r="Q220" i="1"/>
  <c r="Q219" i="1"/>
  <c r="Q218" i="1"/>
  <c r="Q217" i="1"/>
  <c r="Q216" i="1"/>
  <c r="Q208" i="1"/>
  <c r="Q207" i="1"/>
  <c r="Q200" i="1"/>
  <c r="U200" i="1" s="1"/>
  <c r="Q199" i="1"/>
  <c r="U199" i="1" s="1"/>
  <c r="Q191" i="1"/>
  <c r="Q190" i="1"/>
  <c r="Q189" i="1"/>
  <c r="Q188" i="1"/>
  <c r="Q187" i="1"/>
  <c r="Q186" i="1"/>
  <c r="Q185" i="1"/>
  <c r="Q184" i="1"/>
  <c r="Q183" i="1"/>
  <c r="Q182" i="1"/>
  <c r="Q181" i="1"/>
  <c r="Q180" i="1"/>
  <c r="Q179" i="1"/>
  <c r="Q178" i="1"/>
  <c r="Q177" i="1"/>
  <c r="Q176" i="1"/>
  <c r="Q175" i="1"/>
  <c r="Q174" i="1"/>
  <c r="Q173" i="1"/>
  <c r="Q172" i="1"/>
  <c r="Q171" i="1"/>
  <c r="Q170" i="1"/>
  <c r="Q169" i="1"/>
  <c r="Q168" i="1"/>
  <c r="Q167" i="1"/>
  <c r="Q166" i="1"/>
  <c r="Q165" i="1"/>
  <c r="Q164" i="1"/>
  <c r="Q163" i="1"/>
  <c r="Q162" i="1"/>
  <c r="Q161" i="1"/>
  <c r="Q160" i="1"/>
  <c r="Q159" i="1"/>
  <c r="Q158" i="1"/>
  <c r="U158" i="1" s="1"/>
  <c r="Q157" i="1"/>
  <c r="U157" i="1" s="1"/>
  <c r="Q156" i="1"/>
  <c r="U156" i="1" s="1"/>
  <c r="Q155" i="1"/>
  <c r="U155" i="1" s="1"/>
  <c r="Q154" i="1"/>
  <c r="U154" i="1" s="1"/>
  <c r="Q153" i="1"/>
  <c r="U153" i="1" s="1"/>
  <c r="Q152" i="1"/>
  <c r="U152" i="1" s="1"/>
  <c r="Q151" i="1"/>
  <c r="U151" i="1" s="1"/>
  <c r="Q143" i="1"/>
  <c r="U143" i="1" s="1"/>
  <c r="Q142" i="1"/>
  <c r="U142" i="1" s="1"/>
  <c r="Q141" i="1"/>
  <c r="U141" i="1" s="1"/>
  <c r="Q140" i="1"/>
  <c r="U140" i="1" s="1"/>
  <c r="Q139" i="1"/>
  <c r="U139" i="1" s="1"/>
  <c r="Q138" i="1"/>
  <c r="U138" i="1" s="1"/>
  <c r="Q137" i="1"/>
  <c r="U137" i="1" s="1"/>
  <c r="Q136" i="1"/>
  <c r="U136" i="1" s="1"/>
  <c r="Q135" i="1"/>
  <c r="U135" i="1" s="1"/>
  <c r="Q134" i="1"/>
  <c r="U134" i="1" s="1"/>
  <c r="Q133" i="1"/>
  <c r="U133" i="1" s="1"/>
  <c r="Q132" i="1"/>
  <c r="U132" i="1" s="1"/>
  <c r="Q131" i="1"/>
  <c r="U131" i="1" s="1"/>
  <c r="Q130" i="1"/>
  <c r="U130" i="1" s="1"/>
  <c r="Q129" i="1"/>
  <c r="U129" i="1" s="1"/>
  <c r="Q128" i="1"/>
  <c r="U128" i="1" s="1"/>
  <c r="Q127" i="1"/>
  <c r="U127" i="1" s="1"/>
  <c r="Q126" i="1"/>
  <c r="U126" i="1" s="1"/>
  <c r="Q125" i="1"/>
  <c r="U125" i="1" s="1"/>
  <c r="Q124" i="1"/>
  <c r="U124" i="1" s="1"/>
  <c r="Q123" i="1"/>
  <c r="U123" i="1" s="1"/>
  <c r="Q122" i="1"/>
  <c r="U122" i="1" s="1"/>
  <c r="Q121" i="1"/>
  <c r="Q120" i="1"/>
  <c r="Q119" i="1"/>
  <c r="Q118" i="1"/>
  <c r="Q117" i="1"/>
  <c r="Q116" i="1"/>
  <c r="Q115" i="1"/>
  <c r="Q114" i="1"/>
  <c r="Q113" i="1"/>
  <c r="Q112" i="1"/>
  <c r="Q111" i="1"/>
  <c r="Q110" i="1"/>
  <c r="Q109" i="1"/>
  <c r="Q108" i="1"/>
  <c r="Q107" i="1"/>
  <c r="Q106" i="1"/>
  <c r="Q105" i="1"/>
  <c r="Q104" i="1"/>
  <c r="Q103" i="1"/>
  <c r="Q102" i="1"/>
  <c r="Q101" i="1"/>
  <c r="Q100" i="1"/>
  <c r="Q99" i="1"/>
  <c r="Q98" i="1"/>
  <c r="Q97" i="1"/>
  <c r="Q96" i="1"/>
  <c r="Q95" i="1"/>
  <c r="Q94" i="1"/>
  <c r="Q93" i="1"/>
  <c r="Q92" i="1"/>
  <c r="Q91" i="1"/>
  <c r="Q90" i="1"/>
  <c r="Q89" i="1"/>
  <c r="Q88" i="1"/>
  <c r="Q87" i="1"/>
  <c r="Q86" i="1"/>
  <c r="Q85" i="1"/>
  <c r="Q84" i="1"/>
  <c r="Q83" i="1"/>
  <c r="Q82" i="1"/>
  <c r="Q81" i="1"/>
  <c r="Q80" i="1"/>
  <c r="Q79" i="1"/>
  <c r="Q78" i="1"/>
  <c r="Q77" i="1"/>
  <c r="Q76" i="1"/>
  <c r="Q75" i="1"/>
  <c r="Q74" i="1"/>
  <c r="Q73" i="1"/>
  <c r="Q72" i="1"/>
  <c r="Q71" i="1"/>
  <c r="Q70" i="1"/>
  <c r="Q69" i="1"/>
  <c r="Q68" i="1"/>
  <c r="Q67" i="1"/>
  <c r="Q66" i="1"/>
  <c r="Q65" i="1"/>
  <c r="Q64" i="1"/>
  <c r="Q63" i="1"/>
  <c r="Q62" i="1"/>
  <c r="Q61" i="1"/>
  <c r="Q60" i="1"/>
  <c r="Q59" i="1"/>
  <c r="U59" i="1" s="1"/>
  <c r="Q58" i="1"/>
  <c r="U58" i="1" s="1"/>
  <c r="Q57" i="1"/>
  <c r="U57" i="1" s="1"/>
  <c r="Q56" i="1"/>
  <c r="U56" i="1" s="1"/>
  <c r="Q55" i="1"/>
  <c r="U55" i="1" s="1"/>
  <c r="Q54" i="1"/>
  <c r="U54" i="1" s="1"/>
  <c r="Q53" i="1"/>
  <c r="U53" i="1" s="1"/>
  <c r="Q52" i="1"/>
  <c r="U52" i="1" s="1"/>
  <c r="Q51" i="1"/>
  <c r="U51" i="1" s="1"/>
  <c r="Q50" i="1"/>
  <c r="U50" i="1" s="1"/>
  <c r="Q49" i="1"/>
  <c r="U49" i="1" s="1"/>
  <c r="Q48" i="1"/>
  <c r="U48" i="1" s="1"/>
  <c r="Q47" i="1"/>
  <c r="U47" i="1" s="1"/>
  <c r="Q46" i="1"/>
  <c r="U46" i="1" s="1"/>
  <c r="Q45" i="1"/>
  <c r="U45" i="1" s="1"/>
  <c r="Q44" i="1"/>
  <c r="U44" i="1" s="1"/>
  <c r="Q43" i="1"/>
  <c r="U43" i="1" s="1"/>
  <c r="Q42" i="1"/>
  <c r="U42" i="1" s="1"/>
  <c r="Q41" i="1"/>
  <c r="U41" i="1" s="1"/>
  <c r="Q40" i="1"/>
  <c r="U40" i="1" s="1"/>
  <c r="Q39" i="1"/>
  <c r="U39" i="1" s="1"/>
  <c r="Q38" i="1"/>
  <c r="U38" i="1" s="1"/>
  <c r="Q37" i="1"/>
  <c r="U37" i="1" s="1"/>
  <c r="Q36" i="1"/>
  <c r="U36" i="1" s="1"/>
  <c r="Q35" i="1"/>
  <c r="U35" i="1" s="1"/>
  <c r="Q34" i="1"/>
  <c r="U34" i="1" s="1"/>
  <c r="Q33" i="1"/>
  <c r="U33" i="1" s="1"/>
  <c r="Q32" i="1"/>
  <c r="U32" i="1" s="1"/>
  <c r="Q31" i="1"/>
  <c r="U31" i="1" s="1"/>
  <c r="Q30" i="1"/>
  <c r="U30" i="1" s="1"/>
  <c r="Q29" i="1"/>
  <c r="U29" i="1" s="1"/>
  <c r="Q28" i="1"/>
  <c r="U28" i="1" s="1"/>
  <c r="Q27" i="1"/>
  <c r="Q26" i="1"/>
  <c r="U26" i="1" s="1"/>
  <c r="Q25" i="1"/>
  <c r="U25" i="1" s="1"/>
  <c r="Q24" i="1"/>
  <c r="U24" i="1" s="1"/>
  <c r="Q23" i="1"/>
  <c r="Q22" i="1"/>
  <c r="Q21" i="1"/>
  <c r="Q20" i="1"/>
  <c r="Q19" i="1"/>
  <c r="Q18" i="1"/>
  <c r="Q17" i="1"/>
  <c r="U17" i="1" s="1"/>
  <c r="Q16" i="1"/>
  <c r="U16" i="1" s="1"/>
  <c r="Q15" i="1"/>
  <c r="U15" i="1" s="1"/>
  <c r="Q14" i="1"/>
  <c r="U14" i="1" s="1"/>
  <c r="Q13" i="1"/>
  <c r="U13" i="1" s="1"/>
  <c r="Q12" i="1"/>
  <c r="Q11" i="1"/>
  <c r="Q10" i="1"/>
  <c r="Q9" i="1"/>
  <c r="Q8" i="1"/>
  <c r="Q7" i="1"/>
  <c r="Q6" i="1"/>
  <c r="Q5" i="1"/>
  <c r="D171" i="4" l="1"/>
  <c r="D39" i="5"/>
  <c r="D203" i="4"/>
  <c r="D125" i="5"/>
  <c r="D172" i="4"/>
  <c r="D43" i="5"/>
  <c r="D233" i="4"/>
  <c r="D202" i="5"/>
  <c r="D206" i="4"/>
  <c r="D147" i="5"/>
  <c r="D213" i="4"/>
  <c r="D157" i="5"/>
  <c r="D210" i="4"/>
  <c r="D152" i="5"/>
  <c r="D191" i="4"/>
  <c r="D90" i="5"/>
  <c r="D223" i="4"/>
  <c r="D184" i="5"/>
  <c r="D194" i="4"/>
  <c r="D107" i="5"/>
  <c r="D224" i="4"/>
  <c r="D185" i="5"/>
  <c r="D167" i="4"/>
  <c r="D27" i="5"/>
  <c r="D168" i="4"/>
  <c r="D30" i="5"/>
  <c r="D217" i="4"/>
  <c r="D171" i="5"/>
  <c r="D165" i="4"/>
  <c r="D25" i="5"/>
  <c r="D185" i="4"/>
  <c r="D78" i="5"/>
  <c r="D173" i="4"/>
  <c r="D47" i="5"/>
  <c r="D231" i="4"/>
  <c r="D198" i="5"/>
  <c r="D227" i="4"/>
  <c r="D193" i="5"/>
  <c r="D156" i="4"/>
  <c r="D2" i="5"/>
  <c r="D228" i="4"/>
  <c r="D194" i="5"/>
  <c r="D169" i="4"/>
  <c r="D32" i="5"/>
  <c r="D177" i="4"/>
  <c r="D54" i="5"/>
  <c r="D234" i="4"/>
  <c r="D203" i="5"/>
  <c r="D193" i="4"/>
  <c r="D92" i="5"/>
  <c r="D204" i="4"/>
  <c r="D141" i="5"/>
  <c r="D208" i="4"/>
  <c r="D150" i="5"/>
  <c r="D198" i="4"/>
  <c r="D112" i="5"/>
  <c r="D189" i="4"/>
  <c r="D87" i="5"/>
  <c r="D218" i="4"/>
  <c r="D173" i="5"/>
  <c r="D229" i="4"/>
  <c r="D195" i="5"/>
  <c r="D219" i="4"/>
  <c r="D175" i="5"/>
  <c r="D202" i="4"/>
  <c r="D122" i="5"/>
  <c r="D200" i="4"/>
  <c r="D114" i="5"/>
  <c r="D221" i="4"/>
  <c r="D182" i="5"/>
  <c r="D214" i="4"/>
  <c r="D163" i="5"/>
  <c r="D215" i="4"/>
  <c r="D165" i="5"/>
  <c r="D178" i="4"/>
  <c r="D60" i="5"/>
  <c r="D181" i="4"/>
  <c r="D65" i="5"/>
  <c r="D230" i="4"/>
  <c r="D196" i="5"/>
  <c r="D160" i="4"/>
  <c r="D8" i="5"/>
  <c r="D180" i="4"/>
  <c r="D64" i="5"/>
  <c r="D175" i="4"/>
  <c r="D51" i="5"/>
  <c r="D235" i="4"/>
  <c r="D206" i="5"/>
  <c r="D190" i="4"/>
  <c r="D88" i="5"/>
  <c r="D212" i="4"/>
  <c r="D156" i="5"/>
  <c r="D209" i="4"/>
  <c r="D151" i="5"/>
  <c r="D196" i="4"/>
  <c r="D110" i="5"/>
  <c r="D187" i="4"/>
  <c r="D85" i="5"/>
  <c r="D220" i="4"/>
  <c r="D181" i="5"/>
  <c r="D236" i="4"/>
  <c r="D212" i="5"/>
  <c r="D166" i="4"/>
  <c r="D26" i="5"/>
  <c r="D222" i="4"/>
  <c r="D183" i="5"/>
  <c r="D170" i="4"/>
  <c r="D33" i="5"/>
  <c r="D232" i="4"/>
  <c r="D201" i="5"/>
  <c r="D237" i="4"/>
  <c r="D215" i="5"/>
  <c r="D216" i="4"/>
  <c r="D166" i="5"/>
  <c r="D179" i="4"/>
  <c r="D61" i="5"/>
  <c r="D195" i="4"/>
  <c r="D109" i="5"/>
  <c r="D176" i="4"/>
  <c r="D52" i="5"/>
  <c r="D183" i="4"/>
  <c r="D72" i="5"/>
  <c r="D205" i="4"/>
  <c r="D144" i="5"/>
  <c r="D182" i="4"/>
  <c r="D71" i="5"/>
  <c r="D164" i="4"/>
  <c r="D24" i="5"/>
  <c r="D174" i="4"/>
  <c r="D50" i="5"/>
  <c r="D192" i="4"/>
  <c r="D91" i="5"/>
  <c r="D207" i="4"/>
  <c r="D149" i="5"/>
  <c r="D211" i="4"/>
  <c r="D155" i="5"/>
  <c r="D197" i="4"/>
  <c r="D111" i="5"/>
  <c r="D188" i="4"/>
  <c r="D86" i="5"/>
  <c r="D225" i="4"/>
  <c r="D186" i="5"/>
  <c r="D201" i="4"/>
  <c r="D115" i="5"/>
  <c r="D226" i="4"/>
  <c r="D191" i="5"/>
  <c r="D199" i="4"/>
  <c r="D113" i="5"/>
  <c r="D184" i="4"/>
  <c r="D76" i="5"/>
  <c r="D163" i="4"/>
  <c r="D17" i="5"/>
  <c r="D162" i="4"/>
  <c r="D15" i="5"/>
  <c r="D186" i="4"/>
  <c r="D80" i="5"/>
  <c r="D161" i="4"/>
  <c r="D14" i="5"/>
  <c r="D157" i="4"/>
  <c r="D4" i="5"/>
  <c r="D158" i="4"/>
  <c r="D5" i="5"/>
  <c r="D159" i="4"/>
  <c r="D6" i="5"/>
  <c r="D34" i="4"/>
  <c r="D168" i="5"/>
  <c r="D36" i="4"/>
  <c r="D170" i="5"/>
  <c r="Z207" i="1"/>
  <c r="AC207" i="1" s="1"/>
  <c r="S207" i="1" s="1"/>
  <c r="Z208" i="1"/>
  <c r="AC208" i="1" s="1"/>
  <c r="S208" i="1" s="1"/>
  <c r="CK208" i="1" l="1"/>
  <c r="BW208" i="1"/>
  <c r="BI208" i="1"/>
  <c r="CK207" i="1"/>
  <c r="BI207" i="1"/>
  <c r="BW207" i="1"/>
  <c r="T207" i="1"/>
  <c r="AJ207" i="1"/>
  <c r="AF207" i="1"/>
  <c r="AM207" i="1"/>
  <c r="AI207" i="1"/>
  <c r="AE207" i="1"/>
  <c r="AL207" i="1"/>
  <c r="AH207" i="1"/>
  <c r="AD207" i="1"/>
  <c r="AK207" i="1"/>
  <c r="AG207" i="1"/>
  <c r="T208" i="1"/>
  <c r="AL208" i="1"/>
  <c r="AH208" i="1"/>
  <c r="AD208" i="1"/>
  <c r="AK208" i="1"/>
  <c r="AG208" i="1"/>
  <c r="AJ208" i="1"/>
  <c r="AF208" i="1"/>
  <c r="AM208" i="1"/>
  <c r="AI208" i="1"/>
  <c r="AE208" i="1"/>
  <c r="T275" i="1"/>
  <c r="T262" i="1"/>
  <c r="T261" i="1"/>
  <c r="AC258" i="1"/>
  <c r="S258" i="1" s="1"/>
  <c r="AC257" i="1"/>
  <c r="S257" i="1" s="1"/>
  <c r="AC256" i="1"/>
  <c r="S256" i="1" s="1"/>
  <c r="AC255" i="1"/>
  <c r="S255" i="1" s="1"/>
  <c r="S252" i="1"/>
  <c r="AC251" i="1"/>
  <c r="S251" i="1" s="1"/>
  <c r="AC250" i="1"/>
  <c r="S250" i="1" s="1"/>
  <c r="AC249" i="1"/>
  <c r="S249" i="1" s="1"/>
  <c r="AC248" i="1"/>
  <c r="S248" i="1" s="1"/>
  <c r="AC247" i="1"/>
  <c r="S247" i="1" s="1"/>
  <c r="CQ207" i="1" l="1"/>
  <c r="CL207" i="1"/>
  <c r="CQ208" i="1"/>
  <c r="CL208" i="1"/>
  <c r="CC207" i="1"/>
  <c r="BX207" i="1"/>
  <c r="CC208" i="1"/>
  <c r="BX208" i="1"/>
  <c r="BO207" i="1"/>
  <c r="BJ207" i="1"/>
  <c r="BO208" i="1"/>
  <c r="BJ208" i="1"/>
  <c r="C81" i="5"/>
  <c r="C135" i="4"/>
  <c r="U208" i="1"/>
  <c r="D134" i="4" s="1"/>
  <c r="AD247" i="1"/>
  <c r="AL247" i="1" s="1"/>
  <c r="C134" i="4"/>
  <c r="C82" i="5"/>
  <c r="AN207" i="1"/>
  <c r="AD249" i="1"/>
  <c r="AL249" i="1" s="1"/>
  <c r="U207" i="1"/>
  <c r="D81" i="5" s="1"/>
  <c r="BI209" i="1"/>
  <c r="AN208" i="1"/>
  <c r="CK209" i="1"/>
  <c r="AD248" i="1"/>
  <c r="AL248" i="1" s="1"/>
  <c r="AD250" i="1"/>
  <c r="AL250" i="1" s="1"/>
  <c r="BW209" i="1"/>
  <c r="BX209" i="1" s="1"/>
  <c r="C59" i="5"/>
  <c r="C9" i="5"/>
  <c r="C146" i="5"/>
  <c r="C114" i="4"/>
  <c r="U275" i="1"/>
  <c r="C147" i="4"/>
  <c r="U261" i="1"/>
  <c r="C143" i="4"/>
  <c r="U262" i="1"/>
  <c r="Z245" i="1"/>
  <c r="Z246" i="1"/>
  <c r="CK210" i="1" l="1"/>
  <c r="CL209" i="1"/>
  <c r="BW210" i="1"/>
  <c r="BI210" i="1"/>
  <c r="BJ209" i="1"/>
  <c r="D135" i="4"/>
  <c r="D82" i="5"/>
  <c r="D114" i="4"/>
  <c r="D146" i="5"/>
  <c r="D143" i="4"/>
  <c r="D9" i="5"/>
  <c r="D147" i="4"/>
  <c r="D59" i="5"/>
  <c r="AA191" i="1"/>
  <c r="AC191" i="1" s="1"/>
  <c r="S191" i="1" s="1"/>
  <c r="BI191" i="1" l="1"/>
  <c r="CK191" i="1"/>
  <c r="BW191" i="1"/>
  <c r="AE191" i="1"/>
  <c r="AG191" i="1" s="1"/>
  <c r="AD191" i="1"/>
  <c r="AI191" i="1"/>
  <c r="AL191" i="1" s="1"/>
  <c r="T191" i="1"/>
  <c r="D33" i="3"/>
  <c r="D36" i="3"/>
  <c r="Z265" i="1"/>
  <c r="AA244" i="1"/>
  <c r="AC244" i="1" s="1"/>
  <c r="S244" i="1" s="1"/>
  <c r="AA243" i="1"/>
  <c r="AC243" i="1" s="1"/>
  <c r="S243" i="1" s="1"/>
  <c r="AA246" i="1"/>
  <c r="AC246" i="1" s="1"/>
  <c r="S246" i="1" s="1"/>
  <c r="AA245" i="1"/>
  <c r="AC245" i="1" s="1"/>
  <c r="S245" i="1" s="1"/>
  <c r="CQ191" i="1" l="1"/>
  <c r="CL191" i="1"/>
  <c r="BO191" i="1"/>
  <c r="BJ191" i="1"/>
  <c r="J31" i="3"/>
  <c r="AB251" i="1" s="1"/>
  <c r="R251" i="1" s="1"/>
  <c r="CK251" i="1" s="1"/>
  <c r="L31" i="3"/>
  <c r="CC191" i="1"/>
  <c r="BX191" i="1"/>
  <c r="BI243" i="1"/>
  <c r="BW243" i="1"/>
  <c r="CK243" i="1"/>
  <c r="BI244" i="1"/>
  <c r="BW244" i="1"/>
  <c r="CK244" i="1"/>
  <c r="AB246" i="1"/>
  <c r="R246" i="1" s="1"/>
  <c r="CK246" i="1" s="1"/>
  <c r="AB245" i="1"/>
  <c r="R245" i="1" s="1"/>
  <c r="CK245" i="1" s="1"/>
  <c r="AB265" i="1"/>
  <c r="R265" i="1" s="1"/>
  <c r="CK265" i="1" s="1"/>
  <c r="AB256" i="1"/>
  <c r="R256" i="1" s="1"/>
  <c r="CK256" i="1" s="1"/>
  <c r="AB252" i="1"/>
  <c r="R252" i="1" s="1"/>
  <c r="CK252" i="1" s="1"/>
  <c r="AB248" i="1"/>
  <c r="R248" i="1" s="1"/>
  <c r="CK248" i="1" s="1"/>
  <c r="AB250" i="1"/>
  <c r="R250" i="1" s="1"/>
  <c r="CK250" i="1" s="1"/>
  <c r="AB255" i="1"/>
  <c r="R255" i="1" s="1"/>
  <c r="CK255" i="1" s="1"/>
  <c r="AB247" i="1"/>
  <c r="R247" i="1" s="1"/>
  <c r="CK247" i="1" s="1"/>
  <c r="AB254" i="1"/>
  <c r="R254" i="1" s="1"/>
  <c r="CK254" i="1" s="1"/>
  <c r="AB267" i="1"/>
  <c r="R267" i="1" s="1"/>
  <c r="CK267" i="1" s="1"/>
  <c r="AB257" i="1"/>
  <c r="R257" i="1" s="1"/>
  <c r="CK257" i="1" s="1"/>
  <c r="AB253" i="1"/>
  <c r="R253" i="1" s="1"/>
  <c r="CK253" i="1" s="1"/>
  <c r="AB249" i="1"/>
  <c r="R249" i="1" s="1"/>
  <c r="CK249" i="1" s="1"/>
  <c r="AB258" i="1"/>
  <c r="R258" i="1" s="1"/>
  <c r="CK258" i="1" s="1"/>
  <c r="AK246" i="1"/>
  <c r="AL246" i="1" s="1"/>
  <c r="T243" i="1"/>
  <c r="AK243" i="1"/>
  <c r="AL243" i="1" s="1"/>
  <c r="T244" i="1"/>
  <c r="AK244" i="1"/>
  <c r="AL244" i="1" s="1"/>
  <c r="AK245" i="1"/>
  <c r="AL245" i="1" s="1"/>
  <c r="C6" i="4"/>
  <c r="C231" i="5"/>
  <c r="AF191" i="1"/>
  <c r="AH191" i="1" s="1"/>
  <c r="AK191" i="1" s="1"/>
  <c r="AM191" i="1" s="1"/>
  <c r="U191" i="1"/>
  <c r="D6" i="4" s="1"/>
  <c r="Z190" i="1"/>
  <c r="AC190" i="1" s="1"/>
  <c r="S190" i="1" s="1"/>
  <c r="Z188" i="1"/>
  <c r="AC188" i="1" s="1"/>
  <c r="S188" i="1" s="1"/>
  <c r="Z187" i="1"/>
  <c r="AC187" i="1" s="1"/>
  <c r="S187" i="1" s="1"/>
  <c r="Z189" i="1"/>
  <c r="AC189" i="1" s="1"/>
  <c r="S189" i="1" s="1"/>
  <c r="AA186" i="1"/>
  <c r="AC186" i="1" s="1"/>
  <c r="S186" i="1" s="1"/>
  <c r="AA185" i="1"/>
  <c r="AC185" i="1" s="1"/>
  <c r="S185" i="1" s="1"/>
  <c r="AA184" i="1"/>
  <c r="AC184" i="1" s="1"/>
  <c r="S184" i="1" s="1"/>
  <c r="Z183" i="1"/>
  <c r="AC183" i="1" s="1"/>
  <c r="S183" i="1" s="1"/>
  <c r="Z182" i="1"/>
  <c r="AC182" i="1" s="1"/>
  <c r="S182" i="1" s="1"/>
  <c r="Z181" i="1"/>
  <c r="AC181" i="1" s="1"/>
  <c r="S181" i="1" s="1"/>
  <c r="Z180" i="1"/>
  <c r="AC180" i="1" s="1"/>
  <c r="S180" i="1" s="1"/>
  <c r="Z179" i="1"/>
  <c r="AC179" i="1" s="1"/>
  <c r="S179" i="1" s="1"/>
  <c r="Z178" i="1"/>
  <c r="AC178" i="1" s="1"/>
  <c r="S178" i="1" s="1"/>
  <c r="Z177" i="1"/>
  <c r="AC177" i="1" s="1"/>
  <c r="S177" i="1" s="1"/>
  <c r="Z176" i="1"/>
  <c r="AC176" i="1" s="1"/>
  <c r="S176" i="1" s="1"/>
  <c r="Z175" i="1"/>
  <c r="AC175" i="1" s="1"/>
  <c r="S175" i="1" s="1"/>
  <c r="Z174" i="1"/>
  <c r="AC174" i="1" s="1"/>
  <c r="S174" i="1" s="1"/>
  <c r="Z173" i="1"/>
  <c r="AC173" i="1" s="1"/>
  <c r="S173" i="1" s="1"/>
  <c r="Z172" i="1"/>
  <c r="AC172" i="1" s="1"/>
  <c r="S172" i="1" s="1"/>
  <c r="Z171" i="1"/>
  <c r="AC171" i="1" s="1"/>
  <c r="S171" i="1" s="1"/>
  <c r="Z170" i="1"/>
  <c r="AC170" i="1" s="1"/>
  <c r="S170" i="1" s="1"/>
  <c r="Z169" i="1"/>
  <c r="AC169" i="1" s="1"/>
  <c r="S169" i="1" s="1"/>
  <c r="Z168" i="1"/>
  <c r="AC168" i="1" s="1"/>
  <c r="S168" i="1" s="1"/>
  <c r="AA7" i="1"/>
  <c r="AC7" i="1" s="1"/>
  <c r="S7" i="1" s="1"/>
  <c r="AA8" i="1"/>
  <c r="AC8" i="1" s="1"/>
  <c r="S8" i="1" s="1"/>
  <c r="AA27" i="1"/>
  <c r="AC27" i="1" s="1"/>
  <c r="S27" i="1" s="1"/>
  <c r="AA23" i="1"/>
  <c r="AC23" i="1" s="1"/>
  <c r="S23" i="1" s="1"/>
  <c r="AA22" i="1"/>
  <c r="AC22" i="1" s="1"/>
  <c r="S22" i="1" s="1"/>
  <c r="AA21" i="1"/>
  <c r="AC21" i="1" s="1"/>
  <c r="S21" i="1" s="1"/>
  <c r="AA12" i="1"/>
  <c r="AC12" i="1" s="1"/>
  <c r="S12" i="1" s="1"/>
  <c r="AA11" i="1"/>
  <c r="AC11" i="1" s="1"/>
  <c r="S11" i="1" s="1"/>
  <c r="AA10" i="1"/>
  <c r="AC10" i="1" s="1"/>
  <c r="S10" i="1" s="1"/>
  <c r="AA9" i="1"/>
  <c r="AC9" i="1" s="1"/>
  <c r="S9" i="1" s="1"/>
  <c r="AA6" i="1"/>
  <c r="AC6" i="1" s="1"/>
  <c r="S6" i="1" s="1"/>
  <c r="AA5" i="1"/>
  <c r="AC5" i="1" s="1"/>
  <c r="S5" i="1" s="1"/>
  <c r="CQ243" i="1" l="1"/>
  <c r="CL243" i="1"/>
  <c r="BO244" i="1"/>
  <c r="BJ244" i="1"/>
  <c r="CQ244" i="1"/>
  <c r="CL244" i="1"/>
  <c r="CC243" i="1"/>
  <c r="BX243" i="1"/>
  <c r="CC244" i="1"/>
  <c r="BX244" i="1"/>
  <c r="BO243" i="1"/>
  <c r="BJ243" i="1"/>
  <c r="CQ247" i="1"/>
  <c r="CL247" i="1"/>
  <c r="CQ252" i="1"/>
  <c r="CL252" i="1"/>
  <c r="CQ257" i="1"/>
  <c r="CL257" i="1"/>
  <c r="CQ256" i="1"/>
  <c r="CL256" i="1"/>
  <c r="CQ258" i="1"/>
  <c r="CL258" i="1"/>
  <c r="CQ267" i="1"/>
  <c r="CL267" i="1"/>
  <c r="CQ250" i="1"/>
  <c r="CL250" i="1"/>
  <c r="CQ265" i="1"/>
  <c r="CL265" i="1"/>
  <c r="CQ253" i="1"/>
  <c r="CL253" i="1"/>
  <c r="CQ246" i="1"/>
  <c r="CL246" i="1"/>
  <c r="CQ255" i="1"/>
  <c r="CL255" i="1"/>
  <c r="CQ251" i="1"/>
  <c r="CL251" i="1"/>
  <c r="CQ249" i="1"/>
  <c r="CL249" i="1"/>
  <c r="CQ254" i="1"/>
  <c r="CL254" i="1"/>
  <c r="CQ248" i="1"/>
  <c r="CL248" i="1"/>
  <c r="CQ245" i="1"/>
  <c r="CL245" i="1"/>
  <c r="BW27" i="1"/>
  <c r="BI27" i="1"/>
  <c r="CK27" i="1"/>
  <c r="BW173" i="1"/>
  <c r="CK173" i="1"/>
  <c r="BI173" i="1"/>
  <c r="BW181" i="1"/>
  <c r="BI181" i="1"/>
  <c r="CK181" i="1"/>
  <c r="BW188" i="1"/>
  <c r="BI188" i="1"/>
  <c r="CK188" i="1"/>
  <c r="BW9" i="1"/>
  <c r="CK9" i="1"/>
  <c r="BI9" i="1"/>
  <c r="BI8" i="1"/>
  <c r="BW8" i="1"/>
  <c r="CK8" i="1"/>
  <c r="BI174" i="1"/>
  <c r="CK174" i="1"/>
  <c r="BW174" i="1"/>
  <c r="BI10" i="1"/>
  <c r="BW10" i="1"/>
  <c r="CK10" i="1"/>
  <c r="BW22" i="1"/>
  <c r="CK22" i="1"/>
  <c r="BI22" i="1"/>
  <c r="BW7" i="1"/>
  <c r="BI7" i="1"/>
  <c r="CK7" i="1"/>
  <c r="BW171" i="1"/>
  <c r="BI171" i="1"/>
  <c r="CK171" i="1"/>
  <c r="BW175" i="1"/>
  <c r="BI175" i="1"/>
  <c r="CK175" i="1"/>
  <c r="BW179" i="1"/>
  <c r="CK179" i="1"/>
  <c r="BI179" i="1"/>
  <c r="BW183" i="1"/>
  <c r="CK183" i="1"/>
  <c r="BI183" i="1"/>
  <c r="BW189" i="1"/>
  <c r="BI189" i="1"/>
  <c r="CK189" i="1"/>
  <c r="BI5" i="1"/>
  <c r="CK5" i="1"/>
  <c r="BW5" i="1"/>
  <c r="BI11" i="1"/>
  <c r="CK11" i="1"/>
  <c r="BW11" i="1"/>
  <c r="BI23" i="1"/>
  <c r="CK23" i="1"/>
  <c r="BW23" i="1"/>
  <c r="CK168" i="1"/>
  <c r="BW168" i="1"/>
  <c r="BI168" i="1"/>
  <c r="BI172" i="1"/>
  <c r="BW172" i="1"/>
  <c r="CK172" i="1"/>
  <c r="BI176" i="1"/>
  <c r="BW176" i="1"/>
  <c r="CK176" i="1"/>
  <c r="BI180" i="1"/>
  <c r="BW180" i="1"/>
  <c r="CK180" i="1"/>
  <c r="CK184" i="1"/>
  <c r="BI184" i="1"/>
  <c r="BW184" i="1"/>
  <c r="BW187" i="1"/>
  <c r="CK187" i="1"/>
  <c r="BI187" i="1"/>
  <c r="BI6" i="1"/>
  <c r="BW6" i="1"/>
  <c r="CK6" i="1"/>
  <c r="CK12" i="1"/>
  <c r="BI12" i="1"/>
  <c r="BW12" i="1"/>
  <c r="BW169" i="1"/>
  <c r="CK169" i="1"/>
  <c r="BI169" i="1"/>
  <c r="BW177" i="1"/>
  <c r="BI177" i="1"/>
  <c r="CK177" i="1"/>
  <c r="BW185" i="1"/>
  <c r="CK185" i="1"/>
  <c r="BI185" i="1"/>
  <c r="BW21" i="1"/>
  <c r="BI21" i="1"/>
  <c r="CK21" i="1"/>
  <c r="CK170" i="1"/>
  <c r="BW170" i="1"/>
  <c r="BI170" i="1"/>
  <c r="BW178" i="1"/>
  <c r="CK178" i="1"/>
  <c r="BI178" i="1"/>
  <c r="BI182" i="1"/>
  <c r="BW182" i="1"/>
  <c r="CK182" i="1"/>
  <c r="BI186" i="1"/>
  <c r="BW186" i="1"/>
  <c r="CK186" i="1"/>
  <c r="CK190" i="1"/>
  <c r="BI190" i="1"/>
  <c r="BW190" i="1"/>
  <c r="BW267" i="1"/>
  <c r="BI267" i="1"/>
  <c r="BI265" i="1"/>
  <c r="BW265" i="1"/>
  <c r="BW249" i="1"/>
  <c r="BI249" i="1"/>
  <c r="BI245" i="1"/>
  <c r="BW245" i="1"/>
  <c r="BW253" i="1"/>
  <c r="BI253" i="1"/>
  <c r="BW247" i="1"/>
  <c r="BI247" i="1"/>
  <c r="BW252" i="1"/>
  <c r="BI252" i="1"/>
  <c r="BJ252" i="1" s="1"/>
  <c r="BW246" i="1"/>
  <c r="BI246" i="1"/>
  <c r="BW258" i="1"/>
  <c r="BI258" i="1"/>
  <c r="BW250" i="1"/>
  <c r="BI250" i="1"/>
  <c r="BW254" i="1"/>
  <c r="BI254" i="1"/>
  <c r="BW248" i="1"/>
  <c r="BI248" i="1"/>
  <c r="BW257" i="1"/>
  <c r="BI257" i="1"/>
  <c r="BW255" i="1"/>
  <c r="BI255" i="1"/>
  <c r="BW256" i="1"/>
  <c r="BI256" i="1"/>
  <c r="BW251" i="1"/>
  <c r="BI251" i="1"/>
  <c r="C150" i="4"/>
  <c r="T258" i="1"/>
  <c r="AG258" i="1"/>
  <c r="T267" i="1"/>
  <c r="AG267" i="1"/>
  <c r="T250" i="1"/>
  <c r="AG250" i="1"/>
  <c r="T265" i="1"/>
  <c r="AG265" i="1"/>
  <c r="T249" i="1"/>
  <c r="AG249" i="1"/>
  <c r="T254" i="1"/>
  <c r="AG254" i="1"/>
  <c r="AG245" i="1"/>
  <c r="T245" i="1"/>
  <c r="C222" i="5" s="1"/>
  <c r="T253" i="1"/>
  <c r="AG253" i="1"/>
  <c r="T247" i="1"/>
  <c r="AG247" i="1"/>
  <c r="T252" i="1"/>
  <c r="AG252" i="1"/>
  <c r="AG246" i="1"/>
  <c r="T246" i="1"/>
  <c r="T248" i="1"/>
  <c r="AG248" i="1"/>
  <c r="T257" i="1"/>
  <c r="AG257" i="1"/>
  <c r="T255" i="1"/>
  <c r="AG255" i="1"/>
  <c r="T256" i="1"/>
  <c r="AG256" i="1"/>
  <c r="AG251" i="1"/>
  <c r="T251" i="1"/>
  <c r="C211" i="5"/>
  <c r="U243" i="1"/>
  <c r="D150" i="4" s="1"/>
  <c r="C128" i="4"/>
  <c r="C219" i="5"/>
  <c r="U244" i="1"/>
  <c r="D211" i="5" s="1"/>
  <c r="AK169" i="1"/>
  <c r="AF169" i="1"/>
  <c r="AI169" i="1"/>
  <c r="AE169" i="1"/>
  <c r="AG169" i="1"/>
  <c r="AM169" i="1"/>
  <c r="AD169" i="1"/>
  <c r="AL169" i="1"/>
  <c r="AH169" i="1"/>
  <c r="AK173" i="1"/>
  <c r="AF173" i="1"/>
  <c r="AI173" i="1"/>
  <c r="AE173" i="1"/>
  <c r="AL173" i="1"/>
  <c r="AH173" i="1"/>
  <c r="AG173" i="1"/>
  <c r="AM173" i="1"/>
  <c r="AD173" i="1"/>
  <c r="AK177" i="1"/>
  <c r="AF177" i="1"/>
  <c r="AI177" i="1"/>
  <c r="AE177" i="1"/>
  <c r="AG177" i="1"/>
  <c r="AM177" i="1"/>
  <c r="AD177" i="1"/>
  <c r="AL177" i="1"/>
  <c r="AH177" i="1"/>
  <c r="AK181" i="1"/>
  <c r="AF181" i="1"/>
  <c r="AI181" i="1"/>
  <c r="AE181" i="1"/>
  <c r="AM181" i="1"/>
  <c r="AH181" i="1"/>
  <c r="AL181" i="1"/>
  <c r="AG181" i="1"/>
  <c r="AD181" i="1"/>
  <c r="AI170" i="1"/>
  <c r="AE170" i="1"/>
  <c r="AM170" i="1"/>
  <c r="AH170" i="1"/>
  <c r="AD170" i="1"/>
  <c r="AF170" i="1"/>
  <c r="AL170" i="1"/>
  <c r="AK170" i="1"/>
  <c r="AG170" i="1"/>
  <c r="AI174" i="1"/>
  <c r="AE174" i="1"/>
  <c r="AM174" i="1"/>
  <c r="AH174" i="1"/>
  <c r="AD174" i="1"/>
  <c r="AK174" i="1"/>
  <c r="AG174" i="1"/>
  <c r="AF174" i="1"/>
  <c r="AL174" i="1"/>
  <c r="AI178" i="1"/>
  <c r="AE178" i="1"/>
  <c r="AM178" i="1"/>
  <c r="AH178" i="1"/>
  <c r="AD178" i="1"/>
  <c r="AF178" i="1"/>
  <c r="AL178" i="1"/>
  <c r="AK178" i="1"/>
  <c r="AG178" i="1"/>
  <c r="AI182" i="1"/>
  <c r="AE182" i="1"/>
  <c r="AM182" i="1"/>
  <c r="AH182" i="1"/>
  <c r="AD182" i="1"/>
  <c r="AL182" i="1"/>
  <c r="AG182" i="1"/>
  <c r="AF182" i="1"/>
  <c r="AK182" i="1"/>
  <c r="AM171" i="1"/>
  <c r="AH171" i="1"/>
  <c r="AD171" i="1"/>
  <c r="AL171" i="1"/>
  <c r="AG171" i="1"/>
  <c r="AE171" i="1"/>
  <c r="AK171" i="1"/>
  <c r="AI171" i="1"/>
  <c r="AF171" i="1"/>
  <c r="AM175" i="1"/>
  <c r="AH175" i="1"/>
  <c r="AD175" i="1"/>
  <c r="AL175" i="1"/>
  <c r="AG175" i="1"/>
  <c r="AI175" i="1"/>
  <c r="AF175" i="1"/>
  <c r="AE175" i="1"/>
  <c r="AK175" i="1"/>
  <c r="AM179" i="1"/>
  <c r="AH179" i="1"/>
  <c r="AD179" i="1"/>
  <c r="AL179" i="1"/>
  <c r="AG179" i="1"/>
  <c r="AE179" i="1"/>
  <c r="AK179" i="1"/>
  <c r="AI179" i="1"/>
  <c r="AF179" i="1"/>
  <c r="AM183" i="1"/>
  <c r="AH183" i="1"/>
  <c r="AD183" i="1"/>
  <c r="AL183" i="1"/>
  <c r="AG183" i="1"/>
  <c r="AK183" i="1"/>
  <c r="AF183" i="1"/>
  <c r="AI183" i="1"/>
  <c r="AE183" i="1"/>
  <c r="AM168" i="1"/>
  <c r="AH168" i="1"/>
  <c r="AL168" i="1"/>
  <c r="AF168" i="1"/>
  <c r="AI168" i="1"/>
  <c r="AE168" i="1"/>
  <c r="AG168" i="1"/>
  <c r="AD168" i="1"/>
  <c r="AK168" i="1"/>
  <c r="AL172" i="1"/>
  <c r="AG172" i="1"/>
  <c r="AK172" i="1"/>
  <c r="AF172" i="1"/>
  <c r="AM172" i="1"/>
  <c r="AD172" i="1"/>
  <c r="AI172" i="1"/>
  <c r="AH172" i="1"/>
  <c r="AE172" i="1"/>
  <c r="AL176" i="1"/>
  <c r="AG176" i="1"/>
  <c r="AK176" i="1"/>
  <c r="AF176" i="1"/>
  <c r="AH176" i="1"/>
  <c r="AE176" i="1"/>
  <c r="AM176" i="1"/>
  <c r="AD176" i="1"/>
  <c r="AI176" i="1"/>
  <c r="AL180" i="1"/>
  <c r="AG180" i="1"/>
  <c r="AK180" i="1"/>
  <c r="AF180" i="1"/>
  <c r="AM180" i="1"/>
  <c r="AD180" i="1"/>
  <c r="AI180" i="1"/>
  <c r="AH180" i="1"/>
  <c r="AE180" i="1"/>
  <c r="D231" i="5"/>
  <c r="AI11" i="1"/>
  <c r="AL11" i="1" s="1"/>
  <c r="AD11" i="1"/>
  <c r="AE11" i="1"/>
  <c r="AG11" i="1" s="1"/>
  <c r="AD187" i="1"/>
  <c r="AE187" i="1"/>
  <c r="AG187" i="1" s="1"/>
  <c r="AI187" i="1"/>
  <c r="AL187" i="1" s="1"/>
  <c r="AD6" i="1"/>
  <c r="AI6" i="1"/>
  <c r="AL6" i="1" s="1"/>
  <c r="AE6" i="1"/>
  <c r="AG6" i="1" s="1"/>
  <c r="AI12" i="1"/>
  <c r="AL12" i="1" s="1"/>
  <c r="AE12" i="1"/>
  <c r="AG12" i="1" s="1"/>
  <c r="AD12" i="1"/>
  <c r="AI27" i="1"/>
  <c r="AL27" i="1" s="1"/>
  <c r="AE27" i="1"/>
  <c r="AG27" i="1" s="1"/>
  <c r="AD27" i="1"/>
  <c r="AI185" i="1"/>
  <c r="AL185" i="1" s="1"/>
  <c r="AD185" i="1"/>
  <c r="AE185" i="1"/>
  <c r="AG185" i="1" s="1"/>
  <c r="AE188" i="1"/>
  <c r="AG188" i="1" s="1"/>
  <c r="AI188" i="1"/>
  <c r="AL188" i="1" s="1"/>
  <c r="AD188" i="1"/>
  <c r="AD5" i="1"/>
  <c r="AE5" i="1"/>
  <c r="AG5" i="1" s="1"/>
  <c r="AI5" i="1"/>
  <c r="AL5" i="1" s="1"/>
  <c r="AE8" i="1"/>
  <c r="AG8" i="1" s="1"/>
  <c r="AD8" i="1"/>
  <c r="AI8" i="1"/>
  <c r="AL8" i="1" s="1"/>
  <c r="AE186" i="1"/>
  <c r="AG186" i="1" s="1"/>
  <c r="AD186" i="1"/>
  <c r="AI186" i="1"/>
  <c r="AL186" i="1" s="1"/>
  <c r="AD190" i="1"/>
  <c r="AI190" i="1"/>
  <c r="AL190" i="1" s="1"/>
  <c r="AE190" i="1"/>
  <c r="AG190" i="1" s="1"/>
  <c r="AI23" i="1"/>
  <c r="AK23" i="1" s="1"/>
  <c r="AL23" i="1" s="1"/>
  <c r="AM23" i="1" s="1"/>
  <c r="AD23" i="1"/>
  <c r="AE184" i="1"/>
  <c r="AG184" i="1" s="1"/>
  <c r="AI184" i="1"/>
  <c r="AL184" i="1" s="1"/>
  <c r="AD184" i="1"/>
  <c r="AE9" i="1"/>
  <c r="AG9" i="1" s="1"/>
  <c r="AD9" i="1"/>
  <c r="AI9" i="1"/>
  <c r="AL9" i="1" s="1"/>
  <c r="AD21" i="1"/>
  <c r="AI21" i="1"/>
  <c r="AK21" i="1" s="1"/>
  <c r="AL21" i="1" s="1"/>
  <c r="AM21" i="1" s="1"/>
  <c r="AD10" i="1"/>
  <c r="AE10" i="1"/>
  <c r="AG10" i="1" s="1"/>
  <c r="AI10" i="1"/>
  <c r="AL10" i="1" s="1"/>
  <c r="AI22" i="1"/>
  <c r="AK22" i="1" s="1"/>
  <c r="AL22" i="1" s="1"/>
  <c r="AM22" i="1" s="1"/>
  <c r="AD22" i="1"/>
  <c r="AI7" i="1"/>
  <c r="AL7" i="1" s="1"/>
  <c r="AE7" i="1"/>
  <c r="AG7" i="1" s="1"/>
  <c r="AD7" i="1"/>
  <c r="AI189" i="1"/>
  <c r="AL189" i="1" s="1"/>
  <c r="AE189" i="1"/>
  <c r="AG189" i="1" s="1"/>
  <c r="AD189" i="1"/>
  <c r="AN191" i="1"/>
  <c r="T169" i="1"/>
  <c r="T173" i="1"/>
  <c r="T177" i="1"/>
  <c r="T181" i="1"/>
  <c r="T185" i="1"/>
  <c r="T188" i="1"/>
  <c r="T170" i="1"/>
  <c r="T174" i="1"/>
  <c r="T178" i="1"/>
  <c r="T182" i="1"/>
  <c r="T186" i="1"/>
  <c r="T190" i="1"/>
  <c r="T171" i="1"/>
  <c r="T175" i="1"/>
  <c r="T179" i="1"/>
  <c r="T183" i="1"/>
  <c r="T189" i="1"/>
  <c r="T168" i="1"/>
  <c r="T172" i="1"/>
  <c r="T176" i="1"/>
  <c r="T180" i="1"/>
  <c r="T184" i="1"/>
  <c r="T187" i="1"/>
  <c r="T9" i="1"/>
  <c r="T21" i="1"/>
  <c r="T8" i="1"/>
  <c r="U170" i="1"/>
  <c r="T10" i="1"/>
  <c r="T22" i="1"/>
  <c r="T7" i="1"/>
  <c r="T5" i="1"/>
  <c r="T11" i="1"/>
  <c r="T23" i="1"/>
  <c r="T6" i="1"/>
  <c r="T12" i="1"/>
  <c r="T27" i="1"/>
  <c r="G56" i="3"/>
  <c r="F36" i="7" l="1"/>
  <c r="G36" i="7" s="1"/>
  <c r="F37" i="7"/>
  <c r="G37" i="7" s="1"/>
  <c r="F17" i="7"/>
  <c r="G17" i="7" s="1"/>
  <c r="F39" i="7"/>
  <c r="G39" i="7" s="1"/>
  <c r="F19" i="7"/>
  <c r="G19" i="7" s="1"/>
  <c r="F11" i="7"/>
  <c r="G11" i="7" s="1"/>
  <c r="BO190" i="1"/>
  <c r="BJ190" i="1"/>
  <c r="CC170" i="1"/>
  <c r="BX170" i="1"/>
  <c r="CQ169" i="1"/>
  <c r="CL169" i="1"/>
  <c r="BO184" i="1"/>
  <c r="BJ184" i="1"/>
  <c r="CC168" i="1"/>
  <c r="BX168" i="1"/>
  <c r="BO23" i="1"/>
  <c r="BJ23" i="1"/>
  <c r="CC183" i="1"/>
  <c r="BX183" i="1"/>
  <c r="CQ174" i="1"/>
  <c r="CL174" i="1"/>
  <c r="BO8" i="1"/>
  <c r="BJ8" i="1"/>
  <c r="CC173" i="1"/>
  <c r="BX173" i="1"/>
  <c r="CQ190" i="1"/>
  <c r="CL190" i="1"/>
  <c r="CQ182" i="1"/>
  <c r="CL182" i="1"/>
  <c r="CQ178" i="1"/>
  <c r="CL178" i="1"/>
  <c r="CQ170" i="1"/>
  <c r="CL170" i="1"/>
  <c r="BO185" i="1"/>
  <c r="BJ185" i="1"/>
  <c r="BO177" i="1"/>
  <c r="BJ177" i="1"/>
  <c r="CC169" i="1"/>
  <c r="BX169" i="1"/>
  <c r="CQ6" i="1"/>
  <c r="CL6" i="1"/>
  <c r="CQ187" i="1"/>
  <c r="CL187" i="1"/>
  <c r="CQ184" i="1"/>
  <c r="CL184" i="1"/>
  <c r="CQ176" i="1"/>
  <c r="CL176" i="1"/>
  <c r="CC172" i="1"/>
  <c r="BX172" i="1"/>
  <c r="CQ168" i="1"/>
  <c r="CL168" i="1"/>
  <c r="CC11" i="1"/>
  <c r="BX11" i="1"/>
  <c r="CQ5" i="1"/>
  <c r="CL5" i="1"/>
  <c r="CC189" i="1"/>
  <c r="BX189" i="1"/>
  <c r="BO179" i="1"/>
  <c r="BJ179" i="1"/>
  <c r="BO175" i="1"/>
  <c r="BJ175" i="1"/>
  <c r="CC171" i="1"/>
  <c r="BX171" i="1"/>
  <c r="BO22" i="1"/>
  <c r="BJ22" i="1"/>
  <c r="CC10" i="1"/>
  <c r="BX10" i="1"/>
  <c r="BO174" i="1"/>
  <c r="BJ174" i="1"/>
  <c r="BO9" i="1"/>
  <c r="BJ9" i="1"/>
  <c r="BO188" i="1"/>
  <c r="BJ188" i="1"/>
  <c r="CC181" i="1"/>
  <c r="BX181" i="1"/>
  <c r="CQ27" i="1"/>
  <c r="CL27" i="1"/>
  <c r="BO178" i="1"/>
  <c r="BJ178" i="1"/>
  <c r="CQ177" i="1"/>
  <c r="CL177" i="1"/>
  <c r="BO187" i="1"/>
  <c r="BJ187" i="1"/>
  <c r="CQ172" i="1"/>
  <c r="CL172" i="1"/>
  <c r="BO189" i="1"/>
  <c r="BJ189" i="1"/>
  <c r="CQ175" i="1"/>
  <c r="CL175" i="1"/>
  <c r="CQ10" i="1"/>
  <c r="CL10" i="1"/>
  <c r="BO181" i="1"/>
  <c r="BJ181" i="1"/>
  <c r="CQ186" i="1"/>
  <c r="CL186" i="1"/>
  <c r="CC182" i="1"/>
  <c r="BX182" i="1"/>
  <c r="CC178" i="1"/>
  <c r="BX178" i="1"/>
  <c r="CQ21" i="1"/>
  <c r="CL21" i="1"/>
  <c r="CQ185" i="1"/>
  <c r="CL185" i="1"/>
  <c r="CC177" i="1"/>
  <c r="BX177" i="1"/>
  <c r="CC12" i="1"/>
  <c r="BX12" i="1"/>
  <c r="CC6" i="1"/>
  <c r="BX6" i="1"/>
  <c r="CC187" i="1"/>
  <c r="BX187" i="1"/>
  <c r="CQ180" i="1"/>
  <c r="CL180" i="1"/>
  <c r="CC176" i="1"/>
  <c r="BX176" i="1"/>
  <c r="BO172" i="1"/>
  <c r="BJ172" i="1"/>
  <c r="CC23" i="1"/>
  <c r="BX23" i="1"/>
  <c r="CQ11" i="1"/>
  <c r="CL11" i="1"/>
  <c r="BO5" i="1"/>
  <c r="BJ5" i="1"/>
  <c r="BO183" i="1"/>
  <c r="BJ183" i="1"/>
  <c r="CQ179" i="1"/>
  <c r="CL179" i="1"/>
  <c r="CC175" i="1"/>
  <c r="BX175" i="1"/>
  <c r="CQ7" i="1"/>
  <c r="CL7" i="1"/>
  <c r="CQ22" i="1"/>
  <c r="CL22" i="1"/>
  <c r="BO10" i="1"/>
  <c r="BJ10" i="1"/>
  <c r="CQ8" i="1"/>
  <c r="CL8" i="1"/>
  <c r="CQ9" i="1"/>
  <c r="CL9" i="1"/>
  <c r="CC188" i="1"/>
  <c r="BX188" i="1"/>
  <c r="BO173" i="1"/>
  <c r="BJ173" i="1"/>
  <c r="BO27" i="1"/>
  <c r="BJ27" i="1"/>
  <c r="BO186" i="1"/>
  <c r="BJ186" i="1"/>
  <c r="CC21" i="1"/>
  <c r="BX21" i="1"/>
  <c r="CQ12" i="1"/>
  <c r="CL12" i="1"/>
  <c r="BO180" i="1"/>
  <c r="BJ180" i="1"/>
  <c r="CC5" i="1"/>
  <c r="BX5" i="1"/>
  <c r="BO171" i="1"/>
  <c r="BJ171" i="1"/>
  <c r="CC7" i="1"/>
  <c r="BX7" i="1"/>
  <c r="CQ188" i="1"/>
  <c r="CL188" i="1"/>
  <c r="CC190" i="1"/>
  <c r="BX190" i="1"/>
  <c r="CC186" i="1"/>
  <c r="BX186" i="1"/>
  <c r="BO182" i="1"/>
  <c r="BJ182" i="1"/>
  <c r="BO170" i="1"/>
  <c r="BJ170" i="1"/>
  <c r="BO21" i="1"/>
  <c r="BJ21" i="1"/>
  <c r="CC185" i="1"/>
  <c r="BX185" i="1"/>
  <c r="BO169" i="1"/>
  <c r="BJ169" i="1"/>
  <c r="BO12" i="1"/>
  <c r="BJ12" i="1"/>
  <c r="BO6" i="1"/>
  <c r="BJ6" i="1"/>
  <c r="CC184" i="1"/>
  <c r="BX184" i="1"/>
  <c r="CC180" i="1"/>
  <c r="BX180" i="1"/>
  <c r="BO176" i="1"/>
  <c r="BJ176" i="1"/>
  <c r="BO168" i="1"/>
  <c r="BJ168" i="1"/>
  <c r="CQ23" i="1"/>
  <c r="CL23" i="1"/>
  <c r="BO11" i="1"/>
  <c r="BJ11" i="1"/>
  <c r="CQ189" i="1"/>
  <c r="CL189" i="1"/>
  <c r="CQ183" i="1"/>
  <c r="CL183" i="1"/>
  <c r="CC179" i="1"/>
  <c r="BX179" i="1"/>
  <c r="CQ171" i="1"/>
  <c r="CL171" i="1"/>
  <c r="BO7" i="1"/>
  <c r="BJ7" i="1"/>
  <c r="CC22" i="1"/>
  <c r="BX22" i="1"/>
  <c r="CC174" i="1"/>
  <c r="BX174" i="1"/>
  <c r="CC8" i="1"/>
  <c r="BX8" i="1"/>
  <c r="CC9" i="1"/>
  <c r="BX9" i="1"/>
  <c r="CQ181" i="1"/>
  <c r="CL181" i="1"/>
  <c r="CQ173" i="1"/>
  <c r="CL173" i="1"/>
  <c r="CC27" i="1"/>
  <c r="BX27" i="1"/>
  <c r="CC256" i="1"/>
  <c r="BX256" i="1"/>
  <c r="CC258" i="1"/>
  <c r="BX258" i="1"/>
  <c r="CC253" i="1"/>
  <c r="BX253" i="1"/>
  <c r="CC249" i="1"/>
  <c r="BX249" i="1"/>
  <c r="CC251" i="1"/>
  <c r="BX251" i="1"/>
  <c r="CC255" i="1"/>
  <c r="BX255" i="1"/>
  <c r="CC248" i="1"/>
  <c r="BX248" i="1"/>
  <c r="CC250" i="1"/>
  <c r="BX250" i="1"/>
  <c r="CC246" i="1"/>
  <c r="BX246" i="1"/>
  <c r="CC247" i="1"/>
  <c r="BX247" i="1"/>
  <c r="CC257" i="1"/>
  <c r="BX257" i="1"/>
  <c r="CC254" i="1"/>
  <c r="BX254" i="1"/>
  <c r="CC252" i="1"/>
  <c r="BX252" i="1"/>
  <c r="CC267" i="1"/>
  <c r="BX267" i="1"/>
  <c r="CC245" i="1"/>
  <c r="BX245" i="1"/>
  <c r="CC265" i="1"/>
  <c r="BX265" i="1"/>
  <c r="BO251" i="1"/>
  <c r="BJ251" i="1"/>
  <c r="BO255" i="1"/>
  <c r="BJ255" i="1"/>
  <c r="BO248" i="1"/>
  <c r="BJ248" i="1"/>
  <c r="BO250" i="1"/>
  <c r="BJ250" i="1"/>
  <c r="BO246" i="1"/>
  <c r="BJ246" i="1"/>
  <c r="BO247" i="1"/>
  <c r="BJ247" i="1"/>
  <c r="BO245" i="1"/>
  <c r="BJ245" i="1"/>
  <c r="BO265" i="1"/>
  <c r="BJ265" i="1"/>
  <c r="BO256" i="1"/>
  <c r="BJ256" i="1"/>
  <c r="BO257" i="1"/>
  <c r="BJ257" i="1"/>
  <c r="BO254" i="1"/>
  <c r="BJ254" i="1"/>
  <c r="BO258" i="1"/>
  <c r="BJ258" i="1"/>
  <c r="BO253" i="1"/>
  <c r="BJ253" i="1"/>
  <c r="BO249" i="1"/>
  <c r="BJ249" i="1"/>
  <c r="BO267" i="1"/>
  <c r="BJ267" i="1"/>
  <c r="BO252" i="1"/>
  <c r="U246" i="1"/>
  <c r="D223" i="5" s="1"/>
  <c r="C223" i="5"/>
  <c r="C48" i="4"/>
  <c r="C48" i="5"/>
  <c r="U267" i="1"/>
  <c r="C123" i="4"/>
  <c r="C142" i="4"/>
  <c r="U256" i="1"/>
  <c r="C10" i="5"/>
  <c r="C148" i="4"/>
  <c r="U257" i="1"/>
  <c r="C11" i="5"/>
  <c r="C31" i="4"/>
  <c r="U247" i="1"/>
  <c r="C228" i="5"/>
  <c r="U254" i="1"/>
  <c r="C169" i="5"/>
  <c r="C139" i="4"/>
  <c r="U251" i="1"/>
  <c r="C199" i="5"/>
  <c r="C151" i="4"/>
  <c r="U249" i="1"/>
  <c r="C172" i="5"/>
  <c r="C113" i="4"/>
  <c r="C101" i="4"/>
  <c r="C162" i="5"/>
  <c r="U250" i="1"/>
  <c r="U258" i="1"/>
  <c r="C3" i="5"/>
  <c r="C145" i="4"/>
  <c r="U245" i="1"/>
  <c r="C155" i="4"/>
  <c r="C19" i="5"/>
  <c r="U265" i="1"/>
  <c r="C112" i="4"/>
  <c r="U255" i="1"/>
  <c r="C187" i="5"/>
  <c r="C154" i="4"/>
  <c r="C5" i="4"/>
  <c r="U248" i="1"/>
  <c r="C210" i="5"/>
  <c r="C140" i="4"/>
  <c r="U252" i="1"/>
  <c r="C69" i="5"/>
  <c r="U253" i="1"/>
  <c r="C149" i="4"/>
  <c r="C145" i="5"/>
  <c r="D128" i="4"/>
  <c r="D219" i="5"/>
  <c r="U189" i="1"/>
  <c r="D213" i="5" s="1"/>
  <c r="U178" i="1"/>
  <c r="D11" i="4" s="1"/>
  <c r="AN168" i="1"/>
  <c r="AN181" i="1"/>
  <c r="C224" i="5"/>
  <c r="U172" i="1"/>
  <c r="D22" i="4" s="1"/>
  <c r="C58" i="5"/>
  <c r="C30" i="4"/>
  <c r="C14" i="4"/>
  <c r="U186" i="1"/>
  <c r="D4" i="4" s="1"/>
  <c r="U177" i="1"/>
  <c r="D57" i="5" s="1"/>
  <c r="U187" i="1"/>
  <c r="D24" i="4" s="1"/>
  <c r="C24" i="4"/>
  <c r="C213" i="5"/>
  <c r="C238" i="5"/>
  <c r="C57" i="5"/>
  <c r="C159" i="5"/>
  <c r="C55" i="5"/>
  <c r="C25" i="4"/>
  <c r="U171" i="1"/>
  <c r="D10" i="4" s="1"/>
  <c r="AN175" i="1"/>
  <c r="AN182" i="1"/>
  <c r="C8" i="4"/>
  <c r="AN172" i="1"/>
  <c r="AN171" i="1"/>
  <c r="AN178" i="1"/>
  <c r="AN169" i="1"/>
  <c r="U181" i="1"/>
  <c r="D197" i="5" s="1"/>
  <c r="C19" i="4"/>
  <c r="C7" i="4"/>
  <c r="C4" i="4"/>
  <c r="C13" i="4"/>
  <c r="C130" i="5"/>
  <c r="C226" i="5"/>
  <c r="AN176" i="1"/>
  <c r="AN183" i="1"/>
  <c r="AN174" i="1"/>
  <c r="AN173" i="1"/>
  <c r="C18" i="4"/>
  <c r="C22" i="4"/>
  <c r="U179" i="1"/>
  <c r="D55" i="5" s="1"/>
  <c r="C205" i="5"/>
  <c r="AN180" i="1"/>
  <c r="AN179" i="1"/>
  <c r="AN170" i="1"/>
  <c r="AN177" i="1"/>
  <c r="U188" i="1"/>
  <c r="D25" i="4" s="1"/>
  <c r="C2" i="4"/>
  <c r="C21" i="4"/>
  <c r="C236" i="5"/>
  <c r="C16" i="4"/>
  <c r="C9" i="4"/>
  <c r="C227" i="5"/>
  <c r="C56" i="5"/>
  <c r="C17" i="4"/>
  <c r="U173" i="1"/>
  <c r="D16" i="4" s="1"/>
  <c r="U183" i="1"/>
  <c r="D8" i="4" s="1"/>
  <c r="U175" i="1"/>
  <c r="D126" i="5" s="1"/>
  <c r="C12" i="4"/>
  <c r="C207" i="5"/>
  <c r="C237" i="5"/>
  <c r="AF9" i="1"/>
  <c r="AH9" i="1" s="1"/>
  <c r="AK9" i="1" s="1"/>
  <c r="AM9" i="1" s="1"/>
  <c r="AF187" i="1"/>
  <c r="AH187" i="1" s="1"/>
  <c r="AK187" i="1" s="1"/>
  <c r="AM187" i="1" s="1"/>
  <c r="C11" i="4"/>
  <c r="AF7" i="1"/>
  <c r="AH7" i="1" s="1"/>
  <c r="AK7" i="1" s="1"/>
  <c r="AM7" i="1" s="1"/>
  <c r="AE23" i="1"/>
  <c r="AF23" i="1" s="1"/>
  <c r="AG23" i="1" s="1"/>
  <c r="AH23" i="1" s="1"/>
  <c r="AF190" i="1"/>
  <c r="AH190" i="1" s="1"/>
  <c r="AK190" i="1" s="1"/>
  <c r="AM190" i="1" s="1"/>
  <c r="AF27" i="1"/>
  <c r="AH27" i="1" s="1"/>
  <c r="AK27" i="1" s="1"/>
  <c r="AM27" i="1" s="1"/>
  <c r="AF6" i="1"/>
  <c r="AH6" i="1" s="1"/>
  <c r="AK6" i="1" s="1"/>
  <c r="AM6" i="1" s="1"/>
  <c r="AF10" i="1"/>
  <c r="AH10" i="1" s="1"/>
  <c r="AK10" i="1" s="1"/>
  <c r="AM10" i="1" s="1"/>
  <c r="AF12" i="1"/>
  <c r="AH12" i="1" s="1"/>
  <c r="AK12" i="1" s="1"/>
  <c r="AM12" i="1" s="1"/>
  <c r="C3" i="4"/>
  <c r="C15" i="4"/>
  <c r="C20" i="4"/>
  <c r="C225" i="5"/>
  <c r="AF189" i="1"/>
  <c r="AH189" i="1" s="1"/>
  <c r="AK189" i="1" s="1"/>
  <c r="AM189" i="1" s="1"/>
  <c r="AE21" i="1"/>
  <c r="AF21" i="1" s="1"/>
  <c r="AG21" i="1" s="1"/>
  <c r="AH21" i="1" s="1"/>
  <c r="AF184" i="1"/>
  <c r="AH184" i="1" s="1"/>
  <c r="AK184" i="1" s="1"/>
  <c r="AM184" i="1" s="1"/>
  <c r="AF8" i="1"/>
  <c r="AH8" i="1" s="1"/>
  <c r="AK8" i="1" s="1"/>
  <c r="AM8" i="1" s="1"/>
  <c r="AF5" i="1"/>
  <c r="AH5" i="1" s="1"/>
  <c r="AK5" i="1" s="1"/>
  <c r="AM5" i="1" s="1"/>
  <c r="AF11" i="1"/>
  <c r="AH11" i="1" s="1"/>
  <c r="AK11" i="1" s="1"/>
  <c r="AM11" i="1" s="1"/>
  <c r="AE22" i="1"/>
  <c r="AF22" i="1" s="1"/>
  <c r="AG22" i="1" s="1"/>
  <c r="AH22" i="1" s="1"/>
  <c r="U185" i="1"/>
  <c r="D237" i="5" s="1"/>
  <c r="U169" i="1"/>
  <c r="D15" i="4" s="1"/>
  <c r="U180" i="1"/>
  <c r="D20" i="4" s="1"/>
  <c r="C29" i="4"/>
  <c r="C10" i="4"/>
  <c r="AF186" i="1"/>
  <c r="AH186" i="1" s="1"/>
  <c r="AK186" i="1" s="1"/>
  <c r="AM186" i="1" s="1"/>
  <c r="AF188" i="1"/>
  <c r="AH188" i="1" s="1"/>
  <c r="AK188" i="1" s="1"/>
  <c r="AM188" i="1" s="1"/>
  <c r="AF185" i="1"/>
  <c r="AH185" i="1" s="1"/>
  <c r="AK185" i="1" s="1"/>
  <c r="AM185" i="1" s="1"/>
  <c r="U184" i="1"/>
  <c r="D2" i="4" s="1"/>
  <c r="U176" i="1"/>
  <c r="D19" i="4" s="1"/>
  <c r="U168" i="1"/>
  <c r="D21" i="4" s="1"/>
  <c r="C214" i="5"/>
  <c r="C204" i="5"/>
  <c r="C127" i="5"/>
  <c r="C160" i="5"/>
  <c r="C197" i="5"/>
  <c r="C129" i="5"/>
  <c r="C126" i="5"/>
  <c r="U190" i="1"/>
  <c r="D30" i="4" s="1"/>
  <c r="U182" i="1"/>
  <c r="D12" i="4" s="1"/>
  <c r="U174" i="1"/>
  <c r="D14" i="4" s="1"/>
  <c r="C234" i="5"/>
  <c r="C220" i="5"/>
  <c r="C68" i="5"/>
  <c r="C239" i="5"/>
  <c r="C235" i="5"/>
  <c r="C221" i="5"/>
  <c r="D13" i="4"/>
  <c r="D226" i="5"/>
  <c r="C123" i="5"/>
  <c r="C29" i="5"/>
  <c r="C233" i="5"/>
  <c r="C100" i="5"/>
  <c r="C208" i="5"/>
  <c r="C217" i="5"/>
  <c r="U12" i="1"/>
  <c r="C119" i="4"/>
  <c r="C23" i="4"/>
  <c r="U23" i="1"/>
  <c r="U5" i="1"/>
  <c r="C129" i="4"/>
  <c r="C111" i="4"/>
  <c r="U7" i="1"/>
  <c r="C115" i="4"/>
  <c r="U10" i="1"/>
  <c r="U21" i="1"/>
  <c r="C102" i="4"/>
  <c r="C238" i="4"/>
  <c r="U27" i="1"/>
  <c r="U6" i="1"/>
  <c r="C32" i="4"/>
  <c r="C130" i="4"/>
  <c r="U11" i="1"/>
  <c r="C118" i="4"/>
  <c r="U22" i="1"/>
  <c r="U8" i="1"/>
  <c r="C33" i="4"/>
  <c r="U9" i="1"/>
  <c r="C131" i="4"/>
  <c r="C13" i="3"/>
  <c r="AZ258" i="1"/>
  <c r="AZ255" i="1"/>
  <c r="AZ252" i="1"/>
  <c r="AZ251" i="1"/>
  <c r="AZ247" i="1"/>
  <c r="AZ245" i="1"/>
  <c r="Z242" i="1"/>
  <c r="AB242" i="1" s="1"/>
  <c r="R242" i="1" s="1"/>
  <c r="Z241" i="1"/>
  <c r="AB241" i="1" s="1"/>
  <c r="R241" i="1" s="1"/>
  <c r="Z240" i="1"/>
  <c r="AB240" i="1" s="1"/>
  <c r="R240" i="1" s="1"/>
  <c r="Z239" i="1"/>
  <c r="AB239" i="1" s="1"/>
  <c r="R239" i="1" s="1"/>
  <c r="Z238" i="1"/>
  <c r="AB238" i="1" s="1"/>
  <c r="R238" i="1" s="1"/>
  <c r="Z237" i="1"/>
  <c r="AB237" i="1" s="1"/>
  <c r="R237" i="1" s="1"/>
  <c r="Z236" i="1"/>
  <c r="AB236" i="1" s="1"/>
  <c r="R236" i="1" s="1"/>
  <c r="Z235" i="1"/>
  <c r="AB235" i="1" s="1"/>
  <c r="R235" i="1" s="1"/>
  <c r="Z225" i="1"/>
  <c r="AB225" i="1" s="1"/>
  <c r="R225" i="1" s="1"/>
  <c r="Z222" i="1"/>
  <c r="AB222" i="1" s="1"/>
  <c r="R222" i="1" s="1"/>
  <c r="Z221" i="1"/>
  <c r="AB221" i="1" s="1"/>
  <c r="R221" i="1" s="1"/>
  <c r="Z220" i="1"/>
  <c r="AB220" i="1" s="1"/>
  <c r="R220" i="1" s="1"/>
  <c r="Z219" i="1"/>
  <c r="AB219" i="1" s="1"/>
  <c r="R219" i="1" s="1"/>
  <c r="Z216" i="1"/>
  <c r="AB216" i="1" s="1"/>
  <c r="R216" i="1" s="1"/>
  <c r="Z217" i="1"/>
  <c r="AB217" i="1" s="1"/>
  <c r="R217" i="1" s="1"/>
  <c r="Z218" i="1"/>
  <c r="AC218" i="1" s="1"/>
  <c r="Z205" i="1"/>
  <c r="Z204" i="1"/>
  <c r="Z203" i="1"/>
  <c r="Z202" i="1"/>
  <c r="Z201" i="1"/>
  <c r="Z167" i="1"/>
  <c r="AC167" i="1" s="1"/>
  <c r="S167" i="1" s="1"/>
  <c r="Z166" i="1"/>
  <c r="AC166" i="1" s="1"/>
  <c r="S166" i="1" s="1"/>
  <c r="Z165" i="1"/>
  <c r="AC165" i="1" s="1"/>
  <c r="S165" i="1" s="1"/>
  <c r="Z164" i="1"/>
  <c r="AC164" i="1" s="1"/>
  <c r="S164" i="1" s="1"/>
  <c r="Z163" i="1"/>
  <c r="AC163" i="1" s="1"/>
  <c r="S163" i="1" s="1"/>
  <c r="Z162" i="1"/>
  <c r="AC162" i="1" s="1"/>
  <c r="S162" i="1" s="1"/>
  <c r="Z161" i="1"/>
  <c r="AC161" i="1" s="1"/>
  <c r="S161" i="1" s="1"/>
  <c r="Z160" i="1"/>
  <c r="AC160" i="1" s="1"/>
  <c r="S160" i="1" s="1"/>
  <c r="Z159" i="1"/>
  <c r="AC159" i="1" s="1"/>
  <c r="S159" i="1" s="1"/>
  <c r="Z121" i="1"/>
  <c r="AC121" i="1" s="1"/>
  <c r="S121" i="1" s="1"/>
  <c r="Z120" i="1"/>
  <c r="AC120" i="1" s="1"/>
  <c r="S120" i="1" s="1"/>
  <c r="Z119" i="1"/>
  <c r="AC119" i="1" s="1"/>
  <c r="S119" i="1" s="1"/>
  <c r="Z118" i="1"/>
  <c r="AC118" i="1" s="1"/>
  <c r="S118" i="1" s="1"/>
  <c r="Z117" i="1"/>
  <c r="AC117" i="1" s="1"/>
  <c r="S117" i="1" s="1"/>
  <c r="Z116" i="1"/>
  <c r="AC116" i="1" s="1"/>
  <c r="S116" i="1" s="1"/>
  <c r="Z115" i="1"/>
  <c r="AC115" i="1" s="1"/>
  <c r="S115" i="1" s="1"/>
  <c r="Z114" i="1"/>
  <c r="AC114" i="1" s="1"/>
  <c r="S114" i="1" s="1"/>
  <c r="Z113" i="1"/>
  <c r="AC113" i="1" s="1"/>
  <c r="S113" i="1" s="1"/>
  <c r="Z112" i="1"/>
  <c r="AC112" i="1" s="1"/>
  <c r="S112" i="1" s="1"/>
  <c r="Z111" i="1"/>
  <c r="AC111" i="1" s="1"/>
  <c r="S111" i="1" s="1"/>
  <c r="Z110" i="1"/>
  <c r="AC110" i="1" s="1"/>
  <c r="S110" i="1" s="1"/>
  <c r="Z109" i="1"/>
  <c r="AC109" i="1" s="1"/>
  <c r="S109" i="1" s="1"/>
  <c r="Z108" i="1"/>
  <c r="AC108" i="1" s="1"/>
  <c r="S108" i="1" s="1"/>
  <c r="Z107" i="1"/>
  <c r="AC107" i="1" s="1"/>
  <c r="S107" i="1" s="1"/>
  <c r="Z106" i="1"/>
  <c r="AC106" i="1" s="1"/>
  <c r="S106" i="1" s="1"/>
  <c r="Z105" i="1"/>
  <c r="AC105" i="1" s="1"/>
  <c r="S105" i="1" s="1"/>
  <c r="Z104" i="1"/>
  <c r="AC104" i="1" s="1"/>
  <c r="S104" i="1" s="1"/>
  <c r="Z103" i="1"/>
  <c r="AC103" i="1" s="1"/>
  <c r="S103" i="1" s="1"/>
  <c r="Z102" i="1"/>
  <c r="AC102" i="1" s="1"/>
  <c r="S102" i="1" s="1"/>
  <c r="Z101" i="1"/>
  <c r="AC101" i="1" s="1"/>
  <c r="S101" i="1" s="1"/>
  <c r="Z100" i="1"/>
  <c r="AC100" i="1" s="1"/>
  <c r="S100" i="1" s="1"/>
  <c r="Z99" i="1"/>
  <c r="AC99" i="1" s="1"/>
  <c r="S99" i="1" s="1"/>
  <c r="Z98" i="1"/>
  <c r="AC98" i="1" s="1"/>
  <c r="S98" i="1" s="1"/>
  <c r="Z97" i="1"/>
  <c r="AC97" i="1" s="1"/>
  <c r="S97" i="1" s="1"/>
  <c r="Z96" i="1"/>
  <c r="AC96" i="1" s="1"/>
  <c r="S96" i="1" s="1"/>
  <c r="Z95" i="1"/>
  <c r="AC95" i="1" s="1"/>
  <c r="S95" i="1" s="1"/>
  <c r="Z94" i="1"/>
  <c r="AC94" i="1" s="1"/>
  <c r="S94" i="1" s="1"/>
  <c r="Z93" i="1"/>
  <c r="AC93" i="1" s="1"/>
  <c r="S93" i="1" s="1"/>
  <c r="Z92" i="1"/>
  <c r="AC92" i="1" s="1"/>
  <c r="S92" i="1" s="1"/>
  <c r="Z91" i="1"/>
  <c r="AC91" i="1" s="1"/>
  <c r="S91" i="1" s="1"/>
  <c r="Z90" i="1"/>
  <c r="AC90" i="1" s="1"/>
  <c r="S90" i="1" s="1"/>
  <c r="Z89" i="1"/>
  <c r="AC89" i="1" s="1"/>
  <c r="S89" i="1" s="1"/>
  <c r="Z88" i="1"/>
  <c r="AC88" i="1" s="1"/>
  <c r="S88" i="1" s="1"/>
  <c r="Z87" i="1"/>
  <c r="AC87" i="1" s="1"/>
  <c r="S87" i="1" s="1"/>
  <c r="Z86" i="1"/>
  <c r="AC86" i="1" s="1"/>
  <c r="S86" i="1" s="1"/>
  <c r="Z85" i="1"/>
  <c r="AC85" i="1" s="1"/>
  <c r="S85" i="1" s="1"/>
  <c r="Z84" i="1"/>
  <c r="AC84" i="1" s="1"/>
  <c r="S84" i="1" s="1"/>
  <c r="Z83" i="1"/>
  <c r="AC83" i="1" s="1"/>
  <c r="S83" i="1" s="1"/>
  <c r="Z82" i="1"/>
  <c r="AC82" i="1" s="1"/>
  <c r="S82" i="1" s="1"/>
  <c r="Z81" i="1"/>
  <c r="AC81" i="1" s="1"/>
  <c r="S81" i="1" s="1"/>
  <c r="Z80" i="1"/>
  <c r="AC80" i="1" s="1"/>
  <c r="S80" i="1" s="1"/>
  <c r="Z79" i="1"/>
  <c r="AC79" i="1" s="1"/>
  <c r="S79" i="1" s="1"/>
  <c r="Z78" i="1"/>
  <c r="AC78" i="1" s="1"/>
  <c r="S78" i="1" s="1"/>
  <c r="Z77" i="1"/>
  <c r="AC77" i="1" s="1"/>
  <c r="S77" i="1" s="1"/>
  <c r="Z76" i="1"/>
  <c r="AC76" i="1" s="1"/>
  <c r="S76" i="1" s="1"/>
  <c r="Z75" i="1"/>
  <c r="AC75" i="1" s="1"/>
  <c r="S75" i="1" s="1"/>
  <c r="Z74" i="1"/>
  <c r="AC74" i="1" s="1"/>
  <c r="S74" i="1" s="1"/>
  <c r="Z73" i="1"/>
  <c r="AC73" i="1" s="1"/>
  <c r="S73" i="1" s="1"/>
  <c r="Z72" i="1"/>
  <c r="AC72" i="1" s="1"/>
  <c r="S72" i="1" s="1"/>
  <c r="Z71" i="1"/>
  <c r="AC71" i="1" s="1"/>
  <c r="S71" i="1" s="1"/>
  <c r="Z70" i="1"/>
  <c r="AC70" i="1" s="1"/>
  <c r="S70" i="1" s="1"/>
  <c r="Z69" i="1"/>
  <c r="AC69" i="1" s="1"/>
  <c r="S69" i="1" s="1"/>
  <c r="Z68" i="1"/>
  <c r="AC68" i="1" s="1"/>
  <c r="S68" i="1" s="1"/>
  <c r="Z67" i="1"/>
  <c r="AC67" i="1" s="1"/>
  <c r="S67" i="1" s="1"/>
  <c r="Z66" i="1"/>
  <c r="AC66" i="1" s="1"/>
  <c r="S66" i="1" s="1"/>
  <c r="Z65" i="1"/>
  <c r="AC65" i="1" s="1"/>
  <c r="S65" i="1" s="1"/>
  <c r="Z64" i="1"/>
  <c r="AC64" i="1" s="1"/>
  <c r="S64" i="1" s="1"/>
  <c r="Z63" i="1"/>
  <c r="AC63" i="1" s="1"/>
  <c r="S63" i="1" s="1"/>
  <c r="Z62" i="1"/>
  <c r="AC62" i="1" s="1"/>
  <c r="S62" i="1" s="1"/>
  <c r="Z61" i="1"/>
  <c r="AC61" i="1" s="1"/>
  <c r="S61" i="1" s="1"/>
  <c r="Z60" i="1"/>
  <c r="AC60" i="1" s="1"/>
  <c r="S60" i="1" s="1"/>
  <c r="Z20" i="1"/>
  <c r="AC20" i="1" s="1"/>
  <c r="S20" i="1" s="1"/>
  <c r="Z19" i="1"/>
  <c r="AC19" i="1" s="1"/>
  <c r="S19" i="1" s="1"/>
  <c r="Z18" i="1"/>
  <c r="AC18" i="1" s="1"/>
  <c r="S18" i="1" s="1"/>
  <c r="BW61" i="1" l="1"/>
  <c r="BI61" i="1"/>
  <c r="CK61" i="1"/>
  <c r="BI69" i="1"/>
  <c r="BW69" i="1"/>
  <c r="CK69" i="1"/>
  <c r="BI77" i="1"/>
  <c r="CK77" i="1"/>
  <c r="BW77" i="1"/>
  <c r="BW85" i="1"/>
  <c r="BI85" i="1"/>
  <c r="CK85" i="1"/>
  <c r="CK89" i="1"/>
  <c r="BI89" i="1"/>
  <c r="BW89" i="1"/>
  <c r="CK97" i="1"/>
  <c r="BW97" i="1"/>
  <c r="BI97" i="1"/>
  <c r="BW105" i="1"/>
  <c r="CK105" i="1"/>
  <c r="BI105" i="1"/>
  <c r="BW113" i="1"/>
  <c r="CK113" i="1"/>
  <c r="BI113" i="1"/>
  <c r="BW121" i="1"/>
  <c r="CK121" i="1"/>
  <c r="BI121" i="1"/>
  <c r="BI166" i="1"/>
  <c r="BW166" i="1"/>
  <c r="CK166" i="1"/>
  <c r="BW221" i="1"/>
  <c r="CK221" i="1"/>
  <c r="BI221" i="1"/>
  <c r="CK236" i="1"/>
  <c r="BW236" i="1"/>
  <c r="BI236" i="1"/>
  <c r="CK20" i="1"/>
  <c r="BW20" i="1"/>
  <c r="BI20" i="1"/>
  <c r="BI63" i="1"/>
  <c r="BW63" i="1"/>
  <c r="CK63" i="1"/>
  <c r="BI67" i="1"/>
  <c r="BW67" i="1"/>
  <c r="CK67" i="1"/>
  <c r="BW71" i="1"/>
  <c r="BI71" i="1"/>
  <c r="CK71" i="1"/>
  <c r="BI75" i="1"/>
  <c r="BW75" i="1"/>
  <c r="CK75" i="1"/>
  <c r="BI79" i="1"/>
  <c r="BW79" i="1"/>
  <c r="CK79" i="1"/>
  <c r="CK83" i="1"/>
  <c r="BW83" i="1"/>
  <c r="BI83" i="1"/>
  <c r="CK87" i="1"/>
  <c r="BW87" i="1"/>
  <c r="BI87" i="1"/>
  <c r="BW91" i="1"/>
  <c r="BI91" i="1"/>
  <c r="CK91" i="1"/>
  <c r="BI95" i="1"/>
  <c r="BW95" i="1"/>
  <c r="CK95" i="1"/>
  <c r="BW99" i="1"/>
  <c r="BI99" i="1"/>
  <c r="CK99" i="1"/>
  <c r="BI103" i="1"/>
  <c r="BW103" i="1"/>
  <c r="CK103" i="1"/>
  <c r="CK107" i="1"/>
  <c r="BI107" i="1"/>
  <c r="BW107" i="1"/>
  <c r="BI111" i="1"/>
  <c r="CK111" i="1"/>
  <c r="BW111" i="1"/>
  <c r="BI115" i="1"/>
  <c r="BW115" i="1"/>
  <c r="CK115" i="1"/>
  <c r="BI119" i="1"/>
  <c r="BW119" i="1"/>
  <c r="CK119" i="1"/>
  <c r="BW160" i="1"/>
  <c r="CK160" i="1"/>
  <c r="BI160" i="1"/>
  <c r="BW164" i="1"/>
  <c r="CK164" i="1"/>
  <c r="BI164" i="1"/>
  <c r="BW219" i="1"/>
  <c r="CK219" i="1"/>
  <c r="BI219" i="1"/>
  <c r="BW225" i="1"/>
  <c r="CK225" i="1"/>
  <c r="BI225" i="1"/>
  <c r="CK238" i="1"/>
  <c r="BW238" i="1"/>
  <c r="BI238" i="1"/>
  <c r="BW242" i="1"/>
  <c r="CK242" i="1"/>
  <c r="BI242" i="1"/>
  <c r="BW60" i="1"/>
  <c r="CK60" i="1"/>
  <c r="BI60" i="1"/>
  <c r="BW64" i="1"/>
  <c r="BI64" i="1"/>
  <c r="CK64" i="1"/>
  <c r="BW68" i="1"/>
  <c r="CK68" i="1"/>
  <c r="BI68" i="1"/>
  <c r="BI72" i="1"/>
  <c r="BW72" i="1"/>
  <c r="CK72" i="1"/>
  <c r="BW76" i="1"/>
  <c r="CK76" i="1"/>
  <c r="BI76" i="1"/>
  <c r="BW80" i="1"/>
  <c r="CK80" i="1"/>
  <c r="BI80" i="1"/>
  <c r="BW84" i="1"/>
  <c r="BI84" i="1"/>
  <c r="CK84" i="1"/>
  <c r="BW88" i="1"/>
  <c r="BI88" i="1"/>
  <c r="CK88" i="1"/>
  <c r="CK92" i="1"/>
  <c r="BI92" i="1"/>
  <c r="BW92" i="1"/>
  <c r="BW96" i="1"/>
  <c r="CK96" i="1"/>
  <c r="BI96" i="1"/>
  <c r="BW100" i="1"/>
  <c r="CK100" i="1"/>
  <c r="BI100" i="1"/>
  <c r="BI104" i="1"/>
  <c r="BW104" i="1"/>
  <c r="CK104" i="1"/>
  <c r="BW108" i="1"/>
  <c r="CK108" i="1"/>
  <c r="BI108" i="1"/>
  <c r="BW112" i="1"/>
  <c r="CK112" i="1"/>
  <c r="BI112" i="1"/>
  <c r="CK116" i="1"/>
  <c r="BW116" i="1"/>
  <c r="BI116" i="1"/>
  <c r="BI120" i="1"/>
  <c r="CK120" i="1"/>
  <c r="BW120" i="1"/>
  <c r="BW161" i="1"/>
  <c r="BI161" i="1"/>
  <c r="CK161" i="1"/>
  <c r="BW165" i="1"/>
  <c r="CK165" i="1"/>
  <c r="BI165" i="1"/>
  <c r="S218" i="1"/>
  <c r="T218" i="1" s="1"/>
  <c r="BI220" i="1"/>
  <c r="BW220" i="1"/>
  <c r="CK220" i="1"/>
  <c r="BW235" i="1"/>
  <c r="BI235" i="1"/>
  <c r="CK235" i="1"/>
  <c r="BW239" i="1"/>
  <c r="CK239" i="1"/>
  <c r="BI239" i="1"/>
  <c r="BW18" i="1"/>
  <c r="CK18" i="1"/>
  <c r="BI18" i="1"/>
  <c r="CK65" i="1"/>
  <c r="BI65" i="1"/>
  <c r="BW65" i="1"/>
  <c r="CK73" i="1"/>
  <c r="BI73" i="1"/>
  <c r="BW73" i="1"/>
  <c r="BW81" i="1"/>
  <c r="CK81" i="1"/>
  <c r="BI81" i="1"/>
  <c r="BI93" i="1"/>
  <c r="CK93" i="1"/>
  <c r="BW93" i="1"/>
  <c r="BI101" i="1"/>
  <c r="BW101" i="1"/>
  <c r="CK101" i="1"/>
  <c r="BI109" i="1"/>
  <c r="CK109" i="1"/>
  <c r="BW109" i="1"/>
  <c r="BW117" i="1"/>
  <c r="BI117" i="1"/>
  <c r="CK117" i="1"/>
  <c r="BI162" i="1"/>
  <c r="BW162" i="1"/>
  <c r="CK162" i="1"/>
  <c r="CK217" i="1"/>
  <c r="BW217" i="1"/>
  <c r="BI217" i="1"/>
  <c r="BW240" i="1"/>
  <c r="CK240" i="1"/>
  <c r="BI240" i="1"/>
  <c r="BW19" i="1"/>
  <c r="BI19" i="1"/>
  <c r="CK19" i="1"/>
  <c r="BW62" i="1"/>
  <c r="CK62" i="1"/>
  <c r="BI62" i="1"/>
  <c r="BW66" i="1"/>
  <c r="CK66" i="1"/>
  <c r="BI66" i="1"/>
  <c r="BW70" i="1"/>
  <c r="CK70" i="1"/>
  <c r="BI70" i="1"/>
  <c r="BW74" i="1"/>
  <c r="BI74" i="1"/>
  <c r="CK74" i="1"/>
  <c r="BW78" i="1"/>
  <c r="BI78" i="1"/>
  <c r="CK78" i="1"/>
  <c r="BW82" i="1"/>
  <c r="CK82" i="1"/>
  <c r="BI82" i="1"/>
  <c r="BW86" i="1"/>
  <c r="BI86" i="1"/>
  <c r="CK86" i="1"/>
  <c r="BW90" i="1"/>
  <c r="BI90" i="1"/>
  <c r="CK90" i="1"/>
  <c r="BW94" i="1"/>
  <c r="CK94" i="1"/>
  <c r="BI94" i="1"/>
  <c r="BW98" i="1"/>
  <c r="CK98" i="1"/>
  <c r="BI98" i="1"/>
  <c r="BI102" i="1"/>
  <c r="BW102" i="1"/>
  <c r="CK102" i="1"/>
  <c r="BW106" i="1"/>
  <c r="BI106" i="1"/>
  <c r="CK106" i="1"/>
  <c r="BW110" i="1"/>
  <c r="CK110" i="1"/>
  <c r="BI110" i="1"/>
  <c r="BW114" i="1"/>
  <c r="CK114" i="1"/>
  <c r="BI114" i="1"/>
  <c r="BI118" i="1"/>
  <c r="BW118" i="1"/>
  <c r="CK118" i="1"/>
  <c r="BI159" i="1"/>
  <c r="CK159" i="1"/>
  <c r="BW159" i="1"/>
  <c r="BW163" i="1"/>
  <c r="CK163" i="1"/>
  <c r="BI163" i="1"/>
  <c r="BW167" i="1"/>
  <c r="CK167" i="1"/>
  <c r="BI167" i="1"/>
  <c r="BW216" i="1"/>
  <c r="CK216" i="1"/>
  <c r="BI216" i="1"/>
  <c r="CK222" i="1"/>
  <c r="BW222" i="1"/>
  <c r="BI222" i="1"/>
  <c r="BI237" i="1"/>
  <c r="CK237" i="1"/>
  <c r="BW237" i="1"/>
  <c r="BW241" i="1"/>
  <c r="BI241" i="1"/>
  <c r="CK241" i="1"/>
  <c r="D29" i="4"/>
  <c r="AN22" i="1"/>
  <c r="D159" i="5"/>
  <c r="D48" i="4"/>
  <c r="D130" i="5"/>
  <c r="D3" i="5"/>
  <c r="D145" i="4"/>
  <c r="D151" i="4"/>
  <c r="D199" i="5"/>
  <c r="D228" i="5"/>
  <c r="D31" i="4"/>
  <c r="D142" i="4"/>
  <c r="D10" i="5"/>
  <c r="D222" i="5"/>
  <c r="D112" i="4"/>
  <c r="D101" i="4"/>
  <c r="D162" i="5"/>
  <c r="D56" i="5"/>
  <c r="D149" i="4"/>
  <c r="D145" i="5"/>
  <c r="D140" i="4"/>
  <c r="D69" i="5"/>
  <c r="D19" i="5"/>
  <c r="D155" i="4"/>
  <c r="D139" i="4"/>
  <c r="D169" i="5"/>
  <c r="D154" i="4"/>
  <c r="D187" i="5"/>
  <c r="D113" i="4"/>
  <c r="D172" i="5"/>
  <c r="AN189" i="1"/>
  <c r="D210" i="5"/>
  <c r="D5" i="4"/>
  <c r="D148" i="4"/>
  <c r="D11" i="5"/>
  <c r="D48" i="5"/>
  <c r="D123" i="4"/>
  <c r="D18" i="4"/>
  <c r="T221" i="1"/>
  <c r="U221" i="1" s="1"/>
  <c r="AI221" i="1"/>
  <c r="T240" i="1"/>
  <c r="AI240" i="1"/>
  <c r="AL240" i="1" s="1"/>
  <c r="T222" i="1"/>
  <c r="U222" i="1" s="1"/>
  <c r="AI222" i="1"/>
  <c r="T241" i="1"/>
  <c r="AI241" i="1"/>
  <c r="AL241" i="1" s="1"/>
  <c r="T219" i="1"/>
  <c r="U219" i="1" s="1"/>
  <c r="AI219" i="1"/>
  <c r="T225" i="1"/>
  <c r="AI225" i="1"/>
  <c r="T238" i="1"/>
  <c r="AI238" i="1"/>
  <c r="AL238" i="1" s="1"/>
  <c r="T242" i="1"/>
  <c r="AI242" i="1"/>
  <c r="AL242" i="1" s="1"/>
  <c r="T217" i="1"/>
  <c r="C152" i="4" s="1"/>
  <c r="AG217" i="1"/>
  <c r="T236" i="1"/>
  <c r="AI236" i="1"/>
  <c r="AL236" i="1" s="1"/>
  <c r="T216" i="1"/>
  <c r="C28" i="5" s="1"/>
  <c r="AG216" i="1"/>
  <c r="T237" i="1"/>
  <c r="AI237" i="1"/>
  <c r="AL237" i="1" s="1"/>
  <c r="T220" i="1"/>
  <c r="U220" i="1" s="1"/>
  <c r="AI220" i="1"/>
  <c r="T235" i="1"/>
  <c r="AI235" i="1"/>
  <c r="AL235" i="1" s="1"/>
  <c r="T239" i="1"/>
  <c r="C23" i="5" s="1"/>
  <c r="AI239" i="1"/>
  <c r="AL239" i="1" s="1"/>
  <c r="D17" i="4"/>
  <c r="AN11" i="1"/>
  <c r="AN9" i="1"/>
  <c r="D238" i="5"/>
  <c r="D3" i="4"/>
  <c r="D204" i="5"/>
  <c r="D7" i="4"/>
  <c r="AN184" i="1"/>
  <c r="AN187" i="1"/>
  <c r="D9" i="4"/>
  <c r="D225" i="5"/>
  <c r="AI62" i="1"/>
  <c r="AE62" i="1"/>
  <c r="AG62" i="1"/>
  <c r="AM62" i="1"/>
  <c r="AL62" i="1"/>
  <c r="AF62" i="1"/>
  <c r="AK62" i="1"/>
  <c r="AH62" i="1"/>
  <c r="AD62" i="1"/>
  <c r="AI66" i="1"/>
  <c r="AE66" i="1"/>
  <c r="AG66" i="1"/>
  <c r="AL66" i="1"/>
  <c r="AF66" i="1"/>
  <c r="AM66" i="1"/>
  <c r="AK66" i="1"/>
  <c r="AH66" i="1"/>
  <c r="AD66" i="1"/>
  <c r="AI70" i="1"/>
  <c r="AE70" i="1"/>
  <c r="AG70" i="1"/>
  <c r="AL70" i="1"/>
  <c r="AF70" i="1"/>
  <c r="AK70" i="1"/>
  <c r="AH70" i="1"/>
  <c r="AM70" i="1"/>
  <c r="AD70" i="1"/>
  <c r="AI74" i="1"/>
  <c r="AE74" i="1"/>
  <c r="AM74" i="1"/>
  <c r="AG74" i="1"/>
  <c r="AL74" i="1"/>
  <c r="AF74" i="1"/>
  <c r="AK74" i="1"/>
  <c r="AH74" i="1"/>
  <c r="AD74" i="1"/>
  <c r="AI78" i="1"/>
  <c r="AE78" i="1"/>
  <c r="AG78" i="1"/>
  <c r="AM78" i="1"/>
  <c r="AL78" i="1"/>
  <c r="AF78" i="1"/>
  <c r="AK78" i="1"/>
  <c r="AD78" i="1"/>
  <c r="AH78" i="1"/>
  <c r="AI82" i="1"/>
  <c r="AE82" i="1"/>
  <c r="AG82" i="1"/>
  <c r="AL82" i="1"/>
  <c r="AF82" i="1"/>
  <c r="AM82" i="1"/>
  <c r="AK82" i="1"/>
  <c r="AD82" i="1"/>
  <c r="AH82" i="1"/>
  <c r="AI86" i="1"/>
  <c r="AE86" i="1"/>
  <c r="AG86" i="1"/>
  <c r="AL86" i="1"/>
  <c r="AF86" i="1"/>
  <c r="AK86" i="1"/>
  <c r="AD86" i="1"/>
  <c r="AH86" i="1"/>
  <c r="AM86" i="1"/>
  <c r="AI90" i="1"/>
  <c r="AE90" i="1"/>
  <c r="AM90" i="1"/>
  <c r="AG90" i="1"/>
  <c r="AL90" i="1"/>
  <c r="AF90" i="1"/>
  <c r="AK90" i="1"/>
  <c r="AD90" i="1"/>
  <c r="AH90" i="1"/>
  <c r="AI94" i="1"/>
  <c r="AE94" i="1"/>
  <c r="AG94" i="1"/>
  <c r="AM94" i="1"/>
  <c r="AL94" i="1"/>
  <c r="AF94" i="1"/>
  <c r="AK94" i="1"/>
  <c r="AD94" i="1"/>
  <c r="AH94" i="1"/>
  <c r="AI98" i="1"/>
  <c r="AE98" i="1"/>
  <c r="AG98" i="1"/>
  <c r="AL98" i="1"/>
  <c r="AF98" i="1"/>
  <c r="AM98" i="1"/>
  <c r="AK98" i="1"/>
  <c r="AD98" i="1"/>
  <c r="AH98" i="1"/>
  <c r="AI102" i="1"/>
  <c r="AE102" i="1"/>
  <c r="AG102" i="1"/>
  <c r="AL102" i="1"/>
  <c r="AF102" i="1"/>
  <c r="AK102" i="1"/>
  <c r="AD102" i="1"/>
  <c r="AM102" i="1"/>
  <c r="AH102" i="1"/>
  <c r="AI106" i="1"/>
  <c r="AE106" i="1"/>
  <c r="AM106" i="1"/>
  <c r="AG106" i="1"/>
  <c r="AL106" i="1"/>
  <c r="AF106" i="1"/>
  <c r="AK106" i="1"/>
  <c r="AD106" i="1"/>
  <c r="AH106" i="1"/>
  <c r="AI110" i="1"/>
  <c r="AE110" i="1"/>
  <c r="AG110" i="1"/>
  <c r="AM110" i="1"/>
  <c r="AL110" i="1"/>
  <c r="AF110" i="1"/>
  <c r="AK110" i="1"/>
  <c r="AD110" i="1"/>
  <c r="AH110" i="1"/>
  <c r="AI114" i="1"/>
  <c r="AE114" i="1"/>
  <c r="AG114" i="1"/>
  <c r="AL114" i="1"/>
  <c r="AF114" i="1"/>
  <c r="AM114" i="1"/>
  <c r="AK114" i="1"/>
  <c r="AD114" i="1"/>
  <c r="AH114" i="1"/>
  <c r="AI118" i="1"/>
  <c r="AE118" i="1"/>
  <c r="AG118" i="1"/>
  <c r="AL118" i="1"/>
  <c r="AF118" i="1"/>
  <c r="AK118" i="1"/>
  <c r="AD118" i="1"/>
  <c r="AM118" i="1"/>
  <c r="AH118" i="1"/>
  <c r="AL159" i="1"/>
  <c r="AG159" i="1"/>
  <c r="AI159" i="1"/>
  <c r="AD159" i="1"/>
  <c r="AH159" i="1"/>
  <c r="AM159" i="1"/>
  <c r="AF159" i="1"/>
  <c r="AE159" i="1"/>
  <c r="AK159" i="1"/>
  <c r="AL163" i="1"/>
  <c r="AG163" i="1"/>
  <c r="AK163" i="1"/>
  <c r="AE163" i="1"/>
  <c r="AI163" i="1"/>
  <c r="AD163" i="1"/>
  <c r="AH163" i="1"/>
  <c r="AM163" i="1"/>
  <c r="AF163" i="1"/>
  <c r="AL167" i="1"/>
  <c r="AG167" i="1"/>
  <c r="AK167" i="1"/>
  <c r="AF167" i="1"/>
  <c r="AI167" i="1"/>
  <c r="AH167" i="1"/>
  <c r="AE167" i="1"/>
  <c r="AM167" i="1"/>
  <c r="AD167" i="1"/>
  <c r="AI63" i="1"/>
  <c r="AE63" i="1"/>
  <c r="AM63" i="1"/>
  <c r="AK63" i="1"/>
  <c r="AD63" i="1"/>
  <c r="AH63" i="1"/>
  <c r="AL63" i="1"/>
  <c r="AG63" i="1"/>
  <c r="AF63" i="1"/>
  <c r="AI67" i="1"/>
  <c r="AE67" i="1"/>
  <c r="AK67" i="1"/>
  <c r="AD67" i="1"/>
  <c r="AM67" i="1"/>
  <c r="AH67" i="1"/>
  <c r="AL67" i="1"/>
  <c r="AG67" i="1"/>
  <c r="AF67" i="1"/>
  <c r="AI71" i="1"/>
  <c r="AE71" i="1"/>
  <c r="AK71" i="1"/>
  <c r="AD71" i="1"/>
  <c r="AH71" i="1"/>
  <c r="AM71" i="1"/>
  <c r="AL71" i="1"/>
  <c r="AG71" i="1"/>
  <c r="AF71" i="1"/>
  <c r="AI75" i="1"/>
  <c r="AE75" i="1"/>
  <c r="AK75" i="1"/>
  <c r="AD75" i="1"/>
  <c r="AH75" i="1"/>
  <c r="AM75" i="1"/>
  <c r="AL75" i="1"/>
  <c r="AG75" i="1"/>
  <c r="AF75" i="1"/>
  <c r="AI79" i="1"/>
  <c r="AE79" i="1"/>
  <c r="AM79" i="1"/>
  <c r="AK79" i="1"/>
  <c r="AD79" i="1"/>
  <c r="AH79" i="1"/>
  <c r="AG79" i="1"/>
  <c r="AF79" i="1"/>
  <c r="AL79" i="1"/>
  <c r="AI83" i="1"/>
  <c r="AE83" i="1"/>
  <c r="AK83" i="1"/>
  <c r="AD83" i="1"/>
  <c r="AM83" i="1"/>
  <c r="AH83" i="1"/>
  <c r="AG83" i="1"/>
  <c r="AL83" i="1"/>
  <c r="AF83" i="1"/>
  <c r="AI87" i="1"/>
  <c r="AE87" i="1"/>
  <c r="AK87" i="1"/>
  <c r="AD87" i="1"/>
  <c r="AH87" i="1"/>
  <c r="AM87" i="1"/>
  <c r="AG87" i="1"/>
  <c r="AF87" i="1"/>
  <c r="AL87" i="1"/>
  <c r="AI91" i="1"/>
  <c r="AE91" i="1"/>
  <c r="AK91" i="1"/>
  <c r="AD91" i="1"/>
  <c r="AH91" i="1"/>
  <c r="AG91" i="1"/>
  <c r="AL91" i="1"/>
  <c r="AM91" i="1"/>
  <c r="AF91" i="1"/>
  <c r="AI95" i="1"/>
  <c r="AE95" i="1"/>
  <c r="AM95" i="1"/>
  <c r="AK95" i="1"/>
  <c r="AD95" i="1"/>
  <c r="AH95" i="1"/>
  <c r="AG95" i="1"/>
  <c r="AF95" i="1"/>
  <c r="AL95" i="1"/>
  <c r="AI99" i="1"/>
  <c r="AE99" i="1"/>
  <c r="AK99" i="1"/>
  <c r="AD99" i="1"/>
  <c r="AM99" i="1"/>
  <c r="AH99" i="1"/>
  <c r="AG99" i="1"/>
  <c r="AL99" i="1"/>
  <c r="AF99" i="1"/>
  <c r="AI103" i="1"/>
  <c r="AE103" i="1"/>
  <c r="AK103" i="1"/>
  <c r="AD103" i="1"/>
  <c r="AH103" i="1"/>
  <c r="AM103" i="1"/>
  <c r="AG103" i="1"/>
  <c r="AF103" i="1"/>
  <c r="AL103" i="1"/>
  <c r="AI107" i="1"/>
  <c r="AE107" i="1"/>
  <c r="AK107" i="1"/>
  <c r="AD107" i="1"/>
  <c r="AH107" i="1"/>
  <c r="AG107" i="1"/>
  <c r="AL107" i="1"/>
  <c r="AF107" i="1"/>
  <c r="AM107" i="1"/>
  <c r="AI111" i="1"/>
  <c r="AE111" i="1"/>
  <c r="AM111" i="1"/>
  <c r="AK111" i="1"/>
  <c r="AD111" i="1"/>
  <c r="AH111" i="1"/>
  <c r="AG111" i="1"/>
  <c r="AF111" i="1"/>
  <c r="AL111" i="1"/>
  <c r="AI115" i="1"/>
  <c r="AE115" i="1"/>
  <c r="AK115" i="1"/>
  <c r="AD115" i="1"/>
  <c r="AM115" i="1"/>
  <c r="AH115" i="1"/>
  <c r="AG115" i="1"/>
  <c r="AL115" i="1"/>
  <c r="AF115" i="1"/>
  <c r="AI119" i="1"/>
  <c r="AE119" i="1"/>
  <c r="AK119" i="1"/>
  <c r="AD119" i="1"/>
  <c r="AH119" i="1"/>
  <c r="AM119" i="1"/>
  <c r="AG119" i="1"/>
  <c r="AF119" i="1"/>
  <c r="AL119" i="1"/>
  <c r="AK160" i="1"/>
  <c r="AF160" i="1"/>
  <c r="AL160" i="1"/>
  <c r="AE160" i="1"/>
  <c r="AI160" i="1"/>
  <c r="AD160" i="1"/>
  <c r="AH160" i="1"/>
  <c r="AM160" i="1"/>
  <c r="AG160" i="1"/>
  <c r="AK164" i="1"/>
  <c r="AF164" i="1"/>
  <c r="AM164" i="1"/>
  <c r="AG164" i="1"/>
  <c r="AL164" i="1"/>
  <c r="AE164" i="1"/>
  <c r="AI164" i="1"/>
  <c r="AD164" i="1"/>
  <c r="AH164" i="1"/>
  <c r="D224" i="5"/>
  <c r="D129" i="5"/>
  <c r="AL60" i="1"/>
  <c r="AM60" i="1"/>
  <c r="AI64" i="1"/>
  <c r="AE64" i="1"/>
  <c r="AG64" i="1"/>
  <c r="AL64" i="1"/>
  <c r="AF64" i="1"/>
  <c r="AD64" i="1"/>
  <c r="AK64" i="1"/>
  <c r="AM64" i="1"/>
  <c r="AH64" i="1"/>
  <c r="AI68" i="1"/>
  <c r="AE68" i="1"/>
  <c r="AM68" i="1"/>
  <c r="AG68" i="1"/>
  <c r="AL68" i="1"/>
  <c r="AF68" i="1"/>
  <c r="AD68" i="1"/>
  <c r="AK68" i="1"/>
  <c r="AH68" i="1"/>
  <c r="AI72" i="1"/>
  <c r="AE72" i="1"/>
  <c r="AG72" i="1"/>
  <c r="AM72" i="1"/>
  <c r="AL72" i="1"/>
  <c r="AF72" i="1"/>
  <c r="AD72" i="1"/>
  <c r="AK72" i="1"/>
  <c r="AH72" i="1"/>
  <c r="AI76" i="1"/>
  <c r="AE76" i="1"/>
  <c r="AG76" i="1"/>
  <c r="AL76" i="1"/>
  <c r="AF76" i="1"/>
  <c r="AM76" i="1"/>
  <c r="AK76" i="1"/>
  <c r="AD76" i="1"/>
  <c r="AH76" i="1"/>
  <c r="AI80" i="1"/>
  <c r="AE80" i="1"/>
  <c r="AG80" i="1"/>
  <c r="AL80" i="1"/>
  <c r="AF80" i="1"/>
  <c r="AK80" i="1"/>
  <c r="AD80" i="1"/>
  <c r="AM80" i="1"/>
  <c r="AH80" i="1"/>
  <c r="AI84" i="1"/>
  <c r="AE84" i="1"/>
  <c r="AM84" i="1"/>
  <c r="AG84" i="1"/>
  <c r="AL84" i="1"/>
  <c r="AF84" i="1"/>
  <c r="AK84" i="1"/>
  <c r="AD84" i="1"/>
  <c r="AH84" i="1"/>
  <c r="AI88" i="1"/>
  <c r="AE88" i="1"/>
  <c r="AG88" i="1"/>
  <c r="AM88" i="1"/>
  <c r="AL88" i="1"/>
  <c r="AF88" i="1"/>
  <c r="AK88" i="1"/>
  <c r="AD88" i="1"/>
  <c r="AH88" i="1"/>
  <c r="AI92" i="1"/>
  <c r="AE92" i="1"/>
  <c r="AG92" i="1"/>
  <c r="AL92" i="1"/>
  <c r="AF92" i="1"/>
  <c r="AM92" i="1"/>
  <c r="AK92" i="1"/>
  <c r="AD92" i="1"/>
  <c r="AH92" i="1"/>
  <c r="AI96" i="1"/>
  <c r="AE96" i="1"/>
  <c r="AG96" i="1"/>
  <c r="AL96" i="1"/>
  <c r="AF96" i="1"/>
  <c r="AK96" i="1"/>
  <c r="AD96" i="1"/>
  <c r="AM96" i="1"/>
  <c r="AH96" i="1"/>
  <c r="AI100" i="1"/>
  <c r="AE100" i="1"/>
  <c r="AM100" i="1"/>
  <c r="AG100" i="1"/>
  <c r="AL100" i="1"/>
  <c r="AF100" i="1"/>
  <c r="AK100" i="1"/>
  <c r="AD100" i="1"/>
  <c r="AH100" i="1"/>
  <c r="AI104" i="1"/>
  <c r="AE104" i="1"/>
  <c r="AG104" i="1"/>
  <c r="AM104" i="1"/>
  <c r="AL104" i="1"/>
  <c r="AF104" i="1"/>
  <c r="AK104" i="1"/>
  <c r="AD104" i="1"/>
  <c r="AH104" i="1"/>
  <c r="AI108" i="1"/>
  <c r="AE108" i="1"/>
  <c r="AG108" i="1"/>
  <c r="AL108" i="1"/>
  <c r="AF108" i="1"/>
  <c r="AM108" i="1"/>
  <c r="AK108" i="1"/>
  <c r="AD108" i="1"/>
  <c r="AH108" i="1"/>
  <c r="AI112" i="1"/>
  <c r="AE112" i="1"/>
  <c r="AG112" i="1"/>
  <c r="AL112" i="1"/>
  <c r="AF112" i="1"/>
  <c r="AK112" i="1"/>
  <c r="AD112" i="1"/>
  <c r="AM112" i="1"/>
  <c r="AH112" i="1"/>
  <c r="AI116" i="1"/>
  <c r="AE116" i="1"/>
  <c r="AM116" i="1"/>
  <c r="AG116" i="1"/>
  <c r="AL116" i="1"/>
  <c r="AF116" i="1"/>
  <c r="AK116" i="1"/>
  <c r="AD116" i="1"/>
  <c r="AH116" i="1"/>
  <c r="AI120" i="1"/>
  <c r="AE120" i="1"/>
  <c r="AG120" i="1"/>
  <c r="AM120" i="1"/>
  <c r="AL120" i="1"/>
  <c r="AF120" i="1"/>
  <c r="AK120" i="1"/>
  <c r="AD120" i="1"/>
  <c r="AH120" i="1"/>
  <c r="AI161" i="1"/>
  <c r="AE161" i="1"/>
  <c r="AM161" i="1"/>
  <c r="AG161" i="1"/>
  <c r="AL161" i="1"/>
  <c r="AF161" i="1"/>
  <c r="AK161" i="1"/>
  <c r="AD161" i="1"/>
  <c r="AH161" i="1"/>
  <c r="AI165" i="1"/>
  <c r="AE165" i="1"/>
  <c r="AH165" i="1"/>
  <c r="AM165" i="1"/>
  <c r="AG165" i="1"/>
  <c r="AL165" i="1"/>
  <c r="AF165" i="1"/>
  <c r="AK165" i="1"/>
  <c r="AD165" i="1"/>
  <c r="AM61" i="1"/>
  <c r="AI61" i="1"/>
  <c r="AE61" i="1"/>
  <c r="AK61" i="1"/>
  <c r="AD61" i="1"/>
  <c r="AH61" i="1"/>
  <c r="AG61" i="1"/>
  <c r="AF61" i="1"/>
  <c r="AL61" i="1"/>
  <c r="AM65" i="1"/>
  <c r="AI65" i="1"/>
  <c r="AE65" i="1"/>
  <c r="AK65" i="1"/>
  <c r="AD65" i="1"/>
  <c r="AH65" i="1"/>
  <c r="AG65" i="1"/>
  <c r="AF65" i="1"/>
  <c r="AL65" i="1"/>
  <c r="AM69" i="1"/>
  <c r="AI69" i="1"/>
  <c r="AE69" i="1"/>
  <c r="AK69" i="1"/>
  <c r="AD69" i="1"/>
  <c r="AH69" i="1"/>
  <c r="AG69" i="1"/>
  <c r="AF69" i="1"/>
  <c r="AL69" i="1"/>
  <c r="AM73" i="1"/>
  <c r="AI73" i="1"/>
  <c r="AE73" i="1"/>
  <c r="AK73" i="1"/>
  <c r="AD73" i="1"/>
  <c r="AH73" i="1"/>
  <c r="AG73" i="1"/>
  <c r="AF73" i="1"/>
  <c r="AL73" i="1"/>
  <c r="AM77" i="1"/>
  <c r="AI77" i="1"/>
  <c r="AE77" i="1"/>
  <c r="AK77" i="1"/>
  <c r="AD77" i="1"/>
  <c r="AH77" i="1"/>
  <c r="AG77" i="1"/>
  <c r="AL77" i="1"/>
  <c r="AF77" i="1"/>
  <c r="AM81" i="1"/>
  <c r="AI81" i="1"/>
  <c r="AE81" i="1"/>
  <c r="AK81" i="1"/>
  <c r="AD81" i="1"/>
  <c r="AH81" i="1"/>
  <c r="AG81" i="1"/>
  <c r="AL81" i="1"/>
  <c r="AF81" i="1"/>
  <c r="AM85" i="1"/>
  <c r="AI85" i="1"/>
  <c r="AE85" i="1"/>
  <c r="AK85" i="1"/>
  <c r="AD85" i="1"/>
  <c r="AH85" i="1"/>
  <c r="AG85" i="1"/>
  <c r="AL85" i="1"/>
  <c r="AF85" i="1"/>
  <c r="AM89" i="1"/>
  <c r="AI89" i="1"/>
  <c r="AE89" i="1"/>
  <c r="AK89" i="1"/>
  <c r="AD89" i="1"/>
  <c r="AH89" i="1"/>
  <c r="AG89" i="1"/>
  <c r="AL89" i="1"/>
  <c r="AF89" i="1"/>
  <c r="AM93" i="1"/>
  <c r="AI93" i="1"/>
  <c r="AE93" i="1"/>
  <c r="AK93" i="1"/>
  <c r="AD93" i="1"/>
  <c r="AH93" i="1"/>
  <c r="AG93" i="1"/>
  <c r="AL93" i="1"/>
  <c r="AF93" i="1"/>
  <c r="AM97" i="1"/>
  <c r="AI97" i="1"/>
  <c r="AE97" i="1"/>
  <c r="AK97" i="1"/>
  <c r="AD97" i="1"/>
  <c r="AH97" i="1"/>
  <c r="AG97" i="1"/>
  <c r="AL97" i="1"/>
  <c r="AF97" i="1"/>
  <c r="AM101" i="1"/>
  <c r="AI101" i="1"/>
  <c r="AE101" i="1"/>
  <c r="AK101" i="1"/>
  <c r="AD101" i="1"/>
  <c r="AH101" i="1"/>
  <c r="AG101" i="1"/>
  <c r="AL101" i="1"/>
  <c r="AF101" i="1"/>
  <c r="AM105" i="1"/>
  <c r="AI105" i="1"/>
  <c r="AE105" i="1"/>
  <c r="AK105" i="1"/>
  <c r="AD105" i="1"/>
  <c r="AH105" i="1"/>
  <c r="AG105" i="1"/>
  <c r="AL105" i="1"/>
  <c r="AF105" i="1"/>
  <c r="AM109" i="1"/>
  <c r="AI109" i="1"/>
  <c r="AE109" i="1"/>
  <c r="AK109" i="1"/>
  <c r="AD109" i="1"/>
  <c r="AH109" i="1"/>
  <c r="AG109" i="1"/>
  <c r="AL109" i="1"/>
  <c r="AF109" i="1"/>
  <c r="AM113" i="1"/>
  <c r="AI113" i="1"/>
  <c r="AE113" i="1"/>
  <c r="AK113" i="1"/>
  <c r="AD113" i="1"/>
  <c r="AH113" i="1"/>
  <c r="AG113" i="1"/>
  <c r="AL113" i="1"/>
  <c r="AF113" i="1"/>
  <c r="AM117" i="1"/>
  <c r="AI117" i="1"/>
  <c r="AE117" i="1"/>
  <c r="AK117" i="1"/>
  <c r="AD117" i="1"/>
  <c r="AH117" i="1"/>
  <c r="AG117" i="1"/>
  <c r="AL117" i="1"/>
  <c r="AF117" i="1"/>
  <c r="AM121" i="1"/>
  <c r="AI121" i="1"/>
  <c r="AE121" i="1"/>
  <c r="AK121" i="1"/>
  <c r="AD121" i="1"/>
  <c r="AH121" i="1"/>
  <c r="AG121" i="1"/>
  <c r="AL121" i="1"/>
  <c r="AF121" i="1"/>
  <c r="AM162" i="1"/>
  <c r="AH162" i="1"/>
  <c r="AD162" i="1"/>
  <c r="AI162" i="1"/>
  <c r="AG162" i="1"/>
  <c r="AL162" i="1"/>
  <c r="AF162" i="1"/>
  <c r="AK162" i="1"/>
  <c r="AE162" i="1"/>
  <c r="AM166" i="1"/>
  <c r="AH166" i="1"/>
  <c r="AD166" i="1"/>
  <c r="AL166" i="1"/>
  <c r="AK166" i="1"/>
  <c r="AE166" i="1"/>
  <c r="AI166" i="1"/>
  <c r="AG166" i="1"/>
  <c r="AF166" i="1"/>
  <c r="AN8" i="1"/>
  <c r="AN21" i="1"/>
  <c r="D214" i="5"/>
  <c r="D160" i="5"/>
  <c r="D207" i="5"/>
  <c r="D227" i="5"/>
  <c r="D205" i="5"/>
  <c r="D236" i="5"/>
  <c r="AI20" i="1"/>
  <c r="AK20" i="1" s="1"/>
  <c r="AL20" i="1" s="1"/>
  <c r="AM20" i="1" s="1"/>
  <c r="AD20" i="1"/>
  <c r="AK60" i="1"/>
  <c r="AE60" i="1"/>
  <c r="AF60" i="1"/>
  <c r="AH60" i="1"/>
  <c r="AD60" i="1"/>
  <c r="AG60" i="1"/>
  <c r="AI60" i="1"/>
  <c r="AN185" i="1"/>
  <c r="AN186" i="1"/>
  <c r="AN5" i="1"/>
  <c r="AN10" i="1"/>
  <c r="AN27" i="1"/>
  <c r="AN23" i="1"/>
  <c r="D127" i="5"/>
  <c r="AD18" i="1"/>
  <c r="AI18" i="1"/>
  <c r="AK18" i="1" s="1"/>
  <c r="AL18" i="1" s="1"/>
  <c r="AM18" i="1" s="1"/>
  <c r="AI19" i="1"/>
  <c r="AK19" i="1" s="1"/>
  <c r="AL19" i="1" s="1"/>
  <c r="AM19" i="1" s="1"/>
  <c r="AD19" i="1"/>
  <c r="AN188" i="1"/>
  <c r="AN12" i="1"/>
  <c r="AN6" i="1"/>
  <c r="AN190" i="1"/>
  <c r="AN7" i="1"/>
  <c r="T159" i="1"/>
  <c r="C77" i="5" s="1"/>
  <c r="T163" i="1"/>
  <c r="C188" i="5" s="1"/>
  <c r="T167" i="1"/>
  <c r="T160" i="1"/>
  <c r="T164" i="1"/>
  <c r="C189" i="5" s="1"/>
  <c r="T161" i="1"/>
  <c r="C79" i="5" s="1"/>
  <c r="T165" i="1"/>
  <c r="C45" i="5" s="1"/>
  <c r="D58" i="5"/>
  <c r="T162" i="1"/>
  <c r="T166" i="1"/>
  <c r="D131" i="4"/>
  <c r="D217" i="5"/>
  <c r="D32" i="4"/>
  <c r="D234" i="5"/>
  <c r="D102" i="4"/>
  <c r="D123" i="5"/>
  <c r="D130" i="4"/>
  <c r="D233" i="5"/>
  <c r="D238" i="4"/>
  <c r="D29" i="5"/>
  <c r="D115" i="4"/>
  <c r="D221" i="5"/>
  <c r="D33" i="4"/>
  <c r="D208" i="5"/>
  <c r="D129" i="4"/>
  <c r="D239" i="5"/>
  <c r="D119" i="4"/>
  <c r="D220" i="5"/>
  <c r="D118" i="4"/>
  <c r="D100" i="5"/>
  <c r="D111" i="4"/>
  <c r="D235" i="5"/>
  <c r="D23" i="4"/>
  <c r="D68" i="5"/>
  <c r="T20" i="1"/>
  <c r="T63" i="1"/>
  <c r="T67" i="1"/>
  <c r="T71" i="1"/>
  <c r="T75" i="1"/>
  <c r="T79" i="1"/>
  <c r="T83" i="1"/>
  <c r="T87" i="1"/>
  <c r="T91" i="1"/>
  <c r="T95" i="1"/>
  <c r="T99" i="1"/>
  <c r="T103" i="1"/>
  <c r="T107" i="1"/>
  <c r="T111" i="1"/>
  <c r="T115" i="1"/>
  <c r="T119" i="1"/>
  <c r="T60" i="1"/>
  <c r="T64" i="1"/>
  <c r="T68" i="1"/>
  <c r="T72" i="1"/>
  <c r="T76" i="1"/>
  <c r="T80" i="1"/>
  <c r="T84" i="1"/>
  <c r="T88" i="1"/>
  <c r="T92" i="1"/>
  <c r="T96" i="1"/>
  <c r="T100" i="1"/>
  <c r="T104" i="1"/>
  <c r="T108" i="1"/>
  <c r="T112" i="1"/>
  <c r="T116" i="1"/>
  <c r="T120" i="1"/>
  <c r="T18" i="1"/>
  <c r="T61" i="1"/>
  <c r="T65" i="1"/>
  <c r="T69" i="1"/>
  <c r="T73" i="1"/>
  <c r="T77" i="1"/>
  <c r="T81" i="1"/>
  <c r="T85" i="1"/>
  <c r="T89" i="1"/>
  <c r="T93" i="1"/>
  <c r="T97" i="1"/>
  <c r="T101" i="1"/>
  <c r="T105" i="1"/>
  <c r="T109" i="1"/>
  <c r="T113" i="1"/>
  <c r="T117" i="1"/>
  <c r="T121" i="1"/>
  <c r="T19" i="1"/>
  <c r="T62" i="1"/>
  <c r="T66" i="1"/>
  <c r="T70" i="1"/>
  <c r="T74" i="1"/>
  <c r="T78" i="1"/>
  <c r="T82" i="1"/>
  <c r="T86" i="1"/>
  <c r="T90" i="1"/>
  <c r="T94" i="1"/>
  <c r="T98" i="1"/>
  <c r="T102" i="1"/>
  <c r="T106" i="1"/>
  <c r="T110" i="1"/>
  <c r="T114" i="1"/>
  <c r="T118" i="1"/>
  <c r="K50" i="3"/>
  <c r="J50" i="3"/>
  <c r="K49" i="3"/>
  <c r="J49" i="3"/>
  <c r="G55" i="3"/>
  <c r="G58" i="3" s="1"/>
  <c r="D56" i="3"/>
  <c r="D55" i="3"/>
  <c r="D23" i="3"/>
  <c r="D22" i="3"/>
  <c r="BJ159" i="1" l="1"/>
  <c r="H16" i="7"/>
  <c r="F16" i="7"/>
  <c r="G16" i="7" s="1"/>
  <c r="H18" i="7"/>
  <c r="H17" i="7"/>
  <c r="H19" i="7"/>
  <c r="F31" i="7"/>
  <c r="G31" i="7" s="1"/>
  <c r="F28" i="7"/>
  <c r="G28" i="7" s="1"/>
  <c r="BJ235" i="1"/>
  <c r="F35" i="7"/>
  <c r="G35" i="7" s="1"/>
  <c r="H40" i="7"/>
  <c r="H35" i="7"/>
  <c r="H38" i="7"/>
  <c r="H39" i="7"/>
  <c r="H36" i="7"/>
  <c r="H37" i="7"/>
  <c r="F12" i="7"/>
  <c r="G12" i="7" s="1"/>
  <c r="H12" i="7"/>
  <c r="H10" i="7"/>
  <c r="F10" i="7"/>
  <c r="G10" i="7" s="1"/>
  <c r="H8" i="7"/>
  <c r="H11" i="7"/>
  <c r="H9" i="7"/>
  <c r="H7" i="7"/>
  <c r="F6" i="7"/>
  <c r="G6" i="7" s="1"/>
  <c r="H6" i="7"/>
  <c r="F30" i="7"/>
  <c r="G30" i="7" s="1"/>
  <c r="CQ237" i="1"/>
  <c r="CL237" i="1"/>
  <c r="CC106" i="1"/>
  <c r="BX106" i="1"/>
  <c r="CC90" i="1"/>
  <c r="BX90" i="1"/>
  <c r="CC74" i="1"/>
  <c r="BX74" i="1"/>
  <c r="CC19" i="1"/>
  <c r="BX19" i="1"/>
  <c r="CC117" i="1"/>
  <c r="BX117" i="1"/>
  <c r="CQ101" i="1"/>
  <c r="CL101" i="1"/>
  <c r="CC65" i="1"/>
  <c r="BX65" i="1"/>
  <c r="CQ220" i="1"/>
  <c r="CL220" i="1"/>
  <c r="BO112" i="1"/>
  <c r="BJ112" i="1"/>
  <c r="BO96" i="1"/>
  <c r="BJ96" i="1"/>
  <c r="CC88" i="1"/>
  <c r="BX88" i="1"/>
  <c r="BO72" i="1"/>
  <c r="BJ72" i="1"/>
  <c r="CQ60" i="1"/>
  <c r="CL60" i="1"/>
  <c r="CQ219" i="1"/>
  <c r="CL219" i="1"/>
  <c r="CC115" i="1"/>
  <c r="BX115" i="1"/>
  <c r="BO111" i="1"/>
  <c r="BJ111" i="1"/>
  <c r="BO95" i="1"/>
  <c r="BJ95" i="1"/>
  <c r="BO87" i="1"/>
  <c r="BJ87" i="1"/>
  <c r="CQ71" i="1"/>
  <c r="CL71" i="1"/>
  <c r="CC67" i="1"/>
  <c r="BX67" i="1"/>
  <c r="BO63" i="1"/>
  <c r="BJ63" i="1"/>
  <c r="BO236" i="1"/>
  <c r="BJ236" i="1"/>
  <c r="CQ221" i="1"/>
  <c r="CL221" i="1"/>
  <c r="BO166" i="1"/>
  <c r="BJ166" i="1"/>
  <c r="BO113" i="1"/>
  <c r="BJ113" i="1"/>
  <c r="CQ105" i="1"/>
  <c r="CL105" i="1"/>
  <c r="CQ97" i="1"/>
  <c r="CL97" i="1"/>
  <c r="BO69" i="1"/>
  <c r="BJ69" i="1"/>
  <c r="BO241" i="1"/>
  <c r="BJ241" i="1"/>
  <c r="BO237" i="1"/>
  <c r="BJ237" i="1"/>
  <c r="BO216" i="1"/>
  <c r="BJ216" i="1"/>
  <c r="CQ167" i="1"/>
  <c r="CL167" i="1"/>
  <c r="CC163" i="1"/>
  <c r="BX163" i="1"/>
  <c r="CQ118" i="1"/>
  <c r="CL118" i="1"/>
  <c r="CQ114" i="1"/>
  <c r="CL114" i="1"/>
  <c r="CC110" i="1"/>
  <c r="BX110" i="1"/>
  <c r="CQ102" i="1"/>
  <c r="CL102" i="1"/>
  <c r="CQ98" i="1"/>
  <c r="CL98" i="1"/>
  <c r="CC94" i="1"/>
  <c r="BX94" i="1"/>
  <c r="CQ86" i="1"/>
  <c r="CL86" i="1"/>
  <c r="CQ82" i="1"/>
  <c r="CL82" i="1"/>
  <c r="CC78" i="1"/>
  <c r="BX78" i="1"/>
  <c r="BO70" i="1"/>
  <c r="BJ70" i="1"/>
  <c r="CQ66" i="1"/>
  <c r="CL66" i="1"/>
  <c r="CC62" i="1"/>
  <c r="BX62" i="1"/>
  <c r="BO240" i="1"/>
  <c r="BJ240" i="1"/>
  <c r="CC217" i="1"/>
  <c r="BX217" i="1"/>
  <c r="BO162" i="1"/>
  <c r="BJ162" i="1"/>
  <c r="CC109" i="1"/>
  <c r="BX109" i="1"/>
  <c r="CC101" i="1"/>
  <c r="BX101" i="1"/>
  <c r="BO93" i="1"/>
  <c r="BJ93" i="1"/>
  <c r="CC73" i="1"/>
  <c r="BX73" i="1"/>
  <c r="BO65" i="1"/>
  <c r="BJ65" i="1"/>
  <c r="CC18" i="1"/>
  <c r="BX18" i="1"/>
  <c r="CQ235" i="1"/>
  <c r="CL235" i="1"/>
  <c r="CC220" i="1"/>
  <c r="BX220" i="1"/>
  <c r="CQ165" i="1"/>
  <c r="CL165" i="1"/>
  <c r="CC161" i="1"/>
  <c r="BX161" i="1"/>
  <c r="BO116" i="1"/>
  <c r="BJ116" i="1"/>
  <c r="CQ112" i="1"/>
  <c r="CL112" i="1"/>
  <c r="CC108" i="1"/>
  <c r="BX108" i="1"/>
  <c r="BO100" i="1"/>
  <c r="BJ100" i="1"/>
  <c r="CQ96" i="1"/>
  <c r="CL96" i="1"/>
  <c r="CQ92" i="1"/>
  <c r="CL92" i="1"/>
  <c r="CQ84" i="1"/>
  <c r="CL84" i="1"/>
  <c r="CQ80" i="1"/>
  <c r="CL80" i="1"/>
  <c r="CC76" i="1"/>
  <c r="BX76" i="1"/>
  <c r="BO68" i="1"/>
  <c r="BJ68" i="1"/>
  <c r="BO64" i="1"/>
  <c r="BJ64" i="1"/>
  <c r="CC60" i="1"/>
  <c r="BX60" i="1"/>
  <c r="BO238" i="1"/>
  <c r="BJ238" i="1"/>
  <c r="CQ225" i="1"/>
  <c r="CL225" i="1"/>
  <c r="CC219" i="1"/>
  <c r="BX219" i="1"/>
  <c r="BO160" i="1"/>
  <c r="BJ160" i="1"/>
  <c r="CC119" i="1"/>
  <c r="BX119" i="1"/>
  <c r="BO115" i="1"/>
  <c r="BJ115" i="1"/>
  <c r="CC107" i="1"/>
  <c r="BX107" i="1"/>
  <c r="CC103" i="1"/>
  <c r="BX103" i="1"/>
  <c r="CC99" i="1"/>
  <c r="BX99" i="1"/>
  <c r="CQ91" i="1"/>
  <c r="CL91" i="1"/>
  <c r="CC87" i="1"/>
  <c r="BX87" i="1"/>
  <c r="CQ83" i="1"/>
  <c r="CL83" i="1"/>
  <c r="CQ75" i="1"/>
  <c r="CL75" i="1"/>
  <c r="BO71" i="1"/>
  <c r="BJ71" i="1"/>
  <c r="BO67" i="1"/>
  <c r="BJ67" i="1"/>
  <c r="BO20" i="1"/>
  <c r="BJ20" i="1"/>
  <c r="CC236" i="1"/>
  <c r="BX236" i="1"/>
  <c r="CC221" i="1"/>
  <c r="BX221" i="1"/>
  <c r="BO121" i="1"/>
  <c r="BJ121" i="1"/>
  <c r="CQ113" i="1"/>
  <c r="CL113" i="1"/>
  <c r="CC105" i="1"/>
  <c r="BX105" i="1"/>
  <c r="CC89" i="1"/>
  <c r="BX89" i="1"/>
  <c r="BO85" i="1"/>
  <c r="BJ85" i="1"/>
  <c r="BO77" i="1"/>
  <c r="BJ77" i="1"/>
  <c r="CQ61" i="1"/>
  <c r="CL61" i="1"/>
  <c r="CQ241" i="1"/>
  <c r="CL241" i="1"/>
  <c r="BO167" i="1"/>
  <c r="BJ167" i="1"/>
  <c r="BO114" i="1"/>
  <c r="BJ114" i="1"/>
  <c r="BO98" i="1"/>
  <c r="BJ98" i="1"/>
  <c r="BO82" i="1"/>
  <c r="BJ82" i="1"/>
  <c r="BO66" i="1"/>
  <c r="BJ66" i="1"/>
  <c r="BO217" i="1"/>
  <c r="BJ217" i="1"/>
  <c r="CC81" i="1"/>
  <c r="BX81" i="1"/>
  <c r="CC239" i="1"/>
  <c r="BX239" i="1"/>
  <c r="BO120" i="1"/>
  <c r="BJ120" i="1"/>
  <c r="BO104" i="1"/>
  <c r="BJ104" i="1"/>
  <c r="BO80" i="1"/>
  <c r="BJ80" i="1"/>
  <c r="CQ64" i="1"/>
  <c r="CL64" i="1"/>
  <c r="CC242" i="1"/>
  <c r="BX242" i="1"/>
  <c r="CC164" i="1"/>
  <c r="BX164" i="1"/>
  <c r="CQ103" i="1"/>
  <c r="CL103" i="1"/>
  <c r="CC83" i="1"/>
  <c r="BX83" i="1"/>
  <c r="CQ85" i="1"/>
  <c r="CL85" i="1"/>
  <c r="CC241" i="1"/>
  <c r="BX241" i="1"/>
  <c r="BO222" i="1"/>
  <c r="BJ222" i="1"/>
  <c r="CQ216" i="1"/>
  <c r="CL216" i="1"/>
  <c r="CC167" i="1"/>
  <c r="BX167" i="1"/>
  <c r="CC159" i="1"/>
  <c r="BX159" i="1"/>
  <c r="CC118" i="1"/>
  <c r="BX118" i="1"/>
  <c r="CC114" i="1"/>
  <c r="BX114" i="1"/>
  <c r="CQ106" i="1"/>
  <c r="CL106" i="1"/>
  <c r="CC102" i="1"/>
  <c r="BX102" i="1"/>
  <c r="CC98" i="1"/>
  <c r="BX98" i="1"/>
  <c r="CQ90" i="1"/>
  <c r="CL90" i="1"/>
  <c r="BO86" i="1"/>
  <c r="BJ86" i="1"/>
  <c r="CC82" i="1"/>
  <c r="BX82" i="1"/>
  <c r="CQ74" i="1"/>
  <c r="CL74" i="1"/>
  <c r="CQ70" i="1"/>
  <c r="CL70" i="1"/>
  <c r="CC66" i="1"/>
  <c r="BX66" i="1"/>
  <c r="CQ19" i="1"/>
  <c r="CL19" i="1"/>
  <c r="CQ240" i="1"/>
  <c r="CL240" i="1"/>
  <c r="CQ217" i="1"/>
  <c r="CL217" i="1"/>
  <c r="CQ117" i="1"/>
  <c r="CL117" i="1"/>
  <c r="CQ109" i="1"/>
  <c r="CL109" i="1"/>
  <c r="BO101" i="1"/>
  <c r="BJ101" i="1"/>
  <c r="BO81" i="1"/>
  <c r="BJ81" i="1"/>
  <c r="BO73" i="1"/>
  <c r="BJ73" i="1"/>
  <c r="CQ65" i="1"/>
  <c r="CL65" i="1"/>
  <c r="BO239" i="1"/>
  <c r="BJ239" i="1"/>
  <c r="BO220" i="1"/>
  <c r="BJ220" i="1"/>
  <c r="CC165" i="1"/>
  <c r="BX165" i="1"/>
  <c r="CC120" i="1"/>
  <c r="BX120" i="1"/>
  <c r="CC116" i="1"/>
  <c r="BX116" i="1"/>
  <c r="CC112" i="1"/>
  <c r="BX112" i="1"/>
  <c r="CQ104" i="1"/>
  <c r="CL104" i="1"/>
  <c r="CQ100" i="1"/>
  <c r="CL100" i="1"/>
  <c r="CC96" i="1"/>
  <c r="BX96" i="1"/>
  <c r="CQ88" i="1"/>
  <c r="CL88" i="1"/>
  <c r="BO84" i="1"/>
  <c r="BJ84" i="1"/>
  <c r="CC80" i="1"/>
  <c r="BX80" i="1"/>
  <c r="CQ72" i="1"/>
  <c r="CL72" i="1"/>
  <c r="CQ68" i="1"/>
  <c r="CL68" i="1"/>
  <c r="CC64" i="1"/>
  <c r="BX64" i="1"/>
  <c r="BO242" i="1"/>
  <c r="BJ242" i="1"/>
  <c r="CC238" i="1"/>
  <c r="BX238" i="1"/>
  <c r="CC225" i="1"/>
  <c r="BX225" i="1"/>
  <c r="BO164" i="1"/>
  <c r="BJ164" i="1"/>
  <c r="CQ160" i="1"/>
  <c r="CL160" i="1"/>
  <c r="BO119" i="1"/>
  <c r="BJ119" i="1"/>
  <c r="CC111" i="1"/>
  <c r="BX111" i="1"/>
  <c r="BO107" i="1"/>
  <c r="BJ107" i="1"/>
  <c r="BO103" i="1"/>
  <c r="BJ103" i="1"/>
  <c r="CQ95" i="1"/>
  <c r="CL95" i="1"/>
  <c r="BO91" i="1"/>
  <c r="BJ91" i="1"/>
  <c r="CQ87" i="1"/>
  <c r="CL87" i="1"/>
  <c r="CQ79" i="1"/>
  <c r="CL79" i="1"/>
  <c r="CC75" i="1"/>
  <c r="BX75" i="1"/>
  <c r="CC71" i="1"/>
  <c r="BX71" i="1"/>
  <c r="CQ63" i="1"/>
  <c r="CL63" i="1"/>
  <c r="CC20" i="1"/>
  <c r="BX20" i="1"/>
  <c r="CQ236" i="1"/>
  <c r="CL236" i="1"/>
  <c r="CQ166" i="1"/>
  <c r="CL166" i="1"/>
  <c r="CQ121" i="1"/>
  <c r="CL121" i="1"/>
  <c r="CC113" i="1"/>
  <c r="BX113" i="1"/>
  <c r="BO97" i="1"/>
  <c r="BJ97" i="1"/>
  <c r="BO89" i="1"/>
  <c r="BJ89" i="1"/>
  <c r="CC85" i="1"/>
  <c r="BX85" i="1"/>
  <c r="CQ69" i="1"/>
  <c r="CL69" i="1"/>
  <c r="BO61" i="1"/>
  <c r="BJ61" i="1"/>
  <c r="CQ222" i="1"/>
  <c r="CL222" i="1"/>
  <c r="CQ163" i="1"/>
  <c r="CL163" i="1"/>
  <c r="CQ110" i="1"/>
  <c r="CL110" i="1"/>
  <c r="CQ94" i="1"/>
  <c r="CL94" i="1"/>
  <c r="BO78" i="1"/>
  <c r="BJ78" i="1"/>
  <c r="CQ62" i="1"/>
  <c r="CL62" i="1"/>
  <c r="CC162" i="1"/>
  <c r="BX162" i="1"/>
  <c r="CQ93" i="1"/>
  <c r="CL93" i="1"/>
  <c r="CQ18" i="1"/>
  <c r="CL18" i="1"/>
  <c r="BO165" i="1"/>
  <c r="BJ165" i="1"/>
  <c r="BO161" i="1"/>
  <c r="BJ161" i="1"/>
  <c r="CQ108" i="1"/>
  <c r="CL108" i="1"/>
  <c r="BO92" i="1"/>
  <c r="BJ92" i="1"/>
  <c r="CQ76" i="1"/>
  <c r="CL76" i="1"/>
  <c r="BO225" i="1"/>
  <c r="BJ225" i="1"/>
  <c r="CQ119" i="1"/>
  <c r="CL119" i="1"/>
  <c r="BO99" i="1"/>
  <c r="BJ99" i="1"/>
  <c r="BO79" i="1"/>
  <c r="BJ79" i="1"/>
  <c r="CQ77" i="1"/>
  <c r="CL77" i="1"/>
  <c r="CC237" i="1"/>
  <c r="BX237" i="1"/>
  <c r="CC222" i="1"/>
  <c r="BX222" i="1"/>
  <c r="CC216" i="1"/>
  <c r="BX216" i="1"/>
  <c r="BO163" i="1"/>
  <c r="BJ163" i="1"/>
  <c r="CQ159" i="1"/>
  <c r="CL159" i="1"/>
  <c r="BO118" i="1"/>
  <c r="BJ118" i="1"/>
  <c r="BO110" i="1"/>
  <c r="BJ110" i="1"/>
  <c r="BO106" i="1"/>
  <c r="BJ106" i="1"/>
  <c r="BO102" i="1"/>
  <c r="BJ102" i="1"/>
  <c r="BO94" i="1"/>
  <c r="BJ94" i="1"/>
  <c r="BO90" i="1"/>
  <c r="BJ90" i="1"/>
  <c r="CC86" i="1"/>
  <c r="BX86" i="1"/>
  <c r="CQ78" i="1"/>
  <c r="CL78" i="1"/>
  <c r="BO74" i="1"/>
  <c r="BJ74" i="1"/>
  <c r="CC70" i="1"/>
  <c r="BX70" i="1"/>
  <c r="BO62" i="1"/>
  <c r="BJ62" i="1"/>
  <c r="BO19" i="1"/>
  <c r="BJ19" i="1"/>
  <c r="CC240" i="1"/>
  <c r="BX240" i="1"/>
  <c r="CQ162" i="1"/>
  <c r="CL162" i="1"/>
  <c r="BO117" i="1"/>
  <c r="BJ117" i="1"/>
  <c r="BO109" i="1"/>
  <c r="BJ109" i="1"/>
  <c r="CC93" i="1"/>
  <c r="BX93" i="1"/>
  <c r="CQ81" i="1"/>
  <c r="CL81" i="1"/>
  <c r="CQ73" i="1"/>
  <c r="CL73" i="1"/>
  <c r="BO18" i="1"/>
  <c r="BJ18" i="1"/>
  <c r="CQ239" i="1"/>
  <c r="CL239" i="1"/>
  <c r="CC235" i="1"/>
  <c r="BX235" i="1"/>
  <c r="CQ161" i="1"/>
  <c r="CL161" i="1"/>
  <c r="CQ120" i="1"/>
  <c r="CL120" i="1"/>
  <c r="CQ116" i="1"/>
  <c r="CL116" i="1"/>
  <c r="BO108" i="1"/>
  <c r="BJ108" i="1"/>
  <c r="CC104" i="1"/>
  <c r="BX104" i="1"/>
  <c r="CC100" i="1"/>
  <c r="BX100" i="1"/>
  <c r="CC92" i="1"/>
  <c r="BX92" i="1"/>
  <c r="BO88" i="1"/>
  <c r="BJ88" i="1"/>
  <c r="CC84" i="1"/>
  <c r="BX84" i="1"/>
  <c r="BO76" i="1"/>
  <c r="BJ76" i="1"/>
  <c r="CC72" i="1"/>
  <c r="BX72" i="1"/>
  <c r="CC68" i="1"/>
  <c r="BX68" i="1"/>
  <c r="BO60" i="1"/>
  <c r="BJ60" i="1"/>
  <c r="CQ242" i="1"/>
  <c r="CL242" i="1"/>
  <c r="CQ238" i="1"/>
  <c r="CL238" i="1"/>
  <c r="BO219" i="1"/>
  <c r="BJ219" i="1"/>
  <c r="CQ164" i="1"/>
  <c r="CL164" i="1"/>
  <c r="CC160" i="1"/>
  <c r="BX160" i="1"/>
  <c r="CQ115" i="1"/>
  <c r="CL115" i="1"/>
  <c r="CQ111" i="1"/>
  <c r="CL111" i="1"/>
  <c r="CQ107" i="1"/>
  <c r="CL107" i="1"/>
  <c r="CQ99" i="1"/>
  <c r="CL99" i="1"/>
  <c r="CC95" i="1"/>
  <c r="BX95" i="1"/>
  <c r="CC91" i="1"/>
  <c r="BX91" i="1"/>
  <c r="BO83" i="1"/>
  <c r="BJ83" i="1"/>
  <c r="CC79" i="1"/>
  <c r="BX79" i="1"/>
  <c r="BO75" i="1"/>
  <c r="BJ75" i="1"/>
  <c r="CQ67" i="1"/>
  <c r="CL67" i="1"/>
  <c r="CC63" i="1"/>
  <c r="BX63" i="1"/>
  <c r="CQ20" i="1"/>
  <c r="CL20" i="1"/>
  <c r="BO221" i="1"/>
  <c r="BJ221" i="1"/>
  <c r="CC166" i="1"/>
  <c r="BX166" i="1"/>
  <c r="CC121" i="1"/>
  <c r="BX121" i="1"/>
  <c r="BO105" i="1"/>
  <c r="BJ105" i="1"/>
  <c r="CC97" i="1"/>
  <c r="BX97" i="1"/>
  <c r="CQ89" i="1"/>
  <c r="CL89" i="1"/>
  <c r="CC77" i="1"/>
  <c r="BX77" i="1"/>
  <c r="CC69" i="1"/>
  <c r="BX69" i="1"/>
  <c r="CC61" i="1"/>
  <c r="BX61" i="1"/>
  <c r="U218" i="1"/>
  <c r="D66" i="5" s="1"/>
  <c r="C66" i="5"/>
  <c r="C1" i="4"/>
  <c r="C138" i="4"/>
  <c r="BO235" i="1"/>
  <c r="BI268" i="1"/>
  <c r="BJ268" i="1" s="1"/>
  <c r="C12" i="5"/>
  <c r="U217" i="1"/>
  <c r="D152" i="4" s="1"/>
  <c r="C40" i="4"/>
  <c r="C74" i="5"/>
  <c r="C153" i="4"/>
  <c r="C124" i="4"/>
  <c r="U216" i="1"/>
  <c r="D153" i="4" s="1"/>
  <c r="C133" i="4"/>
  <c r="C16" i="5"/>
  <c r="C105" i="5"/>
  <c r="BW218" i="1"/>
  <c r="BW228" i="1" s="1"/>
  <c r="BX228" i="1" s="1"/>
  <c r="BI218" i="1"/>
  <c r="CK218" i="1"/>
  <c r="CK228" i="1" s="1"/>
  <c r="CL228" i="1" s="1"/>
  <c r="C13" i="5"/>
  <c r="BO159" i="1"/>
  <c r="BI192" i="1"/>
  <c r="C117" i="4"/>
  <c r="C190" i="5"/>
  <c r="C141" i="4"/>
  <c r="U239" i="1"/>
  <c r="D23" i="5" s="1"/>
  <c r="U238" i="1"/>
  <c r="D141" i="4" s="1"/>
  <c r="U240" i="1"/>
  <c r="D164" i="5" s="1"/>
  <c r="U161" i="1"/>
  <c r="D94" i="4" s="1"/>
  <c r="C200" i="5"/>
  <c r="U241" i="1"/>
  <c r="D120" i="4" s="1"/>
  <c r="C120" i="4"/>
  <c r="C137" i="4"/>
  <c r="U237" i="1"/>
  <c r="D136" i="4" s="1"/>
  <c r="U163" i="1"/>
  <c r="D72" i="4" s="1"/>
  <c r="U235" i="1"/>
  <c r="D200" i="5" s="1"/>
  <c r="U242" i="1"/>
  <c r="D108" i="5" s="1"/>
  <c r="C146" i="4"/>
  <c r="C136" i="4"/>
  <c r="C72" i="4"/>
  <c r="U236" i="1"/>
  <c r="D144" i="4" s="1"/>
  <c r="C116" i="4"/>
  <c r="U225" i="1"/>
  <c r="D146" i="4" s="1"/>
  <c r="C108" i="5"/>
  <c r="C143" i="5"/>
  <c r="C132" i="4"/>
  <c r="C131" i="5"/>
  <c r="C192" i="5"/>
  <c r="C164" i="5"/>
  <c r="C209" i="5"/>
  <c r="C144" i="4"/>
  <c r="AN89" i="1"/>
  <c r="AN73" i="1"/>
  <c r="AN165" i="1"/>
  <c r="AN116" i="1"/>
  <c r="AN100" i="1"/>
  <c r="AN84" i="1"/>
  <c r="AN72" i="1"/>
  <c r="AN119" i="1"/>
  <c r="AN103" i="1"/>
  <c r="AN87" i="1"/>
  <c r="AN71" i="1"/>
  <c r="AN110" i="1"/>
  <c r="AN94" i="1"/>
  <c r="AN78" i="1"/>
  <c r="AN74" i="1"/>
  <c r="C65" i="4"/>
  <c r="U160" i="1"/>
  <c r="D88" i="4" s="1"/>
  <c r="AN121" i="1"/>
  <c r="AN162" i="1"/>
  <c r="AN85" i="1"/>
  <c r="AN68" i="1"/>
  <c r="AN67" i="1"/>
  <c r="AN159" i="1"/>
  <c r="AN90" i="1"/>
  <c r="AN70" i="1"/>
  <c r="AN113" i="1"/>
  <c r="AN97" i="1"/>
  <c r="AN81" i="1"/>
  <c r="AN65" i="1"/>
  <c r="AN161" i="1"/>
  <c r="AN112" i="1"/>
  <c r="AN108" i="1"/>
  <c r="AN96" i="1"/>
  <c r="AN92" i="1"/>
  <c r="AN80" i="1"/>
  <c r="AN76" i="1"/>
  <c r="AN164" i="1"/>
  <c r="AN167" i="1"/>
  <c r="AN163" i="1"/>
  <c r="AN66" i="1"/>
  <c r="AN166" i="1"/>
  <c r="AN105" i="1"/>
  <c r="C73" i="5"/>
  <c r="AN117" i="1"/>
  <c r="AN101" i="1"/>
  <c r="AN69" i="1"/>
  <c r="AN160" i="1"/>
  <c r="AN115" i="1"/>
  <c r="AN111" i="1"/>
  <c r="AN99" i="1"/>
  <c r="AN95" i="1"/>
  <c r="AN83" i="1"/>
  <c r="AN79" i="1"/>
  <c r="AN63" i="1"/>
  <c r="AN106" i="1"/>
  <c r="C83" i="4"/>
  <c r="C80" i="4"/>
  <c r="AN109" i="1"/>
  <c r="AN93" i="1"/>
  <c r="AN77" i="1"/>
  <c r="AN61" i="1"/>
  <c r="AN120" i="1"/>
  <c r="AN104" i="1"/>
  <c r="AN88" i="1"/>
  <c r="AN64" i="1"/>
  <c r="AN107" i="1"/>
  <c r="AN91" i="1"/>
  <c r="AN75" i="1"/>
  <c r="AN118" i="1"/>
  <c r="AN114" i="1"/>
  <c r="AN102" i="1"/>
  <c r="AN98" i="1"/>
  <c r="AN86" i="1"/>
  <c r="AN82" i="1"/>
  <c r="AN62" i="1"/>
  <c r="C84" i="5"/>
  <c r="C79" i="4"/>
  <c r="U166" i="1"/>
  <c r="D71" i="4" s="1"/>
  <c r="U167" i="1"/>
  <c r="D79" i="4" s="1"/>
  <c r="U159" i="1"/>
  <c r="D77" i="5" s="1"/>
  <c r="U162" i="1"/>
  <c r="D68" i="4" s="1"/>
  <c r="U165" i="1"/>
  <c r="D65" i="4" s="1"/>
  <c r="U164" i="1"/>
  <c r="D189" i="5" s="1"/>
  <c r="AE19" i="1"/>
  <c r="AF19" i="1" s="1"/>
  <c r="AG19" i="1" s="1"/>
  <c r="AH19" i="1" s="1"/>
  <c r="C89" i="5"/>
  <c r="AN60" i="1"/>
  <c r="AE20" i="1"/>
  <c r="AF20" i="1" s="1"/>
  <c r="AG20" i="1" s="1"/>
  <c r="AH20" i="1" s="1"/>
  <c r="AE18" i="1"/>
  <c r="AF18" i="1" s="1"/>
  <c r="AG18" i="1" s="1"/>
  <c r="AH18" i="1" s="1"/>
  <c r="C68" i="4"/>
  <c r="C174" i="5"/>
  <c r="C71" i="4"/>
  <c r="C94" i="4"/>
  <c r="C88" i="4"/>
  <c r="D1" i="4"/>
  <c r="D138" i="4"/>
  <c r="D74" i="5"/>
  <c r="C22" i="5"/>
  <c r="C95" i="5"/>
  <c r="C179" i="5"/>
  <c r="C49" i="5"/>
  <c r="C140" i="5"/>
  <c r="C128" i="5"/>
  <c r="C75" i="5"/>
  <c r="C101" i="5"/>
  <c r="C62" i="5"/>
  <c r="C94" i="5"/>
  <c r="C178" i="5"/>
  <c r="C53" i="5"/>
  <c r="C135" i="5"/>
  <c r="C70" i="5"/>
  <c r="C158" i="5"/>
  <c r="C106" i="5"/>
  <c r="C136" i="5"/>
  <c r="C93" i="5"/>
  <c r="C177" i="5"/>
  <c r="C35" i="5"/>
  <c r="C153" i="5"/>
  <c r="C133" i="5"/>
  <c r="C161" i="5"/>
  <c r="C7" i="5"/>
  <c r="C148" i="5"/>
  <c r="C121" i="5"/>
  <c r="C176" i="5"/>
  <c r="C34" i="5"/>
  <c r="C41" i="5"/>
  <c r="C216" i="5"/>
  <c r="C103" i="5"/>
  <c r="C138" i="5"/>
  <c r="D124" i="4"/>
  <c r="D12" i="5"/>
  <c r="D40" i="4"/>
  <c r="D16" i="5"/>
  <c r="D133" i="4"/>
  <c r="D105" i="5"/>
  <c r="C83" i="5"/>
  <c r="C180" i="5"/>
  <c r="C42" i="5"/>
  <c r="C167" i="5"/>
  <c r="C18" i="5"/>
  <c r="C116" i="5"/>
  <c r="C36" i="5"/>
  <c r="C230" i="5"/>
  <c r="C99" i="5"/>
  <c r="C97" i="5"/>
  <c r="C44" i="5"/>
  <c r="C63" i="5"/>
  <c r="C218" i="5"/>
  <c r="C96" i="5"/>
  <c r="C37" i="5"/>
  <c r="C232" i="5"/>
  <c r="C120" i="5"/>
  <c r="C31" i="5"/>
  <c r="C229" i="5"/>
  <c r="C67" i="5"/>
  <c r="C119" i="5"/>
  <c r="C46" i="5"/>
  <c r="C38" i="5"/>
  <c r="C104" i="5"/>
  <c r="C21" i="5"/>
  <c r="C118" i="5"/>
  <c r="C40" i="5"/>
  <c r="C102" i="5"/>
  <c r="C20" i="5"/>
  <c r="C117" i="5"/>
  <c r="C137" i="5"/>
  <c r="C124" i="5"/>
  <c r="C98" i="5"/>
  <c r="U114" i="1"/>
  <c r="C43" i="4"/>
  <c r="U106" i="1"/>
  <c r="C62" i="4"/>
  <c r="U98" i="1"/>
  <c r="C110" i="4"/>
  <c r="U90" i="1"/>
  <c r="C87" i="4"/>
  <c r="U82" i="1"/>
  <c r="C53" i="4"/>
  <c r="U74" i="1"/>
  <c r="C78" i="4"/>
  <c r="U66" i="1"/>
  <c r="C99" i="4"/>
  <c r="U19" i="1"/>
  <c r="C27" i="4"/>
  <c r="U121" i="1"/>
  <c r="C37" i="4"/>
  <c r="U113" i="1"/>
  <c r="C35" i="4"/>
  <c r="U105" i="1"/>
  <c r="C61" i="4"/>
  <c r="U97" i="1"/>
  <c r="C75" i="4"/>
  <c r="U89" i="1"/>
  <c r="C85" i="4"/>
  <c r="U81" i="1"/>
  <c r="C47" i="4"/>
  <c r="U73" i="1"/>
  <c r="C74" i="4"/>
  <c r="U65" i="1"/>
  <c r="C91" i="4"/>
  <c r="U18" i="1"/>
  <c r="C28" i="4"/>
  <c r="U120" i="1"/>
  <c r="C51" i="4"/>
  <c r="U112" i="1"/>
  <c r="C58" i="4"/>
  <c r="U104" i="1"/>
  <c r="C60" i="4"/>
  <c r="U96" i="1"/>
  <c r="C81" i="4"/>
  <c r="U88" i="1"/>
  <c r="C104" i="4"/>
  <c r="U80" i="1"/>
  <c r="C77" i="4"/>
  <c r="U72" i="1"/>
  <c r="C67" i="4"/>
  <c r="U64" i="1"/>
  <c r="C96" i="4"/>
  <c r="C44" i="4"/>
  <c r="U119" i="1"/>
  <c r="C57" i="4"/>
  <c r="U111" i="1"/>
  <c r="C59" i="4"/>
  <c r="U103" i="1"/>
  <c r="C73" i="4"/>
  <c r="U95" i="1"/>
  <c r="C92" i="4"/>
  <c r="U87" i="1"/>
  <c r="C82" i="4"/>
  <c r="U79" i="1"/>
  <c r="C100" i="4"/>
  <c r="U71" i="1"/>
  <c r="C89" i="4"/>
  <c r="U63" i="1"/>
  <c r="U118" i="1"/>
  <c r="C42" i="4"/>
  <c r="C56" i="4"/>
  <c r="U110" i="1"/>
  <c r="U102" i="1"/>
  <c r="C109" i="4"/>
  <c r="C66" i="4"/>
  <c r="U94" i="1"/>
  <c r="U86" i="1"/>
  <c r="C95" i="4"/>
  <c r="C70" i="4"/>
  <c r="U78" i="1"/>
  <c r="U70" i="1"/>
  <c r="C38" i="4"/>
  <c r="C84" i="4"/>
  <c r="U62" i="1"/>
  <c r="C39" i="4"/>
  <c r="U117" i="1"/>
  <c r="U109" i="1"/>
  <c r="C55" i="4"/>
  <c r="U101" i="1"/>
  <c r="C108" i="4"/>
  <c r="U93" i="1"/>
  <c r="C97" i="4"/>
  <c r="U85" i="1"/>
  <c r="C86" i="4"/>
  <c r="U77" i="1"/>
  <c r="C64" i="4"/>
  <c r="U69" i="1"/>
  <c r="C50" i="4"/>
  <c r="U61" i="1"/>
  <c r="C103" i="4"/>
  <c r="C49" i="4"/>
  <c r="U116" i="1"/>
  <c r="U108" i="1"/>
  <c r="C54" i="4"/>
  <c r="U100" i="1"/>
  <c r="C107" i="4"/>
  <c r="U92" i="1"/>
  <c r="C90" i="4"/>
  <c r="C105" i="4"/>
  <c r="U84" i="1"/>
  <c r="U76" i="1"/>
  <c r="C98" i="4"/>
  <c r="U68" i="1"/>
  <c r="C45" i="4"/>
  <c r="U60" i="1"/>
  <c r="C69" i="4"/>
  <c r="C46" i="4"/>
  <c r="U115" i="1"/>
  <c r="U107" i="1"/>
  <c r="C63" i="4"/>
  <c r="U99" i="1"/>
  <c r="C106" i="4"/>
  <c r="U91" i="1"/>
  <c r="C93" i="4"/>
  <c r="U83" i="1"/>
  <c r="C52" i="4"/>
  <c r="C76" i="4"/>
  <c r="U75" i="1"/>
  <c r="C41" i="4"/>
  <c r="U67" i="1"/>
  <c r="C26" i="4"/>
  <c r="U20" i="1"/>
  <c r="K52" i="3"/>
  <c r="D58" i="3"/>
  <c r="L58" i="3" s="1"/>
  <c r="J52" i="3"/>
  <c r="C23" i="3"/>
  <c r="E23" i="3" s="1"/>
  <c r="C22" i="3"/>
  <c r="E22" i="3" s="1"/>
  <c r="C8" i="3"/>
  <c r="E9" i="3" s="1"/>
  <c r="C5" i="3"/>
  <c r="E6" i="3" s="1"/>
  <c r="H31" i="7" l="1"/>
  <c r="D28" i="5"/>
  <c r="F29" i="7"/>
  <c r="G29" i="7" s="1"/>
  <c r="H29" i="7"/>
  <c r="H30" i="7"/>
  <c r="H28" i="7"/>
  <c r="BI193" i="1"/>
  <c r="BJ192" i="1"/>
  <c r="CC218" i="1"/>
  <c r="BX218" i="1"/>
  <c r="BO218" i="1"/>
  <c r="BJ218" i="1"/>
  <c r="CQ218" i="1"/>
  <c r="CL218" i="1"/>
  <c r="D13" i="5"/>
  <c r="BI228" i="1"/>
  <c r="BW229" i="1"/>
  <c r="CK229" i="1"/>
  <c r="D190" i="5"/>
  <c r="D79" i="5"/>
  <c r="D188" i="5"/>
  <c r="D117" i="4"/>
  <c r="D132" i="4"/>
  <c r="D131" i="5"/>
  <c r="CK268" i="1"/>
  <c r="D143" i="5"/>
  <c r="D192" i="5"/>
  <c r="BI269" i="1"/>
  <c r="D116" i="4"/>
  <c r="BW268" i="1"/>
  <c r="BX268" i="1" s="1"/>
  <c r="D137" i="4"/>
  <c r="D209" i="5"/>
  <c r="D45" i="5"/>
  <c r="CK192" i="1"/>
  <c r="D73" i="5"/>
  <c r="D174" i="5"/>
  <c r="BW192" i="1"/>
  <c r="D83" i="4"/>
  <c r="D80" i="4"/>
  <c r="D84" i="5"/>
  <c r="D89" i="5"/>
  <c r="AN20" i="1"/>
  <c r="AN18" i="1"/>
  <c r="AN19" i="1"/>
  <c r="BW144" i="1"/>
  <c r="BX144" i="1" s="1"/>
  <c r="D69" i="4"/>
  <c r="D7" i="5"/>
  <c r="D54" i="4"/>
  <c r="D93" i="5"/>
  <c r="D55" i="4"/>
  <c r="D94" i="5"/>
  <c r="D58" i="4"/>
  <c r="D97" i="5"/>
  <c r="D61" i="4"/>
  <c r="D119" i="5"/>
  <c r="D41" i="4"/>
  <c r="D103" i="5"/>
  <c r="D46" i="4"/>
  <c r="D148" i="5"/>
  <c r="D105" i="4"/>
  <c r="D153" i="5"/>
  <c r="D49" i="4"/>
  <c r="D136" i="5"/>
  <c r="D39" i="4"/>
  <c r="D62" i="5"/>
  <c r="D100" i="4"/>
  <c r="D232" i="5"/>
  <c r="D92" i="4"/>
  <c r="D137" i="5"/>
  <c r="D59" i="4"/>
  <c r="D117" i="5"/>
  <c r="D44" i="4"/>
  <c r="D20" i="5"/>
  <c r="CK144" i="1"/>
  <c r="CL144" i="1" s="1"/>
  <c r="D93" i="4"/>
  <c r="D34" i="5"/>
  <c r="D98" i="4"/>
  <c r="D133" i="5"/>
  <c r="D64" i="4"/>
  <c r="D70" i="5"/>
  <c r="D77" i="4"/>
  <c r="D63" i="5"/>
  <c r="D74" i="4"/>
  <c r="D230" i="5"/>
  <c r="D99" i="4"/>
  <c r="D167" i="5"/>
  <c r="D43" i="4"/>
  <c r="D83" i="5"/>
  <c r="D52" i="4"/>
  <c r="D41" i="5"/>
  <c r="D106" i="4"/>
  <c r="D176" i="5"/>
  <c r="D45" i="4"/>
  <c r="D161" i="5"/>
  <c r="D107" i="4"/>
  <c r="D177" i="5"/>
  <c r="D50" i="4"/>
  <c r="D158" i="5"/>
  <c r="D86" i="4"/>
  <c r="D135" i="5"/>
  <c r="D108" i="4"/>
  <c r="D178" i="5"/>
  <c r="D38" i="4"/>
  <c r="D75" i="5"/>
  <c r="D95" i="4"/>
  <c r="D140" i="5"/>
  <c r="D109" i="4"/>
  <c r="D179" i="5"/>
  <c r="D42" i="4"/>
  <c r="D22" i="5"/>
  <c r="D67" i="4"/>
  <c r="D218" i="5"/>
  <c r="D104" i="4"/>
  <c r="D40" i="5"/>
  <c r="D60" i="4"/>
  <c r="D118" i="5"/>
  <c r="D51" i="4"/>
  <c r="D21" i="5"/>
  <c r="D91" i="4"/>
  <c r="D104" i="5"/>
  <c r="D47" i="4"/>
  <c r="D38" i="5"/>
  <c r="D75" i="4"/>
  <c r="D46" i="5"/>
  <c r="D35" i="4"/>
  <c r="D116" i="5"/>
  <c r="D27" i="4"/>
  <c r="D67" i="5"/>
  <c r="D78" i="4"/>
  <c r="D229" i="5"/>
  <c r="D87" i="4"/>
  <c r="D31" i="5"/>
  <c r="D62" i="4"/>
  <c r="D120" i="5"/>
  <c r="BI144" i="1"/>
  <c r="D63" i="4"/>
  <c r="D121" i="5"/>
  <c r="D90" i="4"/>
  <c r="D35" i="5"/>
  <c r="D103" i="4"/>
  <c r="D106" i="5"/>
  <c r="D97" i="4"/>
  <c r="D53" i="5"/>
  <c r="D96" i="4"/>
  <c r="D102" i="5"/>
  <c r="D81" i="4"/>
  <c r="D44" i="5"/>
  <c r="D28" i="4"/>
  <c r="D99" i="5"/>
  <c r="D85" i="4"/>
  <c r="D36" i="5"/>
  <c r="D37" i="4"/>
  <c r="D18" i="5"/>
  <c r="D53" i="4"/>
  <c r="D42" i="5"/>
  <c r="D110" i="4"/>
  <c r="D180" i="5"/>
  <c r="D26" i="4"/>
  <c r="D138" i="5"/>
  <c r="D76" i="4"/>
  <c r="D216" i="5"/>
  <c r="D84" i="4"/>
  <c r="D101" i="5"/>
  <c r="D70" i="4"/>
  <c r="D128" i="5"/>
  <c r="D66" i="4"/>
  <c r="D49" i="5"/>
  <c r="D56" i="4"/>
  <c r="D95" i="5"/>
  <c r="D89" i="4"/>
  <c r="D98" i="5"/>
  <c r="D82" i="4"/>
  <c r="D124" i="5"/>
  <c r="D73" i="4"/>
  <c r="D37" i="5"/>
  <c r="D57" i="4"/>
  <c r="D96" i="5"/>
  <c r="L52" i="3"/>
  <c r="AS259" i="1"/>
  <c r="I40" i="2"/>
  <c r="I39" i="2"/>
  <c r="I38" i="2"/>
  <c r="I37" i="2"/>
  <c r="I36" i="2"/>
  <c r="I35" i="2"/>
  <c r="I34" i="2"/>
  <c r="I33" i="2"/>
  <c r="I32" i="2"/>
  <c r="I31" i="2"/>
  <c r="I30" i="2"/>
  <c r="I29" i="2"/>
  <c r="I28" i="2"/>
  <c r="I27" i="2"/>
  <c r="I26" i="2"/>
  <c r="I25" i="2"/>
  <c r="H40" i="2"/>
  <c r="H39" i="2"/>
  <c r="H38" i="2"/>
  <c r="H37" i="2"/>
  <c r="H36" i="2"/>
  <c r="H35" i="2"/>
  <c r="H34" i="2"/>
  <c r="H33" i="2"/>
  <c r="H32" i="2"/>
  <c r="H31" i="2"/>
  <c r="H30" i="2"/>
  <c r="H29" i="2"/>
  <c r="H28" i="2"/>
  <c r="H27" i="2"/>
  <c r="H26" i="2"/>
  <c r="H25" i="2"/>
  <c r="G41" i="2"/>
  <c r="F41" i="2"/>
  <c r="E41" i="2"/>
  <c r="D41" i="2"/>
  <c r="B41" i="2"/>
  <c r="C41" i="2"/>
  <c r="K25" i="2" l="1"/>
  <c r="CK193" i="1"/>
  <c r="CL192" i="1"/>
  <c r="BW193" i="1"/>
  <c r="BX192" i="1"/>
  <c r="BI229" i="1"/>
  <c r="BJ228" i="1"/>
  <c r="BI145" i="1"/>
  <c r="BJ144" i="1"/>
  <c r="CK269" i="1"/>
  <c r="CL268" i="1"/>
  <c r="BW269" i="1"/>
  <c r="CK145" i="1"/>
  <c r="BW145" i="1"/>
  <c r="CC145" i="1" s="1"/>
  <c r="CC144" i="1"/>
  <c r="AT267" i="1"/>
  <c r="B19" i="2"/>
  <c r="B8" i="2"/>
  <c r="B21" i="2" l="1"/>
  <c r="AQ257" i="1"/>
  <c r="C288" i="1" l="1"/>
  <c r="T279" i="1"/>
  <c r="T277" i="1"/>
  <c r="T278" i="1"/>
  <c r="T280" i="1"/>
  <c r="T276" i="1"/>
  <c r="C127" i="4" l="1"/>
  <c r="U280" i="1"/>
  <c r="C132" i="5"/>
  <c r="C139" i="5"/>
  <c r="C125" i="4"/>
  <c r="U278" i="1"/>
  <c r="U277" i="1"/>
  <c r="C142" i="5"/>
  <c r="C122" i="4"/>
  <c r="C154" i="5"/>
  <c r="C121" i="4"/>
  <c r="U276" i="1"/>
  <c r="U279" i="1"/>
  <c r="C134" i="5"/>
  <c r="C126" i="4"/>
  <c r="D127" i="4" l="1"/>
  <c r="D132" i="5"/>
  <c r="BI284" i="1"/>
  <c r="BJ284" i="1" s="1"/>
  <c r="BW284" i="1"/>
  <c r="BX284" i="1" s="1"/>
  <c r="D139" i="5"/>
  <c r="D125" i="4"/>
  <c r="CK284" i="1"/>
  <c r="CL284" i="1" s="1"/>
  <c r="D134" i="5"/>
  <c r="D126" i="4"/>
  <c r="D154" i="5"/>
  <c r="D121" i="4"/>
  <c r="D142" i="5"/>
  <c r="D122" i="4"/>
  <c r="BW285" i="1" l="1"/>
  <c r="CK285" i="1"/>
  <c r="CM290" i="1"/>
  <c r="CM293" i="1" s="1"/>
  <c r="CR293" i="1" s="1"/>
  <c r="BI285" i="1"/>
  <c r="W3" i="4"/>
  <c r="O3" i="4"/>
  <c r="O2" i="4"/>
  <c r="W4" i="5"/>
  <c r="O3" i="5"/>
  <c r="O4" i="5"/>
  <c r="W5" i="5" l="1"/>
  <c r="X4" i="5" s="1"/>
  <c r="W4" i="4"/>
  <c r="X3" i="4" s="1"/>
</calcChain>
</file>

<file path=xl/comments1.xml><?xml version="1.0" encoding="utf-8"?>
<comments xmlns="http://schemas.openxmlformats.org/spreadsheetml/2006/main">
  <authors>
    <author>Ingrid Malmgren</author>
    <author>Matthew Davidson</author>
  </authors>
  <commentList>
    <comment ref="AN2" authorId="0">
      <text>
        <r>
          <rPr>
            <b/>
            <sz val="9"/>
            <color indexed="81"/>
            <rFont val="Tahoma"/>
            <family val="2"/>
          </rPr>
          <t>Ingrid Malmgren:</t>
        </r>
        <r>
          <rPr>
            <sz val="9"/>
            <color indexed="81"/>
            <rFont val="Tahoma"/>
            <family val="2"/>
          </rPr>
          <t xml:space="preserve">
checked values attributable to rounding error</t>
        </r>
      </text>
    </comment>
    <comment ref="AQ2" authorId="0">
      <text>
        <r>
          <rPr>
            <b/>
            <sz val="9"/>
            <color indexed="81"/>
            <rFont val="Tahoma"/>
            <family val="2"/>
          </rPr>
          <t>Ingrid Malmgren:</t>
        </r>
        <r>
          <rPr>
            <sz val="9"/>
            <color indexed="81"/>
            <rFont val="Tahoma"/>
            <family val="2"/>
          </rPr>
          <t xml:space="preserve">
needs to include NPV calc if over life of measure
</t>
        </r>
      </text>
    </comment>
    <comment ref="AT2" authorId="0">
      <text>
        <r>
          <rPr>
            <b/>
            <sz val="9"/>
            <color indexed="81"/>
            <rFont val="Tahoma"/>
            <family val="2"/>
          </rPr>
          <t>Ingrid Malmgren:</t>
        </r>
        <r>
          <rPr>
            <sz val="9"/>
            <color indexed="81"/>
            <rFont val="Tahoma"/>
            <family val="2"/>
          </rPr>
          <t xml:space="preserve">
2012 C&amp;I Study 
2011 res study
2016 Three3 health study
</t>
        </r>
      </text>
    </comment>
    <comment ref="AU2" authorId="0">
      <text>
        <r>
          <rPr>
            <b/>
            <sz val="9"/>
            <color indexed="81"/>
            <rFont val="Tahoma"/>
            <family val="2"/>
          </rPr>
          <t>Ingrid Malmgren:</t>
        </r>
        <r>
          <rPr>
            <sz val="9"/>
            <color indexed="81"/>
            <rFont val="Tahoma"/>
            <family val="2"/>
          </rPr>
          <t xml:space="preserve">
make sure to back out O&amp;M
</t>
        </r>
      </text>
    </comment>
    <comment ref="AW2" authorId="0">
      <text>
        <r>
          <rPr>
            <b/>
            <sz val="9"/>
            <color indexed="81"/>
            <rFont val="Tahoma"/>
            <family val="2"/>
          </rPr>
          <t>Ingrid Malmgren:</t>
        </r>
        <r>
          <rPr>
            <sz val="9"/>
            <color indexed="81"/>
            <rFont val="Tahoma"/>
            <family val="2"/>
          </rPr>
          <t xml:space="preserve">
Should be adjusted for gen mix.
Air Emissions Benefits = MWh Savings x Emissions Intensity (lbs/MWh) x [Unit Damage
Costs ($/lb) – Unit Emissions Taxes/Fees Paid by Utilities ($/lb)] = Total Benefits ($) 
Page 2-7</t>
        </r>
      </text>
    </comment>
    <comment ref="AY2" authorId="0">
      <text>
        <r>
          <rPr>
            <b/>
            <sz val="9"/>
            <color indexed="81"/>
            <rFont val="Tahoma"/>
            <family val="2"/>
          </rPr>
          <t>Ingrid Malmgren:</t>
        </r>
        <r>
          <rPr>
            <sz val="9"/>
            <color indexed="81"/>
            <rFont val="Tahoma"/>
            <family val="2"/>
          </rPr>
          <t xml:space="preserve">
2014 US $</t>
        </r>
      </text>
    </comment>
    <comment ref="R3" authorId="1">
      <text>
        <r>
          <rPr>
            <b/>
            <sz val="9"/>
            <color indexed="81"/>
            <rFont val="Tahoma"/>
            <family val="2"/>
          </rPr>
          <t>WACC as applied in 2016-2018 DSM Resource Plan</t>
        </r>
      </text>
    </comment>
    <comment ref="AC3" authorId="0">
      <text>
        <r>
          <rPr>
            <b/>
            <sz val="9"/>
            <color indexed="81"/>
            <rFont val="Tahoma"/>
            <family val="2"/>
          </rPr>
          <t>Ingrid Malmgren:</t>
        </r>
        <r>
          <rPr>
            <sz val="9"/>
            <color indexed="81"/>
            <rFont val="Tahoma"/>
            <family val="2"/>
          </rPr>
          <t xml:space="preserve">
from E1
https://www.halifax.ca/home-property/halifax-water/accounts-billing/rates-charges-water-wastewater-stormwater
Combined water and wastewater volumetric charge. </t>
        </r>
      </text>
    </comment>
    <comment ref="X5" authorId="0">
      <text>
        <r>
          <rPr>
            <b/>
            <sz val="9"/>
            <color indexed="81"/>
            <rFont val="Tahoma"/>
            <family val="2"/>
          </rPr>
          <t>Ingrid Malmgren:</t>
        </r>
        <r>
          <rPr>
            <sz val="9"/>
            <color indexed="81"/>
            <rFont val="Tahoma"/>
            <family val="2"/>
          </rPr>
          <t xml:space="preserve">
Ingrid Malmgren:
page 277</t>
        </r>
      </text>
    </comment>
    <comment ref="Z5" authorId="0">
      <text>
        <r>
          <rPr>
            <b/>
            <sz val="9"/>
            <color indexed="81"/>
            <rFont val="Tahoma"/>
            <family val="2"/>
          </rPr>
          <t>Ingrid Malmgren:</t>
        </r>
        <r>
          <rPr>
            <sz val="9"/>
            <color indexed="81"/>
            <rFont val="Tahoma"/>
            <family val="2"/>
          </rPr>
          <t xml:space="preserve">
Ingrid Malmgren:
page 277</t>
        </r>
      </text>
    </comment>
    <comment ref="AA5" authorId="0">
      <text>
        <r>
          <rPr>
            <b/>
            <sz val="9"/>
            <color indexed="81"/>
            <rFont val="Tahoma"/>
            <family val="2"/>
          </rPr>
          <t>Ingrid Malmgren:</t>
        </r>
        <r>
          <rPr>
            <sz val="9"/>
            <color indexed="81"/>
            <rFont val="Tahoma"/>
            <family val="2"/>
          </rPr>
          <t xml:space="preserve">
Ingrid Malmgren:
from MA TRM page 279 converted to cubic meters</t>
        </r>
      </text>
    </comment>
    <comment ref="AC5" authorId="0">
      <text>
        <r>
          <rPr>
            <b/>
            <sz val="9"/>
            <color indexed="81"/>
            <rFont val="Tahoma"/>
            <family val="2"/>
          </rPr>
          <t>Ingrid Malmgren:</t>
        </r>
        <r>
          <rPr>
            <sz val="9"/>
            <color indexed="81"/>
            <rFont val="Tahoma"/>
            <family val="2"/>
          </rPr>
          <t xml:space="preserve">
from MA TRM page 279 converted to cubic meters</t>
        </r>
      </text>
    </comment>
    <comment ref="AJ5" authorId="0">
      <text>
        <r>
          <rPr>
            <b/>
            <sz val="9"/>
            <color indexed="81"/>
            <rFont val="Tahoma"/>
            <family val="2"/>
          </rPr>
          <t>Ingrid Malmgren:</t>
        </r>
        <r>
          <rPr>
            <sz val="9"/>
            <color indexed="81"/>
            <rFont val="Tahoma"/>
            <family val="2"/>
          </rPr>
          <t xml:space="preserve">
Not included in prescriptive
programs</t>
        </r>
      </text>
    </comment>
    <comment ref="AQ5" authorId="0">
      <text>
        <r>
          <rPr>
            <b/>
            <sz val="9"/>
            <color indexed="81"/>
            <rFont val="Tahoma"/>
            <family val="2"/>
          </rPr>
          <t>Ingrid Malmgren:</t>
        </r>
        <r>
          <rPr>
            <sz val="9"/>
            <color indexed="81"/>
            <rFont val="Tahoma"/>
            <family val="2"/>
          </rPr>
          <t xml:space="preserve">
Ingrid Malmgren:
page 277</t>
        </r>
      </text>
    </comment>
    <comment ref="AW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5" authorId="0">
      <text>
        <r>
          <rPr>
            <b/>
            <sz val="9"/>
            <color indexed="81"/>
            <rFont val="Tahoma"/>
            <family val="2"/>
          </rPr>
          <t>Ingrid Malmgren:</t>
        </r>
        <r>
          <rPr>
            <sz val="9"/>
            <color indexed="81"/>
            <rFont val="Tahoma"/>
            <family val="2"/>
          </rPr>
          <t xml:space="preserve">
HPwES® $136 "Values should be multiplied by the number of comprehensive air sealing participants for each year of the measure life and then muliplied by 1 minus the free ridership rate. Values are in 2014 dollars; a price inflation escalator should be applied)." from ITRON MD
</t>
        </r>
      </text>
    </comment>
    <comment ref="X6" authorId="0">
      <text>
        <r>
          <rPr>
            <b/>
            <sz val="9"/>
            <color indexed="81"/>
            <rFont val="Tahoma"/>
            <family val="2"/>
          </rPr>
          <t>Ingrid Malmgren:</t>
        </r>
        <r>
          <rPr>
            <sz val="9"/>
            <color indexed="81"/>
            <rFont val="Tahoma"/>
            <family val="2"/>
          </rPr>
          <t xml:space="preserve">
Ingrid Malmgren:
page 277</t>
        </r>
      </text>
    </comment>
    <comment ref="Z6" authorId="0">
      <text>
        <r>
          <rPr>
            <b/>
            <sz val="9"/>
            <color indexed="81"/>
            <rFont val="Tahoma"/>
            <family val="2"/>
          </rPr>
          <t>Ingrid Malmgren:</t>
        </r>
        <r>
          <rPr>
            <sz val="9"/>
            <color indexed="81"/>
            <rFont val="Tahoma"/>
            <family val="2"/>
          </rPr>
          <t xml:space="preserve">
Ingrid Malmgren:
page 277</t>
        </r>
      </text>
    </comment>
    <comment ref="AA6" authorId="0">
      <text>
        <r>
          <rPr>
            <b/>
            <sz val="9"/>
            <color indexed="81"/>
            <rFont val="Tahoma"/>
            <family val="2"/>
          </rPr>
          <t>Ingrid Malmgren:</t>
        </r>
        <r>
          <rPr>
            <sz val="9"/>
            <color indexed="81"/>
            <rFont val="Tahoma"/>
            <family val="2"/>
          </rPr>
          <t xml:space="preserve">
Ingrid Malmgren:
from MA TRM page 279 converted to cubic meters</t>
        </r>
      </text>
    </comment>
    <comment ref="AC6" authorId="0">
      <text>
        <r>
          <rPr>
            <b/>
            <sz val="9"/>
            <color indexed="81"/>
            <rFont val="Tahoma"/>
            <family val="2"/>
          </rPr>
          <t>Ingrid Malmgren:</t>
        </r>
        <r>
          <rPr>
            <sz val="9"/>
            <color indexed="81"/>
            <rFont val="Tahoma"/>
            <family val="2"/>
          </rPr>
          <t xml:space="preserve">
from MA TRM page 279 converted to cubic meters
</t>
        </r>
      </text>
    </comment>
    <comment ref="AJ6" authorId="0">
      <text>
        <r>
          <rPr>
            <b/>
            <sz val="9"/>
            <color indexed="81"/>
            <rFont val="Tahoma"/>
            <family val="2"/>
          </rPr>
          <t>Ingrid Malmgren:</t>
        </r>
        <r>
          <rPr>
            <sz val="9"/>
            <color indexed="81"/>
            <rFont val="Tahoma"/>
            <family val="2"/>
          </rPr>
          <t xml:space="preserve">
Not included in prescriptive
programs</t>
        </r>
      </text>
    </comment>
    <comment ref="AQ6" authorId="0">
      <text>
        <r>
          <rPr>
            <b/>
            <sz val="9"/>
            <color indexed="81"/>
            <rFont val="Tahoma"/>
            <family val="2"/>
          </rPr>
          <t>Ingrid Malmgren:</t>
        </r>
        <r>
          <rPr>
            <sz val="9"/>
            <color indexed="81"/>
            <rFont val="Tahoma"/>
            <family val="2"/>
          </rPr>
          <t xml:space="preserve">
Ingrid Malmgren:
page 277</t>
        </r>
      </text>
    </comment>
    <comment ref="AW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7" authorId="0">
      <text>
        <r>
          <rPr>
            <b/>
            <sz val="9"/>
            <color indexed="81"/>
            <rFont val="Tahoma"/>
            <family val="2"/>
          </rPr>
          <t>Ingrid Malmgren:</t>
        </r>
        <r>
          <rPr>
            <sz val="9"/>
            <color indexed="81"/>
            <rFont val="Tahoma"/>
            <family val="2"/>
          </rPr>
          <t xml:space="preserve">
Ingrid Malmgren:
page 277</t>
        </r>
      </text>
    </comment>
    <comment ref="Z7" authorId="0">
      <text>
        <r>
          <rPr>
            <b/>
            <sz val="9"/>
            <color indexed="81"/>
            <rFont val="Tahoma"/>
            <family val="2"/>
          </rPr>
          <t>Ingrid Malmgren:</t>
        </r>
        <r>
          <rPr>
            <sz val="9"/>
            <color indexed="81"/>
            <rFont val="Tahoma"/>
            <family val="2"/>
          </rPr>
          <t xml:space="preserve">
Ingrid Malmgren:
page 277</t>
        </r>
      </text>
    </comment>
    <comment ref="AA7" authorId="0">
      <text>
        <r>
          <rPr>
            <b/>
            <sz val="9"/>
            <color indexed="81"/>
            <rFont val="Tahoma"/>
            <family val="2"/>
          </rPr>
          <t>Ingrid Malmgren:</t>
        </r>
        <r>
          <rPr>
            <sz val="9"/>
            <color indexed="81"/>
            <rFont val="Tahoma"/>
            <family val="2"/>
          </rPr>
          <t xml:space="preserve">
from MA TRM page 279 converted to cubic meters</t>
        </r>
      </text>
    </comment>
    <comment ref="AC7" authorId="0">
      <text>
        <r>
          <rPr>
            <b/>
            <sz val="9"/>
            <color indexed="81"/>
            <rFont val="Tahoma"/>
            <family val="2"/>
          </rPr>
          <t>Ingrid Malmgren:</t>
        </r>
        <r>
          <rPr>
            <sz val="9"/>
            <color indexed="81"/>
            <rFont val="Tahoma"/>
            <family val="2"/>
          </rPr>
          <t xml:space="preserve">
from MA TRM page 279 converted to cubic meters
</t>
        </r>
      </text>
    </comment>
    <comment ref="AJ7" authorId="0">
      <text>
        <r>
          <rPr>
            <b/>
            <sz val="9"/>
            <color indexed="81"/>
            <rFont val="Tahoma"/>
            <family val="2"/>
          </rPr>
          <t>Ingrid Malmgren:</t>
        </r>
        <r>
          <rPr>
            <sz val="9"/>
            <color indexed="81"/>
            <rFont val="Tahoma"/>
            <family val="2"/>
          </rPr>
          <t xml:space="preserve">
Not included in prescriptive
programs</t>
        </r>
      </text>
    </comment>
    <comment ref="AQ7" authorId="0">
      <text>
        <r>
          <rPr>
            <b/>
            <sz val="9"/>
            <color indexed="81"/>
            <rFont val="Tahoma"/>
            <family val="2"/>
          </rPr>
          <t>Ingrid Malmgren:</t>
        </r>
        <r>
          <rPr>
            <sz val="9"/>
            <color indexed="81"/>
            <rFont val="Tahoma"/>
            <family val="2"/>
          </rPr>
          <t xml:space="preserve">
Ingrid Malmgren:
page 277</t>
        </r>
      </text>
    </comment>
    <comment ref="AW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8" authorId="0">
      <text>
        <r>
          <rPr>
            <b/>
            <sz val="9"/>
            <color indexed="81"/>
            <rFont val="Tahoma"/>
            <family val="2"/>
          </rPr>
          <t>Ingrid Malmgren:</t>
        </r>
        <r>
          <rPr>
            <sz val="9"/>
            <color indexed="81"/>
            <rFont val="Tahoma"/>
            <family val="2"/>
          </rPr>
          <t xml:space="preserve">
Ingrid Malmgren:
page 277</t>
        </r>
      </text>
    </comment>
    <comment ref="Z8" authorId="0">
      <text>
        <r>
          <rPr>
            <b/>
            <sz val="9"/>
            <color indexed="81"/>
            <rFont val="Tahoma"/>
            <family val="2"/>
          </rPr>
          <t>Ingrid Malmgren:</t>
        </r>
        <r>
          <rPr>
            <sz val="9"/>
            <color indexed="81"/>
            <rFont val="Tahoma"/>
            <family val="2"/>
          </rPr>
          <t xml:space="preserve">
Ingrid Malmgren:
page 277</t>
        </r>
      </text>
    </comment>
    <comment ref="AA8" authorId="0">
      <text>
        <r>
          <rPr>
            <b/>
            <sz val="9"/>
            <color indexed="81"/>
            <rFont val="Tahoma"/>
            <family val="2"/>
          </rPr>
          <t>Ingrid Malmgren:</t>
        </r>
        <r>
          <rPr>
            <sz val="9"/>
            <color indexed="81"/>
            <rFont val="Tahoma"/>
            <family val="2"/>
          </rPr>
          <t xml:space="preserve">
from MA TRM page 279 converted to cubic meters</t>
        </r>
      </text>
    </comment>
    <comment ref="AC8" authorId="0">
      <text>
        <r>
          <rPr>
            <b/>
            <sz val="9"/>
            <color indexed="81"/>
            <rFont val="Tahoma"/>
            <family val="2"/>
          </rPr>
          <t>Ingrid Malmgren:</t>
        </r>
        <r>
          <rPr>
            <sz val="9"/>
            <color indexed="81"/>
            <rFont val="Tahoma"/>
            <family val="2"/>
          </rPr>
          <t xml:space="preserve">
from MA TRM page 279 converted to cubic meters
</t>
        </r>
      </text>
    </comment>
    <comment ref="AJ8" authorId="0">
      <text>
        <r>
          <rPr>
            <b/>
            <sz val="9"/>
            <color indexed="81"/>
            <rFont val="Tahoma"/>
            <family val="2"/>
          </rPr>
          <t>Ingrid Malmgren:</t>
        </r>
        <r>
          <rPr>
            <sz val="9"/>
            <color indexed="81"/>
            <rFont val="Tahoma"/>
            <family val="2"/>
          </rPr>
          <t xml:space="preserve">
Not included in prescriptive
programs</t>
        </r>
      </text>
    </comment>
    <comment ref="AQ8" authorId="0">
      <text>
        <r>
          <rPr>
            <b/>
            <sz val="9"/>
            <color indexed="81"/>
            <rFont val="Tahoma"/>
            <family val="2"/>
          </rPr>
          <t>Ingrid Malmgren:</t>
        </r>
        <r>
          <rPr>
            <sz val="9"/>
            <color indexed="81"/>
            <rFont val="Tahoma"/>
            <family val="2"/>
          </rPr>
          <t xml:space="preserve">
Ingrid Malmgren:
page 277</t>
        </r>
      </text>
    </comment>
    <comment ref="AW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9" authorId="0">
      <text>
        <r>
          <rPr>
            <b/>
            <sz val="9"/>
            <color indexed="81"/>
            <rFont val="Tahoma"/>
            <family val="2"/>
          </rPr>
          <t>Ingrid Malmgren:</t>
        </r>
        <r>
          <rPr>
            <sz val="9"/>
            <color indexed="81"/>
            <rFont val="Tahoma"/>
            <family val="2"/>
          </rPr>
          <t xml:space="preserve">
Ingrid Malmgren:
page 280
</t>
        </r>
      </text>
    </comment>
    <comment ref="Z9" authorId="0">
      <text>
        <r>
          <rPr>
            <b/>
            <sz val="9"/>
            <color indexed="81"/>
            <rFont val="Tahoma"/>
            <family val="2"/>
          </rPr>
          <t>Ingrid Malmgren:</t>
        </r>
        <r>
          <rPr>
            <sz val="9"/>
            <color indexed="81"/>
            <rFont val="Tahoma"/>
            <family val="2"/>
          </rPr>
          <t xml:space="preserve">
Ingrid Malmgren:
page 280
</t>
        </r>
      </text>
    </comment>
    <comment ref="AA9" authorId="0">
      <text>
        <r>
          <rPr>
            <b/>
            <sz val="9"/>
            <color indexed="81"/>
            <rFont val="Tahoma"/>
            <family val="2"/>
          </rPr>
          <t>Ingrid Malmgren:</t>
        </r>
        <r>
          <rPr>
            <sz val="9"/>
            <color indexed="81"/>
            <rFont val="Tahoma"/>
            <family val="2"/>
          </rPr>
          <t xml:space="preserve">
from MA TRM page 280 converted to cubic meters</t>
        </r>
      </text>
    </comment>
    <comment ref="AC9" authorId="0">
      <text>
        <r>
          <rPr>
            <b/>
            <sz val="9"/>
            <color indexed="81"/>
            <rFont val="Tahoma"/>
            <family val="2"/>
          </rPr>
          <t>Ingrid Malmgren:</t>
        </r>
        <r>
          <rPr>
            <sz val="9"/>
            <color indexed="81"/>
            <rFont val="Tahoma"/>
            <family val="2"/>
          </rPr>
          <t xml:space="preserve">
from MA TRM page 280 converted to cubic meters</t>
        </r>
      </text>
    </comment>
    <comment ref="AJ9" authorId="0">
      <text>
        <r>
          <rPr>
            <b/>
            <sz val="9"/>
            <color indexed="81"/>
            <rFont val="Tahoma"/>
            <family val="2"/>
          </rPr>
          <t>Ingrid Malmgren:</t>
        </r>
        <r>
          <rPr>
            <sz val="9"/>
            <color indexed="81"/>
            <rFont val="Tahoma"/>
            <family val="2"/>
          </rPr>
          <t xml:space="preserve">
Not included in prescriptive
programs</t>
        </r>
      </text>
    </comment>
    <comment ref="AQ9" authorId="0">
      <text>
        <r>
          <rPr>
            <b/>
            <sz val="9"/>
            <color indexed="81"/>
            <rFont val="Tahoma"/>
            <family val="2"/>
          </rPr>
          <t>Ingrid Malmgren:</t>
        </r>
        <r>
          <rPr>
            <sz val="9"/>
            <color indexed="81"/>
            <rFont val="Tahoma"/>
            <family val="2"/>
          </rPr>
          <t xml:space="preserve">
page 280</t>
        </r>
      </text>
    </comment>
    <comment ref="AW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0" authorId="0">
      <text>
        <r>
          <rPr>
            <b/>
            <sz val="9"/>
            <color indexed="81"/>
            <rFont val="Tahoma"/>
            <family val="2"/>
          </rPr>
          <t>Ingrid Malmgren:</t>
        </r>
        <r>
          <rPr>
            <sz val="9"/>
            <color indexed="81"/>
            <rFont val="Tahoma"/>
            <family val="2"/>
          </rPr>
          <t xml:space="preserve">
Ingrid Malmgren:
page 280
</t>
        </r>
      </text>
    </comment>
    <comment ref="Z10" authorId="0">
      <text>
        <r>
          <rPr>
            <b/>
            <sz val="9"/>
            <color indexed="81"/>
            <rFont val="Tahoma"/>
            <family val="2"/>
          </rPr>
          <t>Ingrid Malmgren:</t>
        </r>
        <r>
          <rPr>
            <sz val="9"/>
            <color indexed="81"/>
            <rFont val="Tahoma"/>
            <family val="2"/>
          </rPr>
          <t xml:space="preserve">
Ingrid Malmgren:
page 280
</t>
        </r>
      </text>
    </comment>
    <comment ref="AA10" authorId="0">
      <text>
        <r>
          <rPr>
            <b/>
            <sz val="9"/>
            <color indexed="81"/>
            <rFont val="Tahoma"/>
            <family val="2"/>
          </rPr>
          <t>Ingrid Malmgren:</t>
        </r>
        <r>
          <rPr>
            <sz val="9"/>
            <color indexed="81"/>
            <rFont val="Tahoma"/>
            <family val="2"/>
          </rPr>
          <t xml:space="preserve">
from MA TRM page 280 converted to cubic meters</t>
        </r>
      </text>
    </comment>
    <comment ref="AC10" authorId="0">
      <text>
        <r>
          <rPr>
            <b/>
            <sz val="9"/>
            <color indexed="81"/>
            <rFont val="Tahoma"/>
            <family val="2"/>
          </rPr>
          <t>Ingrid Malmgren:</t>
        </r>
        <r>
          <rPr>
            <sz val="9"/>
            <color indexed="81"/>
            <rFont val="Tahoma"/>
            <family val="2"/>
          </rPr>
          <t xml:space="preserve">
from MA TRM page 280 converted to cubic meters</t>
        </r>
      </text>
    </comment>
    <comment ref="AJ10" authorId="0">
      <text>
        <r>
          <rPr>
            <b/>
            <sz val="9"/>
            <color indexed="81"/>
            <rFont val="Tahoma"/>
            <family val="2"/>
          </rPr>
          <t>Ingrid Malmgren:</t>
        </r>
        <r>
          <rPr>
            <sz val="9"/>
            <color indexed="81"/>
            <rFont val="Tahoma"/>
            <family val="2"/>
          </rPr>
          <t xml:space="preserve">
Not included in prescriptive
programs</t>
        </r>
      </text>
    </comment>
    <comment ref="AQ10" authorId="0">
      <text>
        <r>
          <rPr>
            <b/>
            <sz val="9"/>
            <color indexed="81"/>
            <rFont val="Tahoma"/>
            <family val="2"/>
          </rPr>
          <t>Ingrid Malmgren:</t>
        </r>
        <r>
          <rPr>
            <sz val="9"/>
            <color indexed="81"/>
            <rFont val="Tahoma"/>
            <family val="2"/>
          </rPr>
          <t xml:space="preserve">
page 280</t>
        </r>
      </text>
    </comment>
    <comment ref="AW1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1" authorId="0">
      <text>
        <r>
          <rPr>
            <b/>
            <sz val="9"/>
            <color indexed="81"/>
            <rFont val="Tahoma"/>
            <family val="2"/>
          </rPr>
          <t>Ingrid Malmgren:</t>
        </r>
        <r>
          <rPr>
            <sz val="9"/>
            <color indexed="81"/>
            <rFont val="Tahoma"/>
            <family val="2"/>
          </rPr>
          <t xml:space="preserve">
Ingrid Malmgren:
page 280
</t>
        </r>
      </text>
    </comment>
    <comment ref="Z11" authorId="0">
      <text>
        <r>
          <rPr>
            <b/>
            <sz val="9"/>
            <color indexed="81"/>
            <rFont val="Tahoma"/>
            <family val="2"/>
          </rPr>
          <t>Ingrid Malmgren:</t>
        </r>
        <r>
          <rPr>
            <sz val="9"/>
            <color indexed="81"/>
            <rFont val="Tahoma"/>
            <family val="2"/>
          </rPr>
          <t xml:space="preserve">
Ingrid Malmgren:
page 280
</t>
        </r>
      </text>
    </comment>
    <comment ref="AA11" authorId="0">
      <text>
        <r>
          <rPr>
            <b/>
            <sz val="9"/>
            <color indexed="81"/>
            <rFont val="Tahoma"/>
            <family val="2"/>
          </rPr>
          <t>Ingrid Malmgren:</t>
        </r>
        <r>
          <rPr>
            <sz val="9"/>
            <color indexed="81"/>
            <rFont val="Tahoma"/>
            <family val="2"/>
          </rPr>
          <t xml:space="preserve">
from MA TRM page 280 converted to cubic meters</t>
        </r>
      </text>
    </comment>
    <comment ref="AC11" authorId="0">
      <text>
        <r>
          <rPr>
            <b/>
            <sz val="9"/>
            <color indexed="81"/>
            <rFont val="Tahoma"/>
            <family val="2"/>
          </rPr>
          <t>Ingrid Malmgren:</t>
        </r>
        <r>
          <rPr>
            <sz val="9"/>
            <color indexed="81"/>
            <rFont val="Tahoma"/>
            <family val="2"/>
          </rPr>
          <t xml:space="preserve">
from MA TRM page 280 converted to cubic meters</t>
        </r>
      </text>
    </comment>
    <comment ref="AJ11" authorId="0">
      <text>
        <r>
          <rPr>
            <b/>
            <sz val="9"/>
            <color indexed="81"/>
            <rFont val="Tahoma"/>
            <family val="2"/>
          </rPr>
          <t>Ingrid Malmgren:</t>
        </r>
        <r>
          <rPr>
            <sz val="9"/>
            <color indexed="81"/>
            <rFont val="Tahoma"/>
            <family val="2"/>
          </rPr>
          <t xml:space="preserve">
Not included in prescriptive
programs</t>
        </r>
      </text>
    </comment>
    <comment ref="AQ11" authorId="0">
      <text>
        <r>
          <rPr>
            <b/>
            <sz val="9"/>
            <color indexed="81"/>
            <rFont val="Tahoma"/>
            <family val="2"/>
          </rPr>
          <t>Ingrid Malmgren:</t>
        </r>
        <r>
          <rPr>
            <sz val="9"/>
            <color indexed="81"/>
            <rFont val="Tahoma"/>
            <family val="2"/>
          </rPr>
          <t xml:space="preserve">
page 280</t>
        </r>
      </text>
    </comment>
    <comment ref="AW1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2" authorId="0">
      <text>
        <r>
          <rPr>
            <b/>
            <sz val="9"/>
            <color indexed="81"/>
            <rFont val="Tahoma"/>
            <family val="2"/>
          </rPr>
          <t>Ingrid Malmgren:</t>
        </r>
        <r>
          <rPr>
            <sz val="9"/>
            <color indexed="81"/>
            <rFont val="Tahoma"/>
            <family val="2"/>
          </rPr>
          <t xml:space="preserve">
Ingrid Malmgren:
page 280
</t>
        </r>
      </text>
    </comment>
    <comment ref="Z12" authorId="0">
      <text>
        <r>
          <rPr>
            <b/>
            <sz val="9"/>
            <color indexed="81"/>
            <rFont val="Tahoma"/>
            <family val="2"/>
          </rPr>
          <t>Ingrid Malmgren:</t>
        </r>
        <r>
          <rPr>
            <sz val="9"/>
            <color indexed="81"/>
            <rFont val="Tahoma"/>
            <family val="2"/>
          </rPr>
          <t xml:space="preserve">
Ingrid Malmgren:
page 280
</t>
        </r>
      </text>
    </comment>
    <comment ref="AA12" authorId="0">
      <text>
        <r>
          <rPr>
            <b/>
            <sz val="9"/>
            <color indexed="81"/>
            <rFont val="Tahoma"/>
            <family val="2"/>
          </rPr>
          <t>Ingrid Malmgren:</t>
        </r>
        <r>
          <rPr>
            <sz val="9"/>
            <color indexed="81"/>
            <rFont val="Tahoma"/>
            <family val="2"/>
          </rPr>
          <t xml:space="preserve">
from MA TRM page 280 converted to cubic meters</t>
        </r>
      </text>
    </comment>
    <comment ref="AC12" authorId="0">
      <text>
        <r>
          <rPr>
            <b/>
            <sz val="9"/>
            <color indexed="81"/>
            <rFont val="Tahoma"/>
            <family val="2"/>
          </rPr>
          <t>Ingrid Malmgren:</t>
        </r>
        <r>
          <rPr>
            <sz val="9"/>
            <color indexed="81"/>
            <rFont val="Tahoma"/>
            <family val="2"/>
          </rPr>
          <t xml:space="preserve">
from MA TRM page 280 converted to cubic meters</t>
        </r>
      </text>
    </comment>
    <comment ref="AJ12" authorId="0">
      <text>
        <r>
          <rPr>
            <b/>
            <sz val="9"/>
            <color indexed="81"/>
            <rFont val="Tahoma"/>
            <family val="2"/>
          </rPr>
          <t>Ingrid Malmgren:</t>
        </r>
        <r>
          <rPr>
            <sz val="9"/>
            <color indexed="81"/>
            <rFont val="Tahoma"/>
            <family val="2"/>
          </rPr>
          <t xml:space="preserve">
Not included in prescriptive
programs</t>
        </r>
      </text>
    </comment>
    <comment ref="AQ12" authorId="0">
      <text>
        <r>
          <rPr>
            <b/>
            <sz val="9"/>
            <color indexed="81"/>
            <rFont val="Tahoma"/>
            <family val="2"/>
          </rPr>
          <t>Ingrid Malmgren:</t>
        </r>
        <r>
          <rPr>
            <sz val="9"/>
            <color indexed="81"/>
            <rFont val="Tahoma"/>
            <family val="2"/>
          </rPr>
          <t xml:space="preserve">
page 280</t>
        </r>
      </text>
    </comment>
    <comment ref="AW1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3" authorId="0">
      <text>
        <r>
          <rPr>
            <b/>
            <sz val="9"/>
            <color indexed="81"/>
            <rFont val="Tahoma"/>
            <family val="2"/>
          </rPr>
          <t>Ingrid Malmgren:</t>
        </r>
        <r>
          <rPr>
            <sz val="9"/>
            <color indexed="81"/>
            <rFont val="Tahoma"/>
            <family val="2"/>
          </rPr>
          <t xml:space="preserve">
p. 285</t>
        </r>
      </text>
    </comment>
    <comment ref="Z13" authorId="0">
      <text>
        <r>
          <rPr>
            <b/>
            <sz val="9"/>
            <color indexed="81"/>
            <rFont val="Tahoma"/>
            <family val="2"/>
          </rPr>
          <t>Ingrid Malmgren:</t>
        </r>
        <r>
          <rPr>
            <sz val="9"/>
            <color indexed="81"/>
            <rFont val="Tahoma"/>
            <family val="2"/>
          </rPr>
          <t xml:space="preserve">
p. 285</t>
        </r>
      </text>
    </comment>
    <comment ref="AC13" authorId="0">
      <text>
        <r>
          <rPr>
            <b/>
            <sz val="9"/>
            <color indexed="81"/>
            <rFont val="Tahoma"/>
            <family val="2"/>
          </rPr>
          <t>Ingrid Malmgren:</t>
        </r>
        <r>
          <rPr>
            <sz val="9"/>
            <color indexed="81"/>
            <rFont val="Tahoma"/>
            <family val="2"/>
          </rPr>
          <t xml:space="preserve">
p. 285</t>
        </r>
      </text>
    </comment>
    <comment ref="AJ13" authorId="0">
      <text>
        <r>
          <rPr>
            <b/>
            <sz val="9"/>
            <color indexed="81"/>
            <rFont val="Tahoma"/>
            <family val="2"/>
          </rPr>
          <t>Ingrid Malmgren:</t>
        </r>
        <r>
          <rPr>
            <sz val="9"/>
            <color indexed="81"/>
            <rFont val="Tahoma"/>
            <family val="2"/>
          </rPr>
          <t xml:space="preserve">
Not included in prescriptive
programs</t>
        </r>
      </text>
    </comment>
    <comment ref="AQ13" authorId="0">
      <text>
        <r>
          <rPr>
            <b/>
            <sz val="9"/>
            <color indexed="81"/>
            <rFont val="Tahoma"/>
            <family val="2"/>
          </rPr>
          <t>Ingrid Malmgren:</t>
        </r>
        <r>
          <rPr>
            <sz val="9"/>
            <color indexed="81"/>
            <rFont val="Tahoma"/>
            <family val="2"/>
          </rPr>
          <t xml:space="preserve">
p. 285</t>
        </r>
      </text>
    </comment>
    <comment ref="AW1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4" authorId="0">
      <text>
        <r>
          <rPr>
            <b/>
            <sz val="9"/>
            <color indexed="81"/>
            <rFont val="Tahoma"/>
            <family val="2"/>
          </rPr>
          <t>Ingrid Malmgren:</t>
        </r>
        <r>
          <rPr>
            <sz val="9"/>
            <color indexed="81"/>
            <rFont val="Tahoma"/>
            <family val="2"/>
          </rPr>
          <t xml:space="preserve">
p.287</t>
        </r>
      </text>
    </comment>
    <comment ref="Z14" authorId="0">
      <text>
        <r>
          <rPr>
            <b/>
            <sz val="9"/>
            <color indexed="81"/>
            <rFont val="Tahoma"/>
            <family val="2"/>
          </rPr>
          <t>Ingrid Malmgren:</t>
        </r>
        <r>
          <rPr>
            <sz val="9"/>
            <color indexed="81"/>
            <rFont val="Tahoma"/>
            <family val="2"/>
          </rPr>
          <t xml:space="preserve">
p.287</t>
        </r>
      </text>
    </comment>
    <comment ref="AC14" authorId="0">
      <text>
        <r>
          <rPr>
            <b/>
            <sz val="9"/>
            <color indexed="81"/>
            <rFont val="Tahoma"/>
            <family val="2"/>
          </rPr>
          <t>Ingrid Malmgren:</t>
        </r>
        <r>
          <rPr>
            <sz val="9"/>
            <color indexed="81"/>
            <rFont val="Tahoma"/>
            <family val="2"/>
          </rPr>
          <t xml:space="preserve">
p.287</t>
        </r>
      </text>
    </comment>
    <comment ref="AJ14" authorId="0">
      <text>
        <r>
          <rPr>
            <b/>
            <sz val="9"/>
            <color indexed="81"/>
            <rFont val="Tahoma"/>
            <family val="2"/>
          </rPr>
          <t>Ingrid Malmgren:</t>
        </r>
        <r>
          <rPr>
            <sz val="9"/>
            <color indexed="81"/>
            <rFont val="Tahoma"/>
            <family val="2"/>
          </rPr>
          <t xml:space="preserve">
Not included in prescriptive
programs</t>
        </r>
      </text>
    </comment>
    <comment ref="AQ14" authorId="0">
      <text>
        <r>
          <rPr>
            <b/>
            <sz val="9"/>
            <color indexed="81"/>
            <rFont val="Tahoma"/>
            <family val="2"/>
          </rPr>
          <t>Ingrid Malmgren:</t>
        </r>
        <r>
          <rPr>
            <sz val="9"/>
            <color indexed="81"/>
            <rFont val="Tahoma"/>
            <family val="2"/>
          </rPr>
          <t xml:space="preserve">
p.287</t>
        </r>
      </text>
    </comment>
    <comment ref="AW1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5" authorId="0">
      <text>
        <r>
          <rPr>
            <b/>
            <sz val="9"/>
            <color indexed="81"/>
            <rFont val="Tahoma"/>
            <family val="2"/>
          </rPr>
          <t>Ingrid Malmgren:</t>
        </r>
        <r>
          <rPr>
            <sz val="9"/>
            <color indexed="81"/>
            <rFont val="Tahoma"/>
            <family val="2"/>
          </rPr>
          <t xml:space="preserve">
p.287</t>
        </r>
      </text>
    </comment>
    <comment ref="Z15" authorId="0">
      <text>
        <r>
          <rPr>
            <b/>
            <sz val="9"/>
            <color indexed="81"/>
            <rFont val="Tahoma"/>
            <family val="2"/>
          </rPr>
          <t>Ingrid Malmgren:</t>
        </r>
        <r>
          <rPr>
            <sz val="9"/>
            <color indexed="81"/>
            <rFont val="Tahoma"/>
            <family val="2"/>
          </rPr>
          <t xml:space="preserve">
p.287</t>
        </r>
      </text>
    </comment>
    <comment ref="AC15" authorId="0">
      <text>
        <r>
          <rPr>
            <b/>
            <sz val="9"/>
            <color indexed="81"/>
            <rFont val="Tahoma"/>
            <family val="2"/>
          </rPr>
          <t>Ingrid Malmgren:</t>
        </r>
        <r>
          <rPr>
            <sz val="9"/>
            <color indexed="81"/>
            <rFont val="Tahoma"/>
            <family val="2"/>
          </rPr>
          <t xml:space="preserve">
p.287</t>
        </r>
      </text>
    </comment>
    <comment ref="AJ15" authorId="0">
      <text>
        <r>
          <rPr>
            <b/>
            <sz val="9"/>
            <color indexed="81"/>
            <rFont val="Tahoma"/>
            <family val="2"/>
          </rPr>
          <t>Ingrid Malmgren:</t>
        </r>
        <r>
          <rPr>
            <sz val="9"/>
            <color indexed="81"/>
            <rFont val="Tahoma"/>
            <family val="2"/>
          </rPr>
          <t xml:space="preserve">
Not included in prescriptive
programs</t>
        </r>
      </text>
    </comment>
    <comment ref="AQ15" authorId="0">
      <text>
        <r>
          <rPr>
            <b/>
            <sz val="9"/>
            <color indexed="81"/>
            <rFont val="Tahoma"/>
            <family val="2"/>
          </rPr>
          <t>Ingrid Malmgren:</t>
        </r>
        <r>
          <rPr>
            <sz val="9"/>
            <color indexed="81"/>
            <rFont val="Tahoma"/>
            <family val="2"/>
          </rPr>
          <t xml:space="preserve">
p.287</t>
        </r>
      </text>
    </comment>
    <comment ref="AW1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6" authorId="0">
      <text>
        <r>
          <rPr>
            <b/>
            <sz val="9"/>
            <color indexed="81"/>
            <rFont val="Tahoma"/>
            <family val="2"/>
          </rPr>
          <t>Ingrid Malmgren:</t>
        </r>
        <r>
          <rPr>
            <sz val="9"/>
            <color indexed="81"/>
            <rFont val="Tahoma"/>
            <family val="2"/>
          </rPr>
          <t xml:space="preserve">
p.287</t>
        </r>
      </text>
    </comment>
    <comment ref="Z16" authorId="0">
      <text>
        <r>
          <rPr>
            <b/>
            <sz val="9"/>
            <color indexed="81"/>
            <rFont val="Tahoma"/>
            <family val="2"/>
          </rPr>
          <t>Ingrid Malmgren:</t>
        </r>
        <r>
          <rPr>
            <sz val="9"/>
            <color indexed="81"/>
            <rFont val="Tahoma"/>
            <family val="2"/>
          </rPr>
          <t xml:space="preserve">
p.287</t>
        </r>
      </text>
    </comment>
    <comment ref="AC16" authorId="0">
      <text>
        <r>
          <rPr>
            <b/>
            <sz val="9"/>
            <color indexed="81"/>
            <rFont val="Tahoma"/>
            <family val="2"/>
          </rPr>
          <t>Ingrid Malmgren:</t>
        </r>
        <r>
          <rPr>
            <sz val="9"/>
            <color indexed="81"/>
            <rFont val="Tahoma"/>
            <family val="2"/>
          </rPr>
          <t xml:space="preserve">
p.287</t>
        </r>
      </text>
    </comment>
    <comment ref="AJ16" authorId="0">
      <text>
        <r>
          <rPr>
            <b/>
            <sz val="9"/>
            <color indexed="81"/>
            <rFont val="Tahoma"/>
            <family val="2"/>
          </rPr>
          <t>Ingrid Malmgren:</t>
        </r>
        <r>
          <rPr>
            <sz val="9"/>
            <color indexed="81"/>
            <rFont val="Tahoma"/>
            <family val="2"/>
          </rPr>
          <t xml:space="preserve">
Not included in prescriptive
programs</t>
        </r>
      </text>
    </comment>
    <comment ref="AQ16" authorId="0">
      <text>
        <r>
          <rPr>
            <b/>
            <sz val="9"/>
            <color indexed="81"/>
            <rFont val="Tahoma"/>
            <family val="2"/>
          </rPr>
          <t>Ingrid Malmgren:</t>
        </r>
        <r>
          <rPr>
            <sz val="9"/>
            <color indexed="81"/>
            <rFont val="Tahoma"/>
            <family val="2"/>
          </rPr>
          <t xml:space="preserve">
p.287</t>
        </r>
      </text>
    </comment>
    <comment ref="AW1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7" authorId="0">
      <text>
        <r>
          <rPr>
            <b/>
            <sz val="9"/>
            <color indexed="81"/>
            <rFont val="Tahoma"/>
            <family val="2"/>
          </rPr>
          <t>Ingrid Malmgren:</t>
        </r>
        <r>
          <rPr>
            <sz val="9"/>
            <color indexed="81"/>
            <rFont val="Tahoma"/>
            <family val="2"/>
          </rPr>
          <t xml:space="preserve">
p.324</t>
        </r>
      </text>
    </comment>
    <comment ref="Z17" authorId="0">
      <text>
        <r>
          <rPr>
            <b/>
            <sz val="9"/>
            <color indexed="81"/>
            <rFont val="Tahoma"/>
            <family val="2"/>
          </rPr>
          <t>Ingrid Malmgren:</t>
        </r>
        <r>
          <rPr>
            <sz val="9"/>
            <color indexed="81"/>
            <rFont val="Tahoma"/>
            <family val="2"/>
          </rPr>
          <t xml:space="preserve">
p.324</t>
        </r>
      </text>
    </comment>
    <comment ref="AC17" authorId="0">
      <text>
        <r>
          <rPr>
            <b/>
            <sz val="9"/>
            <color indexed="81"/>
            <rFont val="Tahoma"/>
            <family val="2"/>
          </rPr>
          <t>Ingrid Malmgren:</t>
        </r>
        <r>
          <rPr>
            <sz val="9"/>
            <color indexed="81"/>
            <rFont val="Tahoma"/>
            <family val="2"/>
          </rPr>
          <t xml:space="preserve">
p.324</t>
        </r>
      </text>
    </comment>
    <comment ref="AJ17" authorId="0">
      <text>
        <r>
          <rPr>
            <b/>
            <sz val="9"/>
            <color indexed="81"/>
            <rFont val="Tahoma"/>
            <family val="2"/>
          </rPr>
          <t>Ingrid Malmgren:</t>
        </r>
        <r>
          <rPr>
            <sz val="9"/>
            <color indexed="81"/>
            <rFont val="Tahoma"/>
            <family val="2"/>
          </rPr>
          <t xml:space="preserve">
Not included in prescriptive
programs</t>
        </r>
      </text>
    </comment>
    <comment ref="AQ17" authorId="0">
      <text>
        <r>
          <rPr>
            <b/>
            <sz val="9"/>
            <color indexed="81"/>
            <rFont val="Tahoma"/>
            <family val="2"/>
          </rPr>
          <t>Ingrid Malmgren:</t>
        </r>
        <r>
          <rPr>
            <sz val="9"/>
            <color indexed="81"/>
            <rFont val="Tahoma"/>
            <family val="2"/>
          </rPr>
          <t xml:space="preserve">
p.324</t>
        </r>
      </text>
    </comment>
    <comment ref="AW1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8" authorId="0">
      <text>
        <r>
          <rPr>
            <b/>
            <sz val="9"/>
            <color indexed="81"/>
            <rFont val="Tahoma"/>
            <family val="2"/>
          </rPr>
          <t>Ingrid Malmgren:</t>
        </r>
        <r>
          <rPr>
            <sz val="9"/>
            <color indexed="81"/>
            <rFont val="Tahoma"/>
            <family val="2"/>
          </rPr>
          <t xml:space="preserve">
p.419-420 includes admin costs, material handling, material movement, other costs, other labor costs, O&amp;M product spoilage, rent revenue, sales revenue and waste disposal.</t>
        </r>
      </text>
    </comment>
    <comment ref="AC18" authorId="0">
      <text>
        <r>
          <rPr>
            <b/>
            <sz val="9"/>
            <color indexed="81"/>
            <rFont val="Tahoma"/>
            <family val="2"/>
          </rPr>
          <t>Ingrid Malmgren:</t>
        </r>
        <r>
          <rPr>
            <sz val="9"/>
            <color indexed="81"/>
            <rFont val="Tahoma"/>
            <family val="2"/>
          </rPr>
          <t xml:space="preserve">
from MA TRM
2016-2018 Plan
p.419-420 includes admin costs, material handling, material movement, other costs, other labor costs, O&amp;M product spoilage, rent revenue, sales revenue and waste disposal.</t>
        </r>
      </text>
    </comment>
    <comment ref="AJ18" authorId="0">
      <text>
        <r>
          <rPr>
            <b/>
            <sz val="9"/>
            <color indexed="81"/>
            <rFont val="Tahoma"/>
            <family val="2"/>
          </rPr>
          <t>Ingrid Malmgren:</t>
        </r>
        <r>
          <rPr>
            <sz val="9"/>
            <color indexed="81"/>
            <rFont val="Tahoma"/>
            <family val="2"/>
          </rPr>
          <t xml:space="preserve">
Not included in prescriptive
programs</t>
        </r>
      </text>
    </comment>
    <comment ref="AP18" authorId="0">
      <text>
        <r>
          <rPr>
            <b/>
            <sz val="9"/>
            <color indexed="81"/>
            <rFont val="Tahoma"/>
            <family val="2"/>
          </rPr>
          <t>Ingrid Malmgren:</t>
        </r>
        <r>
          <rPr>
            <sz val="9"/>
            <color indexed="81"/>
            <rFont val="Tahoma"/>
            <family val="2"/>
          </rPr>
          <t xml:space="preserve">
p.419-420 includes admin costs, material handling, material movement, other costs, other labor costs, O&amp;M product spoilage, rent revenue, sales revenue and waste disposal.</t>
        </r>
      </text>
    </comment>
    <comment ref="AQ18" authorId="0">
      <text>
        <r>
          <rPr>
            <b/>
            <sz val="9"/>
            <color indexed="81"/>
            <rFont val="Tahoma"/>
            <family val="2"/>
          </rPr>
          <t>Ingrid Malmgren:</t>
        </r>
        <r>
          <rPr>
            <sz val="9"/>
            <color indexed="81"/>
            <rFont val="Tahoma"/>
            <family val="2"/>
          </rPr>
          <t xml:space="preserve">
p.419-420 includes admin costs, material handling, material movement, other costs, other labor costs, O&amp;M product spoilage, rent revenue, sales revenue and waste disposal.</t>
        </r>
      </text>
    </comment>
    <comment ref="AT18" authorId="0">
      <text>
        <r>
          <rPr>
            <b/>
            <sz val="9"/>
            <color indexed="81"/>
            <rFont val="Tahoma"/>
            <family val="2"/>
          </rPr>
          <t>Ingrid Malmgren:</t>
        </r>
        <r>
          <rPr>
            <sz val="9"/>
            <color indexed="81"/>
            <rFont val="Tahoma"/>
            <family val="2"/>
          </rPr>
          <t xml:space="preserve">
from Table 1-2
</t>
        </r>
      </text>
    </comment>
    <comment ref="AW1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9" authorId="0">
      <text>
        <r>
          <rPr>
            <b/>
            <sz val="9"/>
            <color indexed="81"/>
            <rFont val="Tahoma"/>
            <family val="2"/>
          </rPr>
          <t>Ingrid Malmgren:</t>
        </r>
        <r>
          <rPr>
            <sz val="9"/>
            <color indexed="81"/>
            <rFont val="Tahoma"/>
            <family val="2"/>
          </rPr>
          <t xml:space="preserve">
p.419-420 includes admin costs, material handling, material movement, other costs, other labor costs, O&amp;M product spoilage, rent revenue, sales revenue and waste disposal.</t>
        </r>
      </text>
    </comment>
    <comment ref="AC19" authorId="0">
      <text>
        <r>
          <rPr>
            <b/>
            <sz val="9"/>
            <color indexed="81"/>
            <rFont val="Tahoma"/>
            <family val="2"/>
          </rPr>
          <t>Ingrid Malmgren:</t>
        </r>
        <r>
          <rPr>
            <sz val="9"/>
            <color indexed="81"/>
            <rFont val="Tahoma"/>
            <family val="2"/>
          </rPr>
          <t xml:space="preserve">
rom MA TRM
2016-2018 Plan
p.419-420 includes admin costs, material handling, material movement, other costs, other labor costs, O&amp;M product spoilage, rent revenue, sales revenue and waste disposal.</t>
        </r>
      </text>
    </comment>
    <comment ref="AJ19" authorId="0">
      <text>
        <r>
          <rPr>
            <b/>
            <sz val="9"/>
            <color indexed="81"/>
            <rFont val="Tahoma"/>
            <family val="2"/>
          </rPr>
          <t>Ingrid Malmgren:</t>
        </r>
        <r>
          <rPr>
            <sz val="9"/>
            <color indexed="81"/>
            <rFont val="Tahoma"/>
            <family val="2"/>
          </rPr>
          <t xml:space="preserve">
Not included in prescriptive
programs</t>
        </r>
      </text>
    </comment>
    <comment ref="AP19" authorId="0">
      <text>
        <r>
          <rPr>
            <b/>
            <sz val="9"/>
            <color indexed="81"/>
            <rFont val="Tahoma"/>
            <family val="2"/>
          </rPr>
          <t>Ingrid Malmgren:</t>
        </r>
        <r>
          <rPr>
            <sz val="9"/>
            <color indexed="81"/>
            <rFont val="Tahoma"/>
            <family val="2"/>
          </rPr>
          <t xml:space="preserve">
p.419-420 includes admin costs, material handling, material movement, other costs, other labor costs, O&amp;M product spoilage, rent revenue, sales revenue and waste disposal.</t>
        </r>
      </text>
    </comment>
    <comment ref="AQ19" authorId="0">
      <text>
        <r>
          <rPr>
            <b/>
            <sz val="9"/>
            <color indexed="81"/>
            <rFont val="Tahoma"/>
            <family val="2"/>
          </rPr>
          <t>Ingrid Malmgren:</t>
        </r>
        <r>
          <rPr>
            <sz val="9"/>
            <color indexed="81"/>
            <rFont val="Tahoma"/>
            <family val="2"/>
          </rPr>
          <t xml:space="preserve">
p.419-420 includes admin costs, material handling, material movement, other costs, other labor costs, O&amp;M product spoilage, rent revenue, sales revenue and waste disposal.</t>
        </r>
      </text>
    </comment>
    <comment ref="AT19" authorId="0">
      <text>
        <r>
          <rPr>
            <b/>
            <sz val="9"/>
            <color indexed="81"/>
            <rFont val="Tahoma"/>
            <family val="2"/>
          </rPr>
          <t>Ingrid Malmgren:</t>
        </r>
        <r>
          <rPr>
            <sz val="9"/>
            <color indexed="81"/>
            <rFont val="Tahoma"/>
            <family val="2"/>
          </rPr>
          <t xml:space="preserve">
from Table 1-2
</t>
        </r>
      </text>
    </comment>
    <comment ref="AW1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0" authorId="0">
      <text>
        <r>
          <rPr>
            <b/>
            <sz val="9"/>
            <color indexed="81"/>
            <rFont val="Tahoma"/>
            <family val="2"/>
          </rPr>
          <t>Ingrid Malmgren:</t>
        </r>
        <r>
          <rPr>
            <sz val="9"/>
            <color indexed="81"/>
            <rFont val="Tahoma"/>
            <family val="2"/>
          </rPr>
          <t xml:space="preserve">
p.419-420 includes admin costs, material handling, material movement, other costs, other labor costs, O&amp;M product spoilage, rent revenue, sales revenue and waste disposal.</t>
        </r>
      </text>
    </comment>
    <comment ref="AC20" authorId="0">
      <text>
        <r>
          <rPr>
            <b/>
            <sz val="9"/>
            <color indexed="81"/>
            <rFont val="Tahoma"/>
            <family val="2"/>
          </rPr>
          <t>Ingrid Malmgren:</t>
        </r>
        <r>
          <rPr>
            <sz val="9"/>
            <color indexed="81"/>
            <rFont val="Tahoma"/>
            <family val="2"/>
          </rPr>
          <t xml:space="preserve">
rom MA TRM
2016-2018 Plan
p.419-420 includes admin costs, material handling, material movement, other costs, other labor costs, O&amp;M product spoilage, rent revenue, sales revenue and waste disposal.</t>
        </r>
      </text>
    </comment>
    <comment ref="AJ20" authorId="0">
      <text>
        <r>
          <rPr>
            <b/>
            <sz val="9"/>
            <color indexed="81"/>
            <rFont val="Tahoma"/>
            <family val="2"/>
          </rPr>
          <t>Ingrid Malmgren:</t>
        </r>
        <r>
          <rPr>
            <sz val="9"/>
            <color indexed="81"/>
            <rFont val="Tahoma"/>
            <family val="2"/>
          </rPr>
          <t xml:space="preserve">
Not included in prescriptive
programs</t>
        </r>
      </text>
    </comment>
    <comment ref="AP20" authorId="0">
      <text>
        <r>
          <rPr>
            <b/>
            <sz val="9"/>
            <color indexed="81"/>
            <rFont val="Tahoma"/>
            <family val="2"/>
          </rPr>
          <t>Ingrid Malmgren:</t>
        </r>
        <r>
          <rPr>
            <sz val="9"/>
            <color indexed="81"/>
            <rFont val="Tahoma"/>
            <family val="2"/>
          </rPr>
          <t xml:space="preserve">
p.419-420 includes admin costs, material handling, material movement, other costs, other labor costs, O&amp;M product spoilage, rent revenue, sales revenue and waste disposal.</t>
        </r>
      </text>
    </comment>
    <comment ref="AQ20" authorId="0">
      <text>
        <r>
          <rPr>
            <b/>
            <sz val="9"/>
            <color indexed="81"/>
            <rFont val="Tahoma"/>
            <family val="2"/>
          </rPr>
          <t>Ingrid Malmgren:</t>
        </r>
        <r>
          <rPr>
            <sz val="9"/>
            <color indexed="81"/>
            <rFont val="Tahoma"/>
            <family val="2"/>
          </rPr>
          <t xml:space="preserve">
p.419-420 includes admin costs, material handling, material movement, other costs, other labor costs, O&amp;M product spoilage, rent revenue, sales revenue and waste disposal.</t>
        </r>
      </text>
    </comment>
    <comment ref="AT20" authorId="0">
      <text>
        <r>
          <rPr>
            <b/>
            <sz val="9"/>
            <color indexed="81"/>
            <rFont val="Tahoma"/>
            <family val="2"/>
          </rPr>
          <t>Ingrid Malmgren:</t>
        </r>
        <r>
          <rPr>
            <sz val="9"/>
            <color indexed="81"/>
            <rFont val="Tahoma"/>
            <family val="2"/>
          </rPr>
          <t xml:space="preserve">
from Table 1-2
</t>
        </r>
      </text>
    </comment>
    <comment ref="AW2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1" authorId="0">
      <text>
        <r>
          <rPr>
            <b/>
            <sz val="9"/>
            <color indexed="81"/>
            <rFont val="Tahoma"/>
            <family val="2"/>
          </rPr>
          <t>Ingrid Malmgren:</t>
        </r>
        <r>
          <rPr>
            <sz val="9"/>
            <color indexed="81"/>
            <rFont val="Tahoma"/>
            <family val="2"/>
          </rPr>
          <t xml:space="preserve">
p.285 MA TRM
</t>
        </r>
      </text>
    </comment>
    <comment ref="Z21" authorId="0">
      <text>
        <r>
          <rPr>
            <b/>
            <sz val="9"/>
            <color indexed="81"/>
            <rFont val="Tahoma"/>
            <family val="2"/>
          </rPr>
          <t>Ingrid Malmgren:</t>
        </r>
        <r>
          <rPr>
            <sz val="9"/>
            <color indexed="81"/>
            <rFont val="Tahoma"/>
            <family val="2"/>
          </rPr>
          <t xml:space="preserve">
p.285 MA TRM
</t>
        </r>
      </text>
    </comment>
    <comment ref="AA21" authorId="0">
      <text>
        <r>
          <rPr>
            <b/>
            <sz val="9"/>
            <color indexed="81"/>
            <rFont val="Tahoma"/>
            <family val="2"/>
          </rPr>
          <t>Ingrid Malmgren:</t>
        </r>
        <r>
          <rPr>
            <sz val="9"/>
            <color indexed="81"/>
            <rFont val="Tahoma"/>
            <family val="2"/>
          </rPr>
          <t xml:space="preserve">
p.285 MA TRM</t>
        </r>
      </text>
    </comment>
    <comment ref="AC21" authorId="0">
      <text>
        <r>
          <rPr>
            <b/>
            <sz val="9"/>
            <color indexed="81"/>
            <rFont val="Tahoma"/>
            <family val="2"/>
          </rPr>
          <t>Ingrid Malmgren:</t>
        </r>
        <r>
          <rPr>
            <sz val="9"/>
            <color indexed="81"/>
            <rFont val="Tahoma"/>
            <family val="2"/>
          </rPr>
          <t xml:space="preserve">
p.285 MA TRM</t>
        </r>
      </text>
    </comment>
    <comment ref="AJ21" authorId="0">
      <text>
        <r>
          <rPr>
            <b/>
            <sz val="9"/>
            <color indexed="81"/>
            <rFont val="Tahoma"/>
            <family val="2"/>
          </rPr>
          <t>Ingrid Malmgren:</t>
        </r>
        <r>
          <rPr>
            <sz val="9"/>
            <color indexed="81"/>
            <rFont val="Tahoma"/>
            <family val="2"/>
          </rPr>
          <t xml:space="preserve">
Not included in prescriptive
programs</t>
        </r>
      </text>
    </comment>
    <comment ref="AT21" authorId="0">
      <text>
        <r>
          <rPr>
            <b/>
            <sz val="9"/>
            <color indexed="81"/>
            <rFont val="Tahoma"/>
            <family val="2"/>
          </rPr>
          <t>Ingrid Malmgren:</t>
        </r>
        <r>
          <rPr>
            <sz val="9"/>
            <color indexed="81"/>
            <rFont val="Tahoma"/>
            <family val="2"/>
          </rPr>
          <t xml:space="preserve">
from Table 1-2
</t>
        </r>
      </text>
    </comment>
    <comment ref="AW2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2" authorId="0">
      <text>
        <r>
          <rPr>
            <b/>
            <sz val="9"/>
            <color indexed="81"/>
            <rFont val="Tahoma"/>
            <family val="2"/>
          </rPr>
          <t>Ingrid Malmgren:</t>
        </r>
        <r>
          <rPr>
            <sz val="9"/>
            <color indexed="81"/>
            <rFont val="Tahoma"/>
            <family val="2"/>
          </rPr>
          <t xml:space="preserve">
p.283 MA TRM
</t>
        </r>
      </text>
    </comment>
    <comment ref="Z22" authorId="0">
      <text>
        <r>
          <rPr>
            <b/>
            <sz val="9"/>
            <color indexed="81"/>
            <rFont val="Tahoma"/>
            <family val="2"/>
          </rPr>
          <t>Ingrid Malmgren:</t>
        </r>
        <r>
          <rPr>
            <sz val="9"/>
            <color indexed="81"/>
            <rFont val="Tahoma"/>
            <family val="2"/>
          </rPr>
          <t xml:space="preserve">
p.283 MA TRM
</t>
        </r>
      </text>
    </comment>
    <comment ref="AA22" authorId="0">
      <text>
        <r>
          <rPr>
            <b/>
            <sz val="9"/>
            <color indexed="81"/>
            <rFont val="Tahoma"/>
            <family val="2"/>
          </rPr>
          <t>Ingrid Malmgren:</t>
        </r>
        <r>
          <rPr>
            <sz val="9"/>
            <color indexed="81"/>
            <rFont val="Tahoma"/>
            <family val="2"/>
          </rPr>
          <t xml:space="preserve">
p.283 MA TRM</t>
        </r>
      </text>
    </comment>
    <comment ref="AC22" authorId="0">
      <text>
        <r>
          <rPr>
            <b/>
            <sz val="9"/>
            <color indexed="81"/>
            <rFont val="Tahoma"/>
            <family val="2"/>
          </rPr>
          <t>Ingrid Malmgren:</t>
        </r>
        <r>
          <rPr>
            <sz val="9"/>
            <color indexed="81"/>
            <rFont val="Tahoma"/>
            <family val="2"/>
          </rPr>
          <t xml:space="preserve">
p.283 MA TRM</t>
        </r>
      </text>
    </comment>
    <comment ref="AJ22" authorId="0">
      <text>
        <r>
          <rPr>
            <b/>
            <sz val="9"/>
            <color indexed="81"/>
            <rFont val="Tahoma"/>
            <family val="2"/>
          </rPr>
          <t>Ingrid Malmgren:</t>
        </r>
        <r>
          <rPr>
            <sz val="9"/>
            <color indexed="81"/>
            <rFont val="Tahoma"/>
            <family val="2"/>
          </rPr>
          <t xml:space="preserve">
Not included in prescriptive
programs</t>
        </r>
      </text>
    </comment>
    <comment ref="AT22" authorId="0">
      <text>
        <r>
          <rPr>
            <b/>
            <sz val="9"/>
            <color indexed="81"/>
            <rFont val="Tahoma"/>
            <family val="2"/>
          </rPr>
          <t>Ingrid Malmgren:</t>
        </r>
        <r>
          <rPr>
            <sz val="9"/>
            <color indexed="81"/>
            <rFont val="Tahoma"/>
            <family val="2"/>
          </rPr>
          <t xml:space="preserve">
from Table 1-2
</t>
        </r>
      </text>
    </comment>
    <comment ref="AW2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3" authorId="0">
      <text>
        <r>
          <rPr>
            <b/>
            <sz val="9"/>
            <color indexed="81"/>
            <rFont val="Tahoma"/>
            <family val="2"/>
          </rPr>
          <t>Ingrid Malmgren:</t>
        </r>
        <r>
          <rPr>
            <sz val="9"/>
            <color indexed="81"/>
            <rFont val="Tahoma"/>
            <family val="2"/>
          </rPr>
          <t xml:space="preserve">
p.283 MA TRM
</t>
        </r>
      </text>
    </comment>
    <comment ref="Z23" authorId="0">
      <text>
        <r>
          <rPr>
            <b/>
            <sz val="9"/>
            <color indexed="81"/>
            <rFont val="Tahoma"/>
            <family val="2"/>
          </rPr>
          <t>Ingrid Malmgren:</t>
        </r>
        <r>
          <rPr>
            <sz val="9"/>
            <color indexed="81"/>
            <rFont val="Tahoma"/>
            <family val="2"/>
          </rPr>
          <t xml:space="preserve">
p.283 MA TRM
</t>
        </r>
      </text>
    </comment>
    <comment ref="AA23" authorId="0">
      <text>
        <r>
          <rPr>
            <b/>
            <sz val="9"/>
            <color indexed="81"/>
            <rFont val="Tahoma"/>
            <family val="2"/>
          </rPr>
          <t>Ingrid Malmgren:</t>
        </r>
        <r>
          <rPr>
            <sz val="9"/>
            <color indexed="81"/>
            <rFont val="Tahoma"/>
            <family val="2"/>
          </rPr>
          <t xml:space="preserve">
p.283 MA TRM</t>
        </r>
      </text>
    </comment>
    <comment ref="AC23" authorId="0">
      <text>
        <r>
          <rPr>
            <b/>
            <sz val="9"/>
            <color indexed="81"/>
            <rFont val="Tahoma"/>
            <family val="2"/>
          </rPr>
          <t>Ingrid Malmgren:</t>
        </r>
        <r>
          <rPr>
            <sz val="9"/>
            <color indexed="81"/>
            <rFont val="Tahoma"/>
            <family val="2"/>
          </rPr>
          <t xml:space="preserve">
p.283 MA TRM</t>
        </r>
      </text>
    </comment>
    <comment ref="AJ23" authorId="0">
      <text>
        <r>
          <rPr>
            <b/>
            <sz val="9"/>
            <color indexed="81"/>
            <rFont val="Tahoma"/>
            <family val="2"/>
          </rPr>
          <t>Ingrid Malmgren:</t>
        </r>
        <r>
          <rPr>
            <sz val="9"/>
            <color indexed="81"/>
            <rFont val="Tahoma"/>
            <family val="2"/>
          </rPr>
          <t xml:space="preserve">
Not included in prescriptive
programs</t>
        </r>
      </text>
    </comment>
    <comment ref="AT23" authorId="0">
      <text>
        <r>
          <rPr>
            <b/>
            <sz val="9"/>
            <color indexed="81"/>
            <rFont val="Tahoma"/>
            <family val="2"/>
          </rPr>
          <t>Ingrid Malmgren:</t>
        </r>
        <r>
          <rPr>
            <sz val="9"/>
            <color indexed="81"/>
            <rFont val="Tahoma"/>
            <family val="2"/>
          </rPr>
          <t xml:space="preserve">
from Table 1-2
</t>
        </r>
      </text>
    </comment>
    <comment ref="AW2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4" authorId="0">
      <text>
        <r>
          <rPr>
            <b/>
            <sz val="9"/>
            <color indexed="81"/>
            <rFont val="Tahoma"/>
            <family val="2"/>
          </rPr>
          <t>Ingrid Malmgren:</t>
        </r>
        <r>
          <rPr>
            <sz val="9"/>
            <color indexed="81"/>
            <rFont val="Tahoma"/>
            <family val="2"/>
          </rPr>
          <t xml:space="preserve">
p. 271
</t>
        </r>
      </text>
    </comment>
    <comment ref="Z24" authorId="0">
      <text>
        <r>
          <rPr>
            <b/>
            <sz val="9"/>
            <color indexed="81"/>
            <rFont val="Tahoma"/>
            <family val="2"/>
          </rPr>
          <t>Ingrid Malmgren:</t>
        </r>
        <r>
          <rPr>
            <sz val="9"/>
            <color indexed="81"/>
            <rFont val="Tahoma"/>
            <family val="2"/>
          </rPr>
          <t xml:space="preserve">
p. 271
</t>
        </r>
      </text>
    </comment>
    <comment ref="AC24" authorId="0">
      <text>
        <r>
          <rPr>
            <b/>
            <sz val="9"/>
            <color indexed="81"/>
            <rFont val="Tahoma"/>
            <family val="2"/>
          </rPr>
          <t>Ingrid Malmgren:</t>
        </r>
        <r>
          <rPr>
            <sz val="9"/>
            <color indexed="81"/>
            <rFont val="Tahoma"/>
            <family val="2"/>
          </rPr>
          <t xml:space="preserve">
p. 271
</t>
        </r>
      </text>
    </comment>
    <comment ref="AJ24" authorId="0">
      <text>
        <r>
          <rPr>
            <b/>
            <sz val="9"/>
            <color indexed="81"/>
            <rFont val="Tahoma"/>
            <family val="2"/>
          </rPr>
          <t>Ingrid Malmgren:</t>
        </r>
        <r>
          <rPr>
            <sz val="9"/>
            <color indexed="81"/>
            <rFont val="Tahoma"/>
            <family val="2"/>
          </rPr>
          <t xml:space="preserve">
Not included in prescriptive
programs</t>
        </r>
      </text>
    </comment>
    <comment ref="AW2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5" authorId="0">
      <text>
        <r>
          <rPr>
            <b/>
            <sz val="9"/>
            <color indexed="81"/>
            <rFont val="Tahoma"/>
            <family val="2"/>
          </rPr>
          <t>Ingrid Malmgren:</t>
        </r>
        <r>
          <rPr>
            <sz val="9"/>
            <color indexed="81"/>
            <rFont val="Tahoma"/>
            <family val="2"/>
          </rPr>
          <t xml:space="preserve">
p.236 MA TRM
</t>
        </r>
      </text>
    </comment>
    <comment ref="Z25" authorId="0">
      <text>
        <r>
          <rPr>
            <b/>
            <sz val="9"/>
            <color indexed="81"/>
            <rFont val="Tahoma"/>
            <family val="2"/>
          </rPr>
          <t>Ingrid Malmgren:</t>
        </r>
        <r>
          <rPr>
            <sz val="9"/>
            <color indexed="81"/>
            <rFont val="Tahoma"/>
            <family val="2"/>
          </rPr>
          <t xml:space="preserve">
p.236 MA TRM
</t>
        </r>
      </text>
    </comment>
    <comment ref="AC25" authorId="0">
      <text>
        <r>
          <rPr>
            <b/>
            <sz val="9"/>
            <color indexed="81"/>
            <rFont val="Tahoma"/>
            <family val="2"/>
          </rPr>
          <t>Ingrid Malmgren:</t>
        </r>
        <r>
          <rPr>
            <sz val="9"/>
            <color indexed="81"/>
            <rFont val="Tahoma"/>
            <family val="2"/>
          </rPr>
          <t xml:space="preserve">
p.236 MA TRM
</t>
        </r>
      </text>
    </comment>
    <comment ref="AJ25" authorId="0">
      <text>
        <r>
          <rPr>
            <b/>
            <sz val="9"/>
            <color indexed="81"/>
            <rFont val="Tahoma"/>
            <family val="2"/>
          </rPr>
          <t>Ingrid Malmgren:</t>
        </r>
        <r>
          <rPr>
            <sz val="9"/>
            <color indexed="81"/>
            <rFont val="Tahoma"/>
            <family val="2"/>
          </rPr>
          <t xml:space="preserve">
Not included in prescriptive
programs</t>
        </r>
      </text>
    </comment>
    <comment ref="AT25" authorId="0">
      <text>
        <r>
          <rPr>
            <b/>
            <sz val="9"/>
            <color indexed="81"/>
            <rFont val="Tahoma"/>
            <family val="2"/>
          </rPr>
          <t>Ingrid Malmgren:</t>
        </r>
        <r>
          <rPr>
            <sz val="9"/>
            <color indexed="81"/>
            <rFont val="Tahoma"/>
            <family val="2"/>
          </rPr>
          <t xml:space="preserve">
from table 1-2
</t>
        </r>
      </text>
    </comment>
    <comment ref="AW2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6" authorId="0">
      <text>
        <r>
          <rPr>
            <b/>
            <sz val="9"/>
            <color indexed="81"/>
            <rFont val="Tahoma"/>
            <family val="2"/>
          </rPr>
          <t>Ingrid Malmgren:</t>
        </r>
        <r>
          <rPr>
            <sz val="9"/>
            <color indexed="81"/>
            <rFont val="Tahoma"/>
            <family val="2"/>
          </rPr>
          <t xml:space="preserve">
p.236 MA TRM
</t>
        </r>
      </text>
    </comment>
    <comment ref="Z26" authorId="0">
      <text>
        <r>
          <rPr>
            <b/>
            <sz val="9"/>
            <color indexed="81"/>
            <rFont val="Tahoma"/>
            <family val="2"/>
          </rPr>
          <t>Ingrid Malmgren:</t>
        </r>
        <r>
          <rPr>
            <sz val="9"/>
            <color indexed="81"/>
            <rFont val="Tahoma"/>
            <family val="2"/>
          </rPr>
          <t xml:space="preserve">
p.236 MA TRM
</t>
        </r>
      </text>
    </comment>
    <comment ref="AC26" authorId="0">
      <text>
        <r>
          <rPr>
            <b/>
            <sz val="9"/>
            <color indexed="81"/>
            <rFont val="Tahoma"/>
            <family val="2"/>
          </rPr>
          <t>Ingrid Malmgren:</t>
        </r>
        <r>
          <rPr>
            <sz val="9"/>
            <color indexed="81"/>
            <rFont val="Tahoma"/>
            <family val="2"/>
          </rPr>
          <t xml:space="preserve">
p.236 MA TRM
</t>
        </r>
      </text>
    </comment>
    <comment ref="AJ26" authorId="0">
      <text>
        <r>
          <rPr>
            <b/>
            <sz val="9"/>
            <color indexed="81"/>
            <rFont val="Tahoma"/>
            <family val="2"/>
          </rPr>
          <t>Ingrid Malmgren:</t>
        </r>
        <r>
          <rPr>
            <sz val="9"/>
            <color indexed="81"/>
            <rFont val="Tahoma"/>
            <family val="2"/>
          </rPr>
          <t xml:space="preserve">
Not included in prescriptive
programs</t>
        </r>
      </text>
    </comment>
    <comment ref="AT26" authorId="0">
      <text>
        <r>
          <rPr>
            <b/>
            <sz val="9"/>
            <color indexed="81"/>
            <rFont val="Tahoma"/>
            <family val="2"/>
          </rPr>
          <t>Ingrid Malmgren:</t>
        </r>
        <r>
          <rPr>
            <sz val="9"/>
            <color indexed="81"/>
            <rFont val="Tahoma"/>
            <family val="2"/>
          </rPr>
          <t xml:space="preserve">
from table 1-2
</t>
        </r>
      </text>
    </comment>
    <comment ref="AW2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7" authorId="0">
      <text>
        <r>
          <rPr>
            <b/>
            <sz val="9"/>
            <color indexed="81"/>
            <rFont val="Tahoma"/>
            <family val="2"/>
          </rPr>
          <t>Ingrid Malmgren:</t>
        </r>
        <r>
          <rPr>
            <sz val="9"/>
            <color indexed="81"/>
            <rFont val="Tahoma"/>
            <family val="2"/>
          </rPr>
          <t xml:space="preserve">
p.21 MA TRM
</t>
        </r>
      </text>
    </comment>
    <comment ref="Z27" authorId="0">
      <text>
        <r>
          <rPr>
            <b/>
            <sz val="9"/>
            <color indexed="81"/>
            <rFont val="Tahoma"/>
            <family val="2"/>
          </rPr>
          <t>Ingrid Malmgren:</t>
        </r>
        <r>
          <rPr>
            <sz val="9"/>
            <color indexed="81"/>
            <rFont val="Tahoma"/>
            <family val="2"/>
          </rPr>
          <t xml:space="preserve">
p.21 MA TRM
</t>
        </r>
      </text>
    </comment>
    <comment ref="AC27" authorId="0">
      <text>
        <r>
          <rPr>
            <b/>
            <sz val="9"/>
            <color indexed="81"/>
            <rFont val="Tahoma"/>
            <family val="2"/>
          </rPr>
          <t>Ingrid Malmgren:</t>
        </r>
        <r>
          <rPr>
            <sz val="9"/>
            <color indexed="81"/>
            <rFont val="Tahoma"/>
            <family val="2"/>
          </rPr>
          <t xml:space="preserve">
backed out existing modeled water savings per E1 email 9.15.2017</t>
        </r>
      </text>
    </comment>
    <comment ref="AJ27" authorId="0">
      <text>
        <r>
          <rPr>
            <b/>
            <sz val="9"/>
            <color indexed="81"/>
            <rFont val="Tahoma"/>
            <family val="2"/>
          </rPr>
          <t>Ingrid Malmgren:</t>
        </r>
        <r>
          <rPr>
            <sz val="9"/>
            <color indexed="81"/>
            <rFont val="Tahoma"/>
            <family val="2"/>
          </rPr>
          <t xml:space="preserve">
Not included in prescriptive
programs</t>
        </r>
      </text>
    </comment>
    <comment ref="AW2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8" authorId="0">
      <text>
        <r>
          <rPr>
            <b/>
            <sz val="9"/>
            <color indexed="81"/>
            <rFont val="Tahoma"/>
            <family val="2"/>
          </rPr>
          <t>Ingrid Malmgren:</t>
        </r>
        <r>
          <rPr>
            <sz val="9"/>
            <color indexed="81"/>
            <rFont val="Tahoma"/>
            <family val="2"/>
          </rPr>
          <t xml:space="preserve">
p.262</t>
        </r>
      </text>
    </comment>
    <comment ref="Z28" authorId="0">
      <text>
        <r>
          <rPr>
            <b/>
            <sz val="9"/>
            <color indexed="81"/>
            <rFont val="Tahoma"/>
            <family val="2"/>
          </rPr>
          <t>Ingrid Malmgren:</t>
        </r>
        <r>
          <rPr>
            <sz val="9"/>
            <color indexed="81"/>
            <rFont val="Tahoma"/>
            <family val="2"/>
          </rPr>
          <t xml:space="preserve">
p.262</t>
        </r>
      </text>
    </comment>
    <comment ref="AC28" authorId="0">
      <text>
        <r>
          <rPr>
            <b/>
            <sz val="9"/>
            <color indexed="81"/>
            <rFont val="Tahoma"/>
            <family val="2"/>
          </rPr>
          <t>Ingrid Malmgren:</t>
        </r>
        <r>
          <rPr>
            <sz val="9"/>
            <color indexed="81"/>
            <rFont val="Tahoma"/>
            <family val="2"/>
          </rPr>
          <t xml:space="preserve">
p.262</t>
        </r>
      </text>
    </comment>
    <comment ref="AJ28" authorId="0">
      <text>
        <r>
          <rPr>
            <b/>
            <sz val="9"/>
            <color indexed="81"/>
            <rFont val="Tahoma"/>
            <family val="2"/>
          </rPr>
          <t>Ingrid Malmgren:</t>
        </r>
        <r>
          <rPr>
            <sz val="9"/>
            <color indexed="81"/>
            <rFont val="Tahoma"/>
            <family val="2"/>
          </rPr>
          <t xml:space="preserve">
Not included in prescriptive
programs</t>
        </r>
      </text>
    </comment>
    <comment ref="AQ28" authorId="0">
      <text>
        <r>
          <rPr>
            <b/>
            <sz val="9"/>
            <color indexed="81"/>
            <rFont val="Tahoma"/>
            <family val="2"/>
          </rPr>
          <t>Ingrid Malmgren:</t>
        </r>
        <r>
          <rPr>
            <sz val="9"/>
            <color indexed="81"/>
            <rFont val="Tahoma"/>
            <family val="2"/>
          </rPr>
          <t xml:space="preserve">
p.262</t>
        </r>
      </text>
    </comment>
    <comment ref="AT28" authorId="0">
      <text>
        <r>
          <rPr>
            <b/>
            <sz val="9"/>
            <color indexed="81"/>
            <rFont val="Tahoma"/>
            <family val="2"/>
          </rPr>
          <t>Ingrid Malmgren:</t>
        </r>
        <r>
          <rPr>
            <sz val="9"/>
            <color indexed="81"/>
            <rFont val="Tahoma"/>
            <family val="2"/>
          </rPr>
          <t xml:space="preserve">
from Table 1-2
</t>
        </r>
      </text>
    </comment>
    <comment ref="AW2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9" authorId="0">
      <text>
        <r>
          <rPr>
            <b/>
            <sz val="9"/>
            <color indexed="81"/>
            <rFont val="Tahoma"/>
            <family val="2"/>
          </rPr>
          <t>Ingrid Malmgren:</t>
        </r>
        <r>
          <rPr>
            <sz val="9"/>
            <color indexed="81"/>
            <rFont val="Tahoma"/>
            <family val="2"/>
          </rPr>
          <t xml:space="preserve">
p.262</t>
        </r>
      </text>
    </comment>
    <comment ref="Z29" authorId="0">
      <text>
        <r>
          <rPr>
            <b/>
            <sz val="9"/>
            <color indexed="81"/>
            <rFont val="Tahoma"/>
            <family val="2"/>
          </rPr>
          <t>Ingrid Malmgren:</t>
        </r>
        <r>
          <rPr>
            <sz val="9"/>
            <color indexed="81"/>
            <rFont val="Tahoma"/>
            <family val="2"/>
          </rPr>
          <t xml:space="preserve">
p.262</t>
        </r>
      </text>
    </comment>
    <comment ref="AC29" authorId="0">
      <text>
        <r>
          <rPr>
            <b/>
            <sz val="9"/>
            <color indexed="81"/>
            <rFont val="Tahoma"/>
            <family val="2"/>
          </rPr>
          <t>Ingrid Malmgren:</t>
        </r>
        <r>
          <rPr>
            <sz val="9"/>
            <color indexed="81"/>
            <rFont val="Tahoma"/>
            <family val="2"/>
          </rPr>
          <t xml:space="preserve">
p.262</t>
        </r>
      </text>
    </comment>
    <comment ref="AJ29" authorId="0">
      <text>
        <r>
          <rPr>
            <b/>
            <sz val="9"/>
            <color indexed="81"/>
            <rFont val="Tahoma"/>
            <family val="2"/>
          </rPr>
          <t>Ingrid Malmgren:</t>
        </r>
        <r>
          <rPr>
            <sz val="9"/>
            <color indexed="81"/>
            <rFont val="Tahoma"/>
            <family val="2"/>
          </rPr>
          <t xml:space="preserve">
Not included in prescriptive
programs</t>
        </r>
      </text>
    </comment>
    <comment ref="AQ29" authorId="0">
      <text>
        <r>
          <rPr>
            <b/>
            <sz val="9"/>
            <color indexed="81"/>
            <rFont val="Tahoma"/>
            <family val="2"/>
          </rPr>
          <t>Ingrid Malmgren:</t>
        </r>
        <r>
          <rPr>
            <sz val="9"/>
            <color indexed="81"/>
            <rFont val="Tahoma"/>
            <family val="2"/>
          </rPr>
          <t xml:space="preserve">
p.262</t>
        </r>
      </text>
    </comment>
    <comment ref="AT29" authorId="0">
      <text>
        <r>
          <rPr>
            <b/>
            <sz val="9"/>
            <color indexed="81"/>
            <rFont val="Tahoma"/>
            <family val="2"/>
          </rPr>
          <t>Ingrid Malmgren:</t>
        </r>
        <r>
          <rPr>
            <sz val="9"/>
            <color indexed="81"/>
            <rFont val="Tahoma"/>
            <family val="2"/>
          </rPr>
          <t xml:space="preserve">
from Table 1-2
</t>
        </r>
      </text>
    </comment>
    <comment ref="AW2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30" authorId="0">
      <text>
        <r>
          <rPr>
            <b/>
            <sz val="9"/>
            <color indexed="81"/>
            <rFont val="Tahoma"/>
            <family val="2"/>
          </rPr>
          <t>Ingrid Malmgren:</t>
        </r>
        <r>
          <rPr>
            <sz val="9"/>
            <color indexed="81"/>
            <rFont val="Tahoma"/>
            <family val="2"/>
          </rPr>
          <t xml:space="preserve">
p.262</t>
        </r>
      </text>
    </comment>
    <comment ref="Z30" authorId="0">
      <text>
        <r>
          <rPr>
            <b/>
            <sz val="9"/>
            <color indexed="81"/>
            <rFont val="Tahoma"/>
            <family val="2"/>
          </rPr>
          <t>Ingrid Malmgren:</t>
        </r>
        <r>
          <rPr>
            <sz val="9"/>
            <color indexed="81"/>
            <rFont val="Tahoma"/>
            <family val="2"/>
          </rPr>
          <t xml:space="preserve">
p.262</t>
        </r>
      </text>
    </comment>
    <comment ref="AC30" authorId="0">
      <text>
        <r>
          <rPr>
            <b/>
            <sz val="9"/>
            <color indexed="81"/>
            <rFont val="Tahoma"/>
            <family val="2"/>
          </rPr>
          <t>Ingrid Malmgren:</t>
        </r>
        <r>
          <rPr>
            <sz val="9"/>
            <color indexed="81"/>
            <rFont val="Tahoma"/>
            <family val="2"/>
          </rPr>
          <t xml:space="preserve">
p.262</t>
        </r>
      </text>
    </comment>
    <comment ref="AJ30" authorId="0">
      <text>
        <r>
          <rPr>
            <b/>
            <sz val="9"/>
            <color indexed="81"/>
            <rFont val="Tahoma"/>
            <family val="2"/>
          </rPr>
          <t>Ingrid Malmgren:</t>
        </r>
        <r>
          <rPr>
            <sz val="9"/>
            <color indexed="81"/>
            <rFont val="Tahoma"/>
            <family val="2"/>
          </rPr>
          <t xml:space="preserve">
Not included in prescriptive
programs</t>
        </r>
      </text>
    </comment>
    <comment ref="AQ30" authorId="0">
      <text>
        <r>
          <rPr>
            <b/>
            <sz val="9"/>
            <color indexed="81"/>
            <rFont val="Tahoma"/>
            <family val="2"/>
          </rPr>
          <t>Ingrid Malmgren:</t>
        </r>
        <r>
          <rPr>
            <sz val="9"/>
            <color indexed="81"/>
            <rFont val="Tahoma"/>
            <family val="2"/>
          </rPr>
          <t xml:space="preserve">
p.262</t>
        </r>
      </text>
    </comment>
    <comment ref="AT30" authorId="0">
      <text>
        <r>
          <rPr>
            <b/>
            <sz val="9"/>
            <color indexed="81"/>
            <rFont val="Tahoma"/>
            <family val="2"/>
          </rPr>
          <t>Ingrid Malmgren:</t>
        </r>
        <r>
          <rPr>
            <sz val="9"/>
            <color indexed="81"/>
            <rFont val="Tahoma"/>
            <family val="2"/>
          </rPr>
          <t xml:space="preserve">
from Table 1-2
</t>
        </r>
      </text>
    </comment>
    <comment ref="AW3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C31" authorId="0">
      <text>
        <r>
          <rPr>
            <b/>
            <sz val="9"/>
            <color indexed="81"/>
            <rFont val="Tahoma"/>
            <family val="2"/>
          </rPr>
          <t>Ingrid Malmgren:</t>
        </r>
        <r>
          <rPr>
            <sz val="9"/>
            <color indexed="81"/>
            <rFont val="Tahoma"/>
            <family val="2"/>
          </rPr>
          <t xml:space="preserve">
Not offered in MA TRM</t>
        </r>
      </text>
    </comment>
    <comment ref="AJ31" authorId="0">
      <text>
        <r>
          <rPr>
            <b/>
            <sz val="9"/>
            <color indexed="81"/>
            <rFont val="Tahoma"/>
            <family val="2"/>
          </rPr>
          <t>Ingrid Malmgren:</t>
        </r>
        <r>
          <rPr>
            <sz val="9"/>
            <color indexed="81"/>
            <rFont val="Tahoma"/>
            <family val="2"/>
          </rPr>
          <t xml:space="preserve">
Not included in prescriptive
programs</t>
        </r>
      </text>
    </comment>
    <comment ref="AT31" authorId="0">
      <text>
        <r>
          <rPr>
            <b/>
            <sz val="9"/>
            <color indexed="81"/>
            <rFont val="Tahoma"/>
            <family val="2"/>
          </rPr>
          <t>Ingrid Malmgren:</t>
        </r>
        <r>
          <rPr>
            <sz val="9"/>
            <color indexed="81"/>
            <rFont val="Tahoma"/>
            <family val="2"/>
          </rPr>
          <t xml:space="preserve">
from Table 1-2
</t>
        </r>
      </text>
    </comment>
    <comment ref="AW3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C32" authorId="0">
      <text>
        <r>
          <rPr>
            <b/>
            <sz val="9"/>
            <color indexed="81"/>
            <rFont val="Tahoma"/>
            <family val="2"/>
          </rPr>
          <t>Ingrid Malmgren:</t>
        </r>
        <r>
          <rPr>
            <sz val="9"/>
            <color indexed="81"/>
            <rFont val="Tahoma"/>
            <family val="2"/>
          </rPr>
          <t xml:space="preserve">
Not offered in MA TRM</t>
        </r>
      </text>
    </comment>
    <comment ref="AJ32" authorId="0">
      <text>
        <r>
          <rPr>
            <b/>
            <sz val="9"/>
            <color indexed="81"/>
            <rFont val="Tahoma"/>
            <family val="2"/>
          </rPr>
          <t>Ingrid Malmgren:</t>
        </r>
        <r>
          <rPr>
            <sz val="9"/>
            <color indexed="81"/>
            <rFont val="Tahoma"/>
            <family val="2"/>
          </rPr>
          <t xml:space="preserve">
Not included in prescriptive
programs</t>
        </r>
      </text>
    </comment>
    <comment ref="AT32" authorId="0">
      <text>
        <r>
          <rPr>
            <b/>
            <sz val="9"/>
            <color indexed="81"/>
            <rFont val="Tahoma"/>
            <family val="2"/>
          </rPr>
          <t>Ingrid Malmgren:</t>
        </r>
        <r>
          <rPr>
            <sz val="9"/>
            <color indexed="81"/>
            <rFont val="Tahoma"/>
            <family val="2"/>
          </rPr>
          <t xml:space="preserve">
from Table 1-2
</t>
        </r>
      </text>
    </comment>
    <comment ref="AW3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C33" authorId="0">
      <text>
        <r>
          <rPr>
            <b/>
            <sz val="9"/>
            <color indexed="81"/>
            <rFont val="Tahoma"/>
            <family val="2"/>
          </rPr>
          <t>Ingrid Malmgren:</t>
        </r>
        <r>
          <rPr>
            <sz val="9"/>
            <color indexed="81"/>
            <rFont val="Tahoma"/>
            <family val="2"/>
          </rPr>
          <t xml:space="preserve">
Not offered in MA TRM</t>
        </r>
      </text>
    </comment>
    <comment ref="AJ33" authorId="0">
      <text>
        <r>
          <rPr>
            <b/>
            <sz val="9"/>
            <color indexed="81"/>
            <rFont val="Tahoma"/>
            <family val="2"/>
          </rPr>
          <t>Ingrid Malmgren:</t>
        </r>
        <r>
          <rPr>
            <sz val="9"/>
            <color indexed="81"/>
            <rFont val="Tahoma"/>
            <family val="2"/>
          </rPr>
          <t xml:space="preserve">
Not included in prescriptive
programs</t>
        </r>
      </text>
    </comment>
    <comment ref="AT33" authorId="0">
      <text>
        <r>
          <rPr>
            <b/>
            <sz val="9"/>
            <color indexed="81"/>
            <rFont val="Tahoma"/>
            <family val="2"/>
          </rPr>
          <t>Ingrid Malmgren:</t>
        </r>
        <r>
          <rPr>
            <sz val="9"/>
            <color indexed="81"/>
            <rFont val="Tahoma"/>
            <family val="2"/>
          </rPr>
          <t xml:space="preserve">
from Table 1-2
</t>
        </r>
      </text>
    </comment>
    <comment ref="AW3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34" authorId="0">
      <text>
        <r>
          <rPr>
            <b/>
            <sz val="9"/>
            <color indexed="81"/>
            <rFont val="Tahoma"/>
            <family val="2"/>
          </rPr>
          <t>Ingrid Malmgren:</t>
        </r>
        <r>
          <rPr>
            <sz val="9"/>
            <color indexed="81"/>
            <rFont val="Tahoma"/>
            <family val="2"/>
          </rPr>
          <t xml:space="preserve">
p.252</t>
        </r>
      </text>
    </comment>
    <comment ref="Z34" authorId="0">
      <text>
        <r>
          <rPr>
            <b/>
            <sz val="9"/>
            <color indexed="81"/>
            <rFont val="Tahoma"/>
            <family val="2"/>
          </rPr>
          <t>Ingrid Malmgren:</t>
        </r>
        <r>
          <rPr>
            <sz val="9"/>
            <color indexed="81"/>
            <rFont val="Tahoma"/>
            <family val="2"/>
          </rPr>
          <t xml:space="preserve">
p.252</t>
        </r>
      </text>
    </comment>
    <comment ref="AC34" authorId="0">
      <text>
        <r>
          <rPr>
            <b/>
            <sz val="9"/>
            <color indexed="81"/>
            <rFont val="Tahoma"/>
            <family val="2"/>
          </rPr>
          <t>Ingrid Malmgren:</t>
        </r>
        <r>
          <rPr>
            <sz val="9"/>
            <color indexed="81"/>
            <rFont val="Tahoma"/>
            <family val="2"/>
          </rPr>
          <t xml:space="preserve">
p.252</t>
        </r>
      </text>
    </comment>
    <comment ref="AJ34" authorId="0">
      <text>
        <r>
          <rPr>
            <b/>
            <sz val="9"/>
            <color indexed="81"/>
            <rFont val="Tahoma"/>
            <family val="2"/>
          </rPr>
          <t>Ingrid Malmgren:</t>
        </r>
        <r>
          <rPr>
            <sz val="9"/>
            <color indexed="81"/>
            <rFont val="Tahoma"/>
            <family val="2"/>
          </rPr>
          <t xml:space="preserve">
Not included in prescriptive
programs</t>
        </r>
      </text>
    </comment>
    <comment ref="AQ34" authorId="0">
      <text>
        <r>
          <rPr>
            <b/>
            <sz val="9"/>
            <color indexed="81"/>
            <rFont val="Tahoma"/>
            <family val="2"/>
          </rPr>
          <t>Ingrid Malmgren:</t>
        </r>
        <r>
          <rPr>
            <sz val="9"/>
            <color indexed="81"/>
            <rFont val="Tahoma"/>
            <family val="2"/>
          </rPr>
          <t xml:space="preserve">
p.252</t>
        </r>
      </text>
    </comment>
    <comment ref="AT34" authorId="0">
      <text>
        <r>
          <rPr>
            <b/>
            <sz val="9"/>
            <color indexed="81"/>
            <rFont val="Tahoma"/>
            <family val="2"/>
          </rPr>
          <t>Ingrid Malmgren:</t>
        </r>
        <r>
          <rPr>
            <sz val="9"/>
            <color indexed="81"/>
            <rFont val="Tahoma"/>
            <family val="2"/>
          </rPr>
          <t xml:space="preserve">
from Table 1-2
</t>
        </r>
      </text>
    </comment>
    <comment ref="AW3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35" authorId="0">
      <text>
        <r>
          <rPr>
            <b/>
            <sz val="9"/>
            <color indexed="81"/>
            <rFont val="Tahoma"/>
            <family val="2"/>
          </rPr>
          <t>Ingrid Malmgren:</t>
        </r>
        <r>
          <rPr>
            <sz val="9"/>
            <color indexed="81"/>
            <rFont val="Tahoma"/>
            <family val="2"/>
          </rPr>
          <t xml:space="preserve">
Ingrid Malmgren:
p.252</t>
        </r>
      </text>
    </comment>
    <comment ref="Z35" authorId="0">
      <text>
        <r>
          <rPr>
            <b/>
            <sz val="9"/>
            <color indexed="81"/>
            <rFont val="Tahoma"/>
            <family val="2"/>
          </rPr>
          <t>Ingrid Malmgren:</t>
        </r>
        <r>
          <rPr>
            <sz val="9"/>
            <color indexed="81"/>
            <rFont val="Tahoma"/>
            <family val="2"/>
          </rPr>
          <t xml:space="preserve">
Ingrid Malmgren:
p.252</t>
        </r>
      </text>
    </comment>
    <comment ref="AC35" authorId="0">
      <text>
        <r>
          <rPr>
            <b/>
            <sz val="9"/>
            <color indexed="81"/>
            <rFont val="Tahoma"/>
            <family val="2"/>
          </rPr>
          <t>Ingrid Malmgren:</t>
        </r>
        <r>
          <rPr>
            <sz val="9"/>
            <color indexed="81"/>
            <rFont val="Tahoma"/>
            <family val="2"/>
          </rPr>
          <t xml:space="preserve">
Ingrid Malmgren:
p.252</t>
        </r>
      </text>
    </comment>
    <comment ref="AJ35" authorId="0">
      <text>
        <r>
          <rPr>
            <b/>
            <sz val="9"/>
            <color indexed="81"/>
            <rFont val="Tahoma"/>
            <family val="2"/>
          </rPr>
          <t>Ingrid Malmgren:</t>
        </r>
        <r>
          <rPr>
            <sz val="9"/>
            <color indexed="81"/>
            <rFont val="Tahoma"/>
            <family val="2"/>
          </rPr>
          <t xml:space="preserve">
Not included in prescriptive
programs</t>
        </r>
      </text>
    </comment>
    <comment ref="AQ35" authorId="0">
      <text>
        <r>
          <rPr>
            <b/>
            <sz val="9"/>
            <color indexed="81"/>
            <rFont val="Tahoma"/>
            <family val="2"/>
          </rPr>
          <t>Ingrid Malmgren:</t>
        </r>
        <r>
          <rPr>
            <sz val="9"/>
            <color indexed="81"/>
            <rFont val="Tahoma"/>
            <family val="2"/>
          </rPr>
          <t xml:space="preserve">
Ingrid Malmgren:
p.252</t>
        </r>
      </text>
    </comment>
    <comment ref="AT35" authorId="0">
      <text>
        <r>
          <rPr>
            <b/>
            <sz val="9"/>
            <color indexed="81"/>
            <rFont val="Tahoma"/>
            <family val="2"/>
          </rPr>
          <t>Ingrid Malmgren:</t>
        </r>
        <r>
          <rPr>
            <sz val="9"/>
            <color indexed="81"/>
            <rFont val="Tahoma"/>
            <family val="2"/>
          </rPr>
          <t xml:space="preserve">
from Table 1-2
</t>
        </r>
      </text>
    </comment>
    <comment ref="AW3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36" authorId="0">
      <text>
        <r>
          <rPr>
            <b/>
            <sz val="9"/>
            <color indexed="81"/>
            <rFont val="Tahoma"/>
            <family val="2"/>
          </rPr>
          <t>Ingrid Malmgren:</t>
        </r>
        <r>
          <rPr>
            <sz val="9"/>
            <color indexed="81"/>
            <rFont val="Tahoma"/>
            <family val="2"/>
          </rPr>
          <t xml:space="preserve">
Ingrid Malmgren:
p.252
</t>
        </r>
      </text>
    </comment>
    <comment ref="Z36" authorId="0">
      <text>
        <r>
          <rPr>
            <b/>
            <sz val="9"/>
            <color indexed="81"/>
            <rFont val="Tahoma"/>
            <family val="2"/>
          </rPr>
          <t>Ingrid Malmgren:</t>
        </r>
        <r>
          <rPr>
            <sz val="9"/>
            <color indexed="81"/>
            <rFont val="Tahoma"/>
            <family val="2"/>
          </rPr>
          <t xml:space="preserve">
Ingrid Malmgren:
p.252
</t>
        </r>
      </text>
    </comment>
    <comment ref="AC36" authorId="0">
      <text>
        <r>
          <rPr>
            <b/>
            <sz val="9"/>
            <color indexed="81"/>
            <rFont val="Tahoma"/>
            <family val="2"/>
          </rPr>
          <t>Ingrid Malmgren:</t>
        </r>
        <r>
          <rPr>
            <sz val="9"/>
            <color indexed="81"/>
            <rFont val="Tahoma"/>
            <family val="2"/>
          </rPr>
          <t xml:space="preserve">
Ingrid Malmgren:
p.252
</t>
        </r>
      </text>
    </comment>
    <comment ref="AJ36" authorId="0">
      <text>
        <r>
          <rPr>
            <b/>
            <sz val="9"/>
            <color indexed="81"/>
            <rFont val="Tahoma"/>
            <family val="2"/>
          </rPr>
          <t>Ingrid Malmgren:</t>
        </r>
        <r>
          <rPr>
            <sz val="9"/>
            <color indexed="81"/>
            <rFont val="Tahoma"/>
            <family val="2"/>
          </rPr>
          <t xml:space="preserve">
Not included in prescriptive
programs</t>
        </r>
      </text>
    </comment>
    <comment ref="AQ36" authorId="0">
      <text>
        <r>
          <rPr>
            <b/>
            <sz val="9"/>
            <color indexed="81"/>
            <rFont val="Tahoma"/>
            <family val="2"/>
          </rPr>
          <t>Ingrid Malmgren:</t>
        </r>
        <r>
          <rPr>
            <sz val="9"/>
            <color indexed="81"/>
            <rFont val="Tahoma"/>
            <family val="2"/>
          </rPr>
          <t xml:space="preserve">
Ingrid Malmgren:
p.252
</t>
        </r>
      </text>
    </comment>
    <comment ref="AT36" authorId="0">
      <text>
        <r>
          <rPr>
            <b/>
            <sz val="9"/>
            <color indexed="81"/>
            <rFont val="Tahoma"/>
            <family val="2"/>
          </rPr>
          <t>Ingrid Malmgren:</t>
        </r>
        <r>
          <rPr>
            <sz val="9"/>
            <color indexed="81"/>
            <rFont val="Tahoma"/>
            <family val="2"/>
          </rPr>
          <t xml:space="preserve">
from Table 1-2
</t>
        </r>
      </text>
    </comment>
    <comment ref="AW3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37" authorId="0">
      <text>
        <r>
          <rPr>
            <b/>
            <sz val="9"/>
            <color indexed="81"/>
            <rFont val="Tahoma"/>
            <family val="2"/>
          </rPr>
          <t>Ingrid Malmgren:</t>
        </r>
        <r>
          <rPr>
            <sz val="9"/>
            <color indexed="81"/>
            <rFont val="Tahoma"/>
            <family val="2"/>
          </rPr>
          <t xml:space="preserve">
p.266
</t>
        </r>
      </text>
    </comment>
    <comment ref="Z37" authorId="0">
      <text>
        <r>
          <rPr>
            <b/>
            <sz val="9"/>
            <color indexed="81"/>
            <rFont val="Tahoma"/>
            <family val="2"/>
          </rPr>
          <t>Ingrid Malmgren:</t>
        </r>
        <r>
          <rPr>
            <sz val="9"/>
            <color indexed="81"/>
            <rFont val="Tahoma"/>
            <family val="2"/>
          </rPr>
          <t xml:space="preserve">
p.266
</t>
        </r>
      </text>
    </comment>
    <comment ref="AC37" authorId="0">
      <text>
        <r>
          <rPr>
            <b/>
            <sz val="9"/>
            <color indexed="81"/>
            <rFont val="Tahoma"/>
            <family val="2"/>
          </rPr>
          <t>Ingrid Malmgren:</t>
        </r>
        <r>
          <rPr>
            <sz val="9"/>
            <color indexed="81"/>
            <rFont val="Tahoma"/>
            <family val="2"/>
          </rPr>
          <t xml:space="preserve">
p.266
</t>
        </r>
      </text>
    </comment>
    <comment ref="AJ37" authorId="0">
      <text>
        <r>
          <rPr>
            <b/>
            <sz val="9"/>
            <color indexed="81"/>
            <rFont val="Tahoma"/>
            <family val="2"/>
          </rPr>
          <t>Ingrid Malmgren:</t>
        </r>
        <r>
          <rPr>
            <sz val="9"/>
            <color indexed="81"/>
            <rFont val="Tahoma"/>
            <family val="2"/>
          </rPr>
          <t xml:space="preserve">
Not included in prescriptive
programs</t>
        </r>
      </text>
    </comment>
    <comment ref="AQ37" authorId="0">
      <text>
        <r>
          <rPr>
            <b/>
            <sz val="9"/>
            <color indexed="81"/>
            <rFont val="Tahoma"/>
            <family val="2"/>
          </rPr>
          <t>Ingrid Malmgren:</t>
        </r>
        <r>
          <rPr>
            <sz val="9"/>
            <color indexed="81"/>
            <rFont val="Tahoma"/>
            <family val="2"/>
          </rPr>
          <t xml:space="preserve">
p.266
</t>
        </r>
      </text>
    </comment>
    <comment ref="AT37" authorId="0">
      <text>
        <r>
          <rPr>
            <b/>
            <sz val="9"/>
            <color indexed="81"/>
            <rFont val="Tahoma"/>
            <family val="2"/>
          </rPr>
          <t>Ingrid Malmgren:</t>
        </r>
        <r>
          <rPr>
            <sz val="9"/>
            <color indexed="81"/>
            <rFont val="Tahoma"/>
            <family val="2"/>
          </rPr>
          <t xml:space="preserve">
from Table 1-2
</t>
        </r>
      </text>
    </comment>
    <comment ref="AW3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38" authorId="0">
      <text>
        <r>
          <rPr>
            <b/>
            <sz val="9"/>
            <color indexed="81"/>
            <rFont val="Tahoma"/>
            <family val="2"/>
          </rPr>
          <t>Ingrid Malmgren:</t>
        </r>
        <r>
          <rPr>
            <sz val="9"/>
            <color indexed="81"/>
            <rFont val="Tahoma"/>
            <family val="2"/>
          </rPr>
          <t xml:space="preserve">
p.266
</t>
        </r>
      </text>
    </comment>
    <comment ref="Z38" authorId="0">
      <text>
        <r>
          <rPr>
            <b/>
            <sz val="9"/>
            <color indexed="81"/>
            <rFont val="Tahoma"/>
            <family val="2"/>
          </rPr>
          <t>Ingrid Malmgren:</t>
        </r>
        <r>
          <rPr>
            <sz val="9"/>
            <color indexed="81"/>
            <rFont val="Tahoma"/>
            <family val="2"/>
          </rPr>
          <t xml:space="preserve">
p.266
</t>
        </r>
      </text>
    </comment>
    <comment ref="AC38" authorId="0">
      <text>
        <r>
          <rPr>
            <b/>
            <sz val="9"/>
            <color indexed="81"/>
            <rFont val="Tahoma"/>
            <family val="2"/>
          </rPr>
          <t>Ingrid Malmgren:</t>
        </r>
        <r>
          <rPr>
            <sz val="9"/>
            <color indexed="81"/>
            <rFont val="Tahoma"/>
            <family val="2"/>
          </rPr>
          <t xml:space="preserve">
p.266
</t>
        </r>
      </text>
    </comment>
    <comment ref="AJ38" authorId="0">
      <text>
        <r>
          <rPr>
            <b/>
            <sz val="9"/>
            <color indexed="81"/>
            <rFont val="Tahoma"/>
            <family val="2"/>
          </rPr>
          <t>Ingrid Malmgren:</t>
        </r>
        <r>
          <rPr>
            <sz val="9"/>
            <color indexed="81"/>
            <rFont val="Tahoma"/>
            <family val="2"/>
          </rPr>
          <t xml:space="preserve">
Not included in prescriptive
programs</t>
        </r>
      </text>
    </comment>
    <comment ref="AQ38" authorId="0">
      <text>
        <r>
          <rPr>
            <b/>
            <sz val="9"/>
            <color indexed="81"/>
            <rFont val="Tahoma"/>
            <family val="2"/>
          </rPr>
          <t>Ingrid Malmgren:</t>
        </r>
        <r>
          <rPr>
            <sz val="9"/>
            <color indexed="81"/>
            <rFont val="Tahoma"/>
            <family val="2"/>
          </rPr>
          <t xml:space="preserve">
p.266
</t>
        </r>
      </text>
    </comment>
    <comment ref="AT38" authorId="0">
      <text>
        <r>
          <rPr>
            <b/>
            <sz val="9"/>
            <color indexed="81"/>
            <rFont val="Tahoma"/>
            <family val="2"/>
          </rPr>
          <t>Ingrid Malmgren:</t>
        </r>
        <r>
          <rPr>
            <sz val="9"/>
            <color indexed="81"/>
            <rFont val="Tahoma"/>
            <family val="2"/>
          </rPr>
          <t xml:space="preserve">
from Table 1-2
</t>
        </r>
      </text>
    </comment>
    <comment ref="AW3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39" authorId="0">
      <text>
        <r>
          <rPr>
            <b/>
            <sz val="9"/>
            <color indexed="81"/>
            <rFont val="Tahoma"/>
            <family val="2"/>
          </rPr>
          <t>Ingrid Malmgren:</t>
        </r>
        <r>
          <rPr>
            <sz val="9"/>
            <color indexed="81"/>
            <rFont val="Tahoma"/>
            <family val="2"/>
          </rPr>
          <t xml:space="preserve">
p.266
</t>
        </r>
      </text>
    </comment>
    <comment ref="Z39" authorId="0">
      <text>
        <r>
          <rPr>
            <b/>
            <sz val="9"/>
            <color indexed="81"/>
            <rFont val="Tahoma"/>
            <family val="2"/>
          </rPr>
          <t>Ingrid Malmgren:</t>
        </r>
        <r>
          <rPr>
            <sz val="9"/>
            <color indexed="81"/>
            <rFont val="Tahoma"/>
            <family val="2"/>
          </rPr>
          <t xml:space="preserve">
p.266
</t>
        </r>
      </text>
    </comment>
    <comment ref="AC39" authorId="0">
      <text>
        <r>
          <rPr>
            <b/>
            <sz val="9"/>
            <color indexed="81"/>
            <rFont val="Tahoma"/>
            <family val="2"/>
          </rPr>
          <t>Ingrid Malmgren:</t>
        </r>
        <r>
          <rPr>
            <sz val="9"/>
            <color indexed="81"/>
            <rFont val="Tahoma"/>
            <family val="2"/>
          </rPr>
          <t xml:space="preserve">
p.266
</t>
        </r>
      </text>
    </comment>
    <comment ref="AJ39" authorId="0">
      <text>
        <r>
          <rPr>
            <b/>
            <sz val="9"/>
            <color indexed="81"/>
            <rFont val="Tahoma"/>
            <family val="2"/>
          </rPr>
          <t>Ingrid Malmgren:</t>
        </r>
        <r>
          <rPr>
            <sz val="9"/>
            <color indexed="81"/>
            <rFont val="Tahoma"/>
            <family val="2"/>
          </rPr>
          <t xml:space="preserve">
Not included in prescriptive
programs</t>
        </r>
      </text>
    </comment>
    <comment ref="AQ39" authorId="0">
      <text>
        <r>
          <rPr>
            <b/>
            <sz val="9"/>
            <color indexed="81"/>
            <rFont val="Tahoma"/>
            <family val="2"/>
          </rPr>
          <t>Ingrid Malmgren:</t>
        </r>
        <r>
          <rPr>
            <sz val="9"/>
            <color indexed="81"/>
            <rFont val="Tahoma"/>
            <family val="2"/>
          </rPr>
          <t xml:space="preserve">
p.266
</t>
        </r>
      </text>
    </comment>
    <comment ref="AT39" authorId="0">
      <text>
        <r>
          <rPr>
            <b/>
            <sz val="9"/>
            <color indexed="81"/>
            <rFont val="Tahoma"/>
            <family val="2"/>
          </rPr>
          <t>Ingrid Malmgren:</t>
        </r>
        <r>
          <rPr>
            <sz val="9"/>
            <color indexed="81"/>
            <rFont val="Tahoma"/>
            <family val="2"/>
          </rPr>
          <t xml:space="preserve">
from Table 1-2
</t>
        </r>
      </text>
    </comment>
    <comment ref="AW3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40" authorId="0">
      <text>
        <r>
          <rPr>
            <b/>
            <sz val="9"/>
            <color indexed="81"/>
            <rFont val="Tahoma"/>
            <family val="2"/>
          </rPr>
          <t>Ingrid Malmgren:</t>
        </r>
        <r>
          <rPr>
            <sz val="9"/>
            <color indexed="81"/>
            <rFont val="Tahoma"/>
            <family val="2"/>
          </rPr>
          <t xml:space="preserve">
p.264</t>
        </r>
      </text>
    </comment>
    <comment ref="Z40" authorId="0">
      <text>
        <r>
          <rPr>
            <b/>
            <sz val="9"/>
            <color indexed="81"/>
            <rFont val="Tahoma"/>
            <family val="2"/>
          </rPr>
          <t>Ingrid Malmgren:</t>
        </r>
        <r>
          <rPr>
            <sz val="9"/>
            <color indexed="81"/>
            <rFont val="Tahoma"/>
            <family val="2"/>
          </rPr>
          <t xml:space="preserve">
p.264</t>
        </r>
      </text>
    </comment>
    <comment ref="AC40" authorId="0">
      <text>
        <r>
          <rPr>
            <b/>
            <sz val="9"/>
            <color indexed="81"/>
            <rFont val="Tahoma"/>
            <family val="2"/>
          </rPr>
          <t>Ingrid Malmgren:</t>
        </r>
        <r>
          <rPr>
            <sz val="9"/>
            <color indexed="81"/>
            <rFont val="Tahoma"/>
            <family val="2"/>
          </rPr>
          <t xml:space="preserve">
p.264</t>
        </r>
      </text>
    </comment>
    <comment ref="AJ40" authorId="0">
      <text>
        <r>
          <rPr>
            <b/>
            <sz val="9"/>
            <color indexed="81"/>
            <rFont val="Tahoma"/>
            <family val="2"/>
          </rPr>
          <t>Ingrid Malmgren:</t>
        </r>
        <r>
          <rPr>
            <sz val="9"/>
            <color indexed="81"/>
            <rFont val="Tahoma"/>
            <family val="2"/>
          </rPr>
          <t xml:space="preserve">
Not included in prescriptive
programs</t>
        </r>
      </text>
    </comment>
    <comment ref="AQ40" authorId="0">
      <text>
        <r>
          <rPr>
            <b/>
            <sz val="9"/>
            <color indexed="81"/>
            <rFont val="Tahoma"/>
            <family val="2"/>
          </rPr>
          <t>Ingrid Malmgren:</t>
        </r>
        <r>
          <rPr>
            <sz val="9"/>
            <color indexed="81"/>
            <rFont val="Tahoma"/>
            <family val="2"/>
          </rPr>
          <t xml:space="preserve">
p.264</t>
        </r>
      </text>
    </comment>
    <comment ref="AT40" authorId="0">
      <text>
        <r>
          <rPr>
            <b/>
            <sz val="9"/>
            <color indexed="81"/>
            <rFont val="Tahoma"/>
            <family val="2"/>
          </rPr>
          <t>Ingrid Malmgren:</t>
        </r>
        <r>
          <rPr>
            <sz val="9"/>
            <color indexed="81"/>
            <rFont val="Tahoma"/>
            <family val="2"/>
          </rPr>
          <t xml:space="preserve">
from Table 1-2
</t>
        </r>
      </text>
    </comment>
    <comment ref="AW4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41" authorId="0">
      <text>
        <r>
          <rPr>
            <b/>
            <sz val="9"/>
            <color indexed="81"/>
            <rFont val="Tahoma"/>
            <family val="2"/>
          </rPr>
          <t>Ingrid Malmgren:</t>
        </r>
        <r>
          <rPr>
            <sz val="9"/>
            <color indexed="81"/>
            <rFont val="Tahoma"/>
            <family val="2"/>
          </rPr>
          <t xml:space="preserve">
p.264</t>
        </r>
      </text>
    </comment>
    <comment ref="Z41" authorId="0">
      <text>
        <r>
          <rPr>
            <b/>
            <sz val="9"/>
            <color indexed="81"/>
            <rFont val="Tahoma"/>
            <family val="2"/>
          </rPr>
          <t>Ingrid Malmgren:</t>
        </r>
        <r>
          <rPr>
            <sz val="9"/>
            <color indexed="81"/>
            <rFont val="Tahoma"/>
            <family val="2"/>
          </rPr>
          <t xml:space="preserve">
p.264</t>
        </r>
      </text>
    </comment>
    <comment ref="AC41" authorId="0">
      <text>
        <r>
          <rPr>
            <b/>
            <sz val="9"/>
            <color indexed="81"/>
            <rFont val="Tahoma"/>
            <family val="2"/>
          </rPr>
          <t>Ingrid Malmgren:</t>
        </r>
        <r>
          <rPr>
            <sz val="9"/>
            <color indexed="81"/>
            <rFont val="Tahoma"/>
            <family val="2"/>
          </rPr>
          <t xml:space="preserve">
p.264</t>
        </r>
      </text>
    </comment>
    <comment ref="AJ41" authorId="0">
      <text>
        <r>
          <rPr>
            <b/>
            <sz val="9"/>
            <color indexed="81"/>
            <rFont val="Tahoma"/>
            <family val="2"/>
          </rPr>
          <t>Ingrid Malmgren:</t>
        </r>
        <r>
          <rPr>
            <sz val="9"/>
            <color indexed="81"/>
            <rFont val="Tahoma"/>
            <family val="2"/>
          </rPr>
          <t xml:space="preserve">
Not included in prescriptive
programs</t>
        </r>
      </text>
    </comment>
    <comment ref="AQ41" authorId="0">
      <text>
        <r>
          <rPr>
            <b/>
            <sz val="9"/>
            <color indexed="81"/>
            <rFont val="Tahoma"/>
            <family val="2"/>
          </rPr>
          <t>Ingrid Malmgren:</t>
        </r>
        <r>
          <rPr>
            <sz val="9"/>
            <color indexed="81"/>
            <rFont val="Tahoma"/>
            <family val="2"/>
          </rPr>
          <t xml:space="preserve">
p.264</t>
        </r>
      </text>
    </comment>
    <comment ref="AT41" authorId="0">
      <text>
        <r>
          <rPr>
            <b/>
            <sz val="9"/>
            <color indexed="81"/>
            <rFont val="Tahoma"/>
            <family val="2"/>
          </rPr>
          <t>Ingrid Malmgren:</t>
        </r>
        <r>
          <rPr>
            <sz val="9"/>
            <color indexed="81"/>
            <rFont val="Tahoma"/>
            <family val="2"/>
          </rPr>
          <t xml:space="preserve">
from Table 1-2
</t>
        </r>
      </text>
    </comment>
    <comment ref="AW4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42" authorId="0">
      <text>
        <r>
          <rPr>
            <b/>
            <sz val="9"/>
            <color indexed="81"/>
            <rFont val="Tahoma"/>
            <family val="2"/>
          </rPr>
          <t>Ingrid Malmgren:</t>
        </r>
        <r>
          <rPr>
            <sz val="9"/>
            <color indexed="81"/>
            <rFont val="Tahoma"/>
            <family val="2"/>
          </rPr>
          <t xml:space="preserve">
p.264</t>
        </r>
      </text>
    </comment>
    <comment ref="Z42" authorId="0">
      <text>
        <r>
          <rPr>
            <b/>
            <sz val="9"/>
            <color indexed="81"/>
            <rFont val="Tahoma"/>
            <family val="2"/>
          </rPr>
          <t>Ingrid Malmgren:</t>
        </r>
        <r>
          <rPr>
            <sz val="9"/>
            <color indexed="81"/>
            <rFont val="Tahoma"/>
            <family val="2"/>
          </rPr>
          <t xml:space="preserve">
p.264</t>
        </r>
      </text>
    </comment>
    <comment ref="AC42" authorId="0">
      <text>
        <r>
          <rPr>
            <b/>
            <sz val="9"/>
            <color indexed="81"/>
            <rFont val="Tahoma"/>
            <family val="2"/>
          </rPr>
          <t>Ingrid Malmgren:</t>
        </r>
        <r>
          <rPr>
            <sz val="9"/>
            <color indexed="81"/>
            <rFont val="Tahoma"/>
            <family val="2"/>
          </rPr>
          <t xml:space="preserve">
p.264</t>
        </r>
      </text>
    </comment>
    <comment ref="AJ42" authorId="0">
      <text>
        <r>
          <rPr>
            <b/>
            <sz val="9"/>
            <color indexed="81"/>
            <rFont val="Tahoma"/>
            <family val="2"/>
          </rPr>
          <t>Ingrid Malmgren:</t>
        </r>
        <r>
          <rPr>
            <sz val="9"/>
            <color indexed="81"/>
            <rFont val="Tahoma"/>
            <family val="2"/>
          </rPr>
          <t xml:space="preserve">
Not included in prescriptive
programs</t>
        </r>
      </text>
    </comment>
    <comment ref="AQ42" authorId="0">
      <text>
        <r>
          <rPr>
            <b/>
            <sz val="9"/>
            <color indexed="81"/>
            <rFont val="Tahoma"/>
            <family val="2"/>
          </rPr>
          <t>Ingrid Malmgren:</t>
        </r>
        <r>
          <rPr>
            <sz val="9"/>
            <color indexed="81"/>
            <rFont val="Tahoma"/>
            <family val="2"/>
          </rPr>
          <t xml:space="preserve">
p.264</t>
        </r>
      </text>
    </comment>
    <comment ref="AT42" authorId="0">
      <text>
        <r>
          <rPr>
            <b/>
            <sz val="9"/>
            <color indexed="81"/>
            <rFont val="Tahoma"/>
            <family val="2"/>
          </rPr>
          <t>Ingrid Malmgren:</t>
        </r>
        <r>
          <rPr>
            <sz val="9"/>
            <color indexed="81"/>
            <rFont val="Tahoma"/>
            <family val="2"/>
          </rPr>
          <t xml:space="preserve">
from Table 1-2
</t>
        </r>
      </text>
    </comment>
    <comment ref="AW4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43" authorId="0">
      <text>
        <r>
          <rPr>
            <b/>
            <sz val="9"/>
            <color indexed="81"/>
            <rFont val="Tahoma"/>
            <family val="2"/>
          </rPr>
          <t>Ingrid Malmgren:</t>
        </r>
        <r>
          <rPr>
            <sz val="9"/>
            <color indexed="81"/>
            <rFont val="Tahoma"/>
            <family val="2"/>
          </rPr>
          <t xml:space="preserve">
p.264</t>
        </r>
      </text>
    </comment>
    <comment ref="Z43" authorId="0">
      <text>
        <r>
          <rPr>
            <b/>
            <sz val="9"/>
            <color indexed="81"/>
            <rFont val="Tahoma"/>
            <family val="2"/>
          </rPr>
          <t>Ingrid Malmgren:</t>
        </r>
        <r>
          <rPr>
            <sz val="9"/>
            <color indexed="81"/>
            <rFont val="Tahoma"/>
            <family val="2"/>
          </rPr>
          <t xml:space="preserve">
p.264</t>
        </r>
      </text>
    </comment>
    <comment ref="AC43" authorId="0">
      <text>
        <r>
          <rPr>
            <b/>
            <sz val="9"/>
            <color indexed="81"/>
            <rFont val="Tahoma"/>
            <family val="2"/>
          </rPr>
          <t>Ingrid Malmgren:</t>
        </r>
        <r>
          <rPr>
            <sz val="9"/>
            <color indexed="81"/>
            <rFont val="Tahoma"/>
            <family val="2"/>
          </rPr>
          <t xml:space="preserve">
p.264</t>
        </r>
      </text>
    </comment>
    <comment ref="AJ43" authorId="0">
      <text>
        <r>
          <rPr>
            <b/>
            <sz val="9"/>
            <color indexed="81"/>
            <rFont val="Tahoma"/>
            <family val="2"/>
          </rPr>
          <t>Ingrid Malmgren:</t>
        </r>
        <r>
          <rPr>
            <sz val="9"/>
            <color indexed="81"/>
            <rFont val="Tahoma"/>
            <family val="2"/>
          </rPr>
          <t xml:space="preserve">
Not included in prescriptive
programs</t>
        </r>
      </text>
    </comment>
    <comment ref="AQ43" authorId="0">
      <text>
        <r>
          <rPr>
            <b/>
            <sz val="9"/>
            <color indexed="81"/>
            <rFont val="Tahoma"/>
            <family val="2"/>
          </rPr>
          <t>Ingrid Malmgren:</t>
        </r>
        <r>
          <rPr>
            <sz val="9"/>
            <color indexed="81"/>
            <rFont val="Tahoma"/>
            <family val="2"/>
          </rPr>
          <t xml:space="preserve">
p.264</t>
        </r>
      </text>
    </comment>
    <comment ref="AT43" authorId="0">
      <text>
        <r>
          <rPr>
            <b/>
            <sz val="9"/>
            <color indexed="81"/>
            <rFont val="Tahoma"/>
            <family val="2"/>
          </rPr>
          <t>Ingrid Malmgren:</t>
        </r>
        <r>
          <rPr>
            <sz val="9"/>
            <color indexed="81"/>
            <rFont val="Tahoma"/>
            <family val="2"/>
          </rPr>
          <t xml:space="preserve">
from Table 1-2
</t>
        </r>
      </text>
    </comment>
    <comment ref="AW4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44" authorId="0">
      <text>
        <r>
          <rPr>
            <b/>
            <sz val="9"/>
            <color indexed="81"/>
            <rFont val="Tahoma"/>
            <family val="2"/>
          </rPr>
          <t>Ingrid Malmgren:</t>
        </r>
        <r>
          <rPr>
            <sz val="9"/>
            <color indexed="81"/>
            <rFont val="Tahoma"/>
            <family val="2"/>
          </rPr>
          <t xml:space="preserve">
p.264</t>
        </r>
      </text>
    </comment>
    <comment ref="Z44" authorId="0">
      <text>
        <r>
          <rPr>
            <b/>
            <sz val="9"/>
            <color indexed="81"/>
            <rFont val="Tahoma"/>
            <family val="2"/>
          </rPr>
          <t>Ingrid Malmgren:</t>
        </r>
        <r>
          <rPr>
            <sz val="9"/>
            <color indexed="81"/>
            <rFont val="Tahoma"/>
            <family val="2"/>
          </rPr>
          <t xml:space="preserve">
p.264</t>
        </r>
      </text>
    </comment>
    <comment ref="AC44" authorId="0">
      <text>
        <r>
          <rPr>
            <b/>
            <sz val="9"/>
            <color indexed="81"/>
            <rFont val="Tahoma"/>
            <family val="2"/>
          </rPr>
          <t>Ingrid Malmgren:</t>
        </r>
        <r>
          <rPr>
            <sz val="9"/>
            <color indexed="81"/>
            <rFont val="Tahoma"/>
            <family val="2"/>
          </rPr>
          <t xml:space="preserve">
p.264</t>
        </r>
      </text>
    </comment>
    <comment ref="AJ44" authorId="0">
      <text>
        <r>
          <rPr>
            <b/>
            <sz val="9"/>
            <color indexed="81"/>
            <rFont val="Tahoma"/>
            <family val="2"/>
          </rPr>
          <t>Ingrid Malmgren:</t>
        </r>
        <r>
          <rPr>
            <sz val="9"/>
            <color indexed="81"/>
            <rFont val="Tahoma"/>
            <family val="2"/>
          </rPr>
          <t xml:space="preserve">
Not included in prescriptive
programs</t>
        </r>
      </text>
    </comment>
    <comment ref="AQ44" authorId="0">
      <text>
        <r>
          <rPr>
            <b/>
            <sz val="9"/>
            <color indexed="81"/>
            <rFont val="Tahoma"/>
            <family val="2"/>
          </rPr>
          <t>Ingrid Malmgren:</t>
        </r>
        <r>
          <rPr>
            <sz val="9"/>
            <color indexed="81"/>
            <rFont val="Tahoma"/>
            <family val="2"/>
          </rPr>
          <t xml:space="preserve">
p.264</t>
        </r>
      </text>
    </comment>
    <comment ref="AT44" authorId="0">
      <text>
        <r>
          <rPr>
            <b/>
            <sz val="9"/>
            <color indexed="81"/>
            <rFont val="Tahoma"/>
            <family val="2"/>
          </rPr>
          <t>Ingrid Malmgren:</t>
        </r>
        <r>
          <rPr>
            <sz val="9"/>
            <color indexed="81"/>
            <rFont val="Tahoma"/>
            <family val="2"/>
          </rPr>
          <t xml:space="preserve">
from Table 1-2
</t>
        </r>
      </text>
    </comment>
    <comment ref="AW4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45" authorId="0">
      <text>
        <r>
          <rPr>
            <b/>
            <sz val="9"/>
            <color indexed="81"/>
            <rFont val="Tahoma"/>
            <family val="2"/>
          </rPr>
          <t>Ingrid Malmgren:</t>
        </r>
        <r>
          <rPr>
            <sz val="9"/>
            <color indexed="81"/>
            <rFont val="Tahoma"/>
            <family val="2"/>
          </rPr>
          <t xml:space="preserve">
p.264</t>
        </r>
      </text>
    </comment>
    <comment ref="Z45" authorId="0">
      <text>
        <r>
          <rPr>
            <b/>
            <sz val="9"/>
            <color indexed="81"/>
            <rFont val="Tahoma"/>
            <family val="2"/>
          </rPr>
          <t>Ingrid Malmgren:</t>
        </r>
        <r>
          <rPr>
            <sz val="9"/>
            <color indexed="81"/>
            <rFont val="Tahoma"/>
            <family val="2"/>
          </rPr>
          <t xml:space="preserve">
p.264</t>
        </r>
      </text>
    </comment>
    <comment ref="AC45" authorId="0">
      <text>
        <r>
          <rPr>
            <b/>
            <sz val="9"/>
            <color indexed="81"/>
            <rFont val="Tahoma"/>
            <family val="2"/>
          </rPr>
          <t>Ingrid Malmgren:</t>
        </r>
        <r>
          <rPr>
            <sz val="9"/>
            <color indexed="81"/>
            <rFont val="Tahoma"/>
            <family val="2"/>
          </rPr>
          <t xml:space="preserve">
p.264</t>
        </r>
      </text>
    </comment>
    <comment ref="AJ45" authorId="0">
      <text>
        <r>
          <rPr>
            <b/>
            <sz val="9"/>
            <color indexed="81"/>
            <rFont val="Tahoma"/>
            <family val="2"/>
          </rPr>
          <t>Ingrid Malmgren:</t>
        </r>
        <r>
          <rPr>
            <sz val="9"/>
            <color indexed="81"/>
            <rFont val="Tahoma"/>
            <family val="2"/>
          </rPr>
          <t xml:space="preserve">
Not included in prescriptive
programs</t>
        </r>
      </text>
    </comment>
    <comment ref="AQ45" authorId="0">
      <text>
        <r>
          <rPr>
            <b/>
            <sz val="9"/>
            <color indexed="81"/>
            <rFont val="Tahoma"/>
            <family val="2"/>
          </rPr>
          <t>Ingrid Malmgren:</t>
        </r>
        <r>
          <rPr>
            <sz val="9"/>
            <color indexed="81"/>
            <rFont val="Tahoma"/>
            <family val="2"/>
          </rPr>
          <t xml:space="preserve">
p.264</t>
        </r>
      </text>
    </comment>
    <comment ref="AT45" authorId="0">
      <text>
        <r>
          <rPr>
            <b/>
            <sz val="9"/>
            <color indexed="81"/>
            <rFont val="Tahoma"/>
            <family val="2"/>
          </rPr>
          <t>Ingrid Malmgren:</t>
        </r>
        <r>
          <rPr>
            <sz val="9"/>
            <color indexed="81"/>
            <rFont val="Tahoma"/>
            <family val="2"/>
          </rPr>
          <t xml:space="preserve">
from Table 1-2
</t>
        </r>
      </text>
    </comment>
    <comment ref="AW4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46" authorId="0">
      <text>
        <r>
          <rPr>
            <b/>
            <sz val="9"/>
            <color indexed="81"/>
            <rFont val="Tahoma"/>
            <family val="2"/>
          </rPr>
          <t>Ingrid Malmgren:</t>
        </r>
        <r>
          <rPr>
            <sz val="9"/>
            <color indexed="81"/>
            <rFont val="Tahoma"/>
            <family val="2"/>
          </rPr>
          <t xml:space="preserve">
p.269</t>
        </r>
      </text>
    </comment>
    <comment ref="Z46" authorId="0">
      <text>
        <r>
          <rPr>
            <b/>
            <sz val="9"/>
            <color indexed="81"/>
            <rFont val="Tahoma"/>
            <family val="2"/>
          </rPr>
          <t>Ingrid Malmgren:</t>
        </r>
        <r>
          <rPr>
            <sz val="9"/>
            <color indexed="81"/>
            <rFont val="Tahoma"/>
            <family val="2"/>
          </rPr>
          <t xml:space="preserve">
p.269</t>
        </r>
      </text>
    </comment>
    <comment ref="AC46" authorId="0">
      <text>
        <r>
          <rPr>
            <b/>
            <sz val="9"/>
            <color indexed="81"/>
            <rFont val="Tahoma"/>
            <family val="2"/>
          </rPr>
          <t>Ingrid Malmgren:</t>
        </r>
        <r>
          <rPr>
            <sz val="9"/>
            <color indexed="81"/>
            <rFont val="Tahoma"/>
            <family val="2"/>
          </rPr>
          <t xml:space="preserve">
p.269</t>
        </r>
      </text>
    </comment>
    <comment ref="AJ46" authorId="0">
      <text>
        <r>
          <rPr>
            <b/>
            <sz val="9"/>
            <color indexed="81"/>
            <rFont val="Tahoma"/>
            <family val="2"/>
          </rPr>
          <t>Ingrid Malmgren:</t>
        </r>
        <r>
          <rPr>
            <sz val="9"/>
            <color indexed="81"/>
            <rFont val="Tahoma"/>
            <family val="2"/>
          </rPr>
          <t xml:space="preserve">
Not included in prescriptive
programs</t>
        </r>
      </text>
    </comment>
    <comment ref="AQ46" authorId="0">
      <text>
        <r>
          <rPr>
            <b/>
            <sz val="9"/>
            <color indexed="81"/>
            <rFont val="Tahoma"/>
            <family val="2"/>
          </rPr>
          <t>Ingrid Malmgren:</t>
        </r>
        <r>
          <rPr>
            <sz val="9"/>
            <color indexed="81"/>
            <rFont val="Tahoma"/>
            <family val="2"/>
          </rPr>
          <t xml:space="preserve">
p.269</t>
        </r>
      </text>
    </comment>
    <comment ref="AT46" authorId="0">
      <text>
        <r>
          <rPr>
            <b/>
            <sz val="9"/>
            <color indexed="81"/>
            <rFont val="Tahoma"/>
            <family val="2"/>
          </rPr>
          <t>Ingrid Malmgren:</t>
        </r>
        <r>
          <rPr>
            <sz val="9"/>
            <color indexed="81"/>
            <rFont val="Tahoma"/>
            <family val="2"/>
          </rPr>
          <t xml:space="preserve">
from Table 1-2
</t>
        </r>
      </text>
    </comment>
    <comment ref="AW4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47" authorId="0">
      <text>
        <r>
          <rPr>
            <b/>
            <sz val="9"/>
            <color indexed="81"/>
            <rFont val="Tahoma"/>
            <family val="2"/>
          </rPr>
          <t>Ingrid Malmgren:</t>
        </r>
        <r>
          <rPr>
            <sz val="9"/>
            <color indexed="81"/>
            <rFont val="Tahoma"/>
            <family val="2"/>
          </rPr>
          <t xml:space="preserve">
p.269</t>
        </r>
      </text>
    </comment>
    <comment ref="Z47" authorId="0">
      <text>
        <r>
          <rPr>
            <b/>
            <sz val="9"/>
            <color indexed="81"/>
            <rFont val="Tahoma"/>
            <family val="2"/>
          </rPr>
          <t>Ingrid Malmgren:</t>
        </r>
        <r>
          <rPr>
            <sz val="9"/>
            <color indexed="81"/>
            <rFont val="Tahoma"/>
            <family val="2"/>
          </rPr>
          <t xml:space="preserve">
p.269</t>
        </r>
      </text>
    </comment>
    <comment ref="AC47" authorId="0">
      <text>
        <r>
          <rPr>
            <b/>
            <sz val="9"/>
            <color indexed="81"/>
            <rFont val="Tahoma"/>
            <family val="2"/>
          </rPr>
          <t>Ingrid Malmgren:</t>
        </r>
        <r>
          <rPr>
            <sz val="9"/>
            <color indexed="81"/>
            <rFont val="Tahoma"/>
            <family val="2"/>
          </rPr>
          <t xml:space="preserve">
p.269</t>
        </r>
      </text>
    </comment>
    <comment ref="AJ47" authorId="0">
      <text>
        <r>
          <rPr>
            <b/>
            <sz val="9"/>
            <color indexed="81"/>
            <rFont val="Tahoma"/>
            <family val="2"/>
          </rPr>
          <t>Ingrid Malmgren:</t>
        </r>
        <r>
          <rPr>
            <sz val="9"/>
            <color indexed="81"/>
            <rFont val="Tahoma"/>
            <family val="2"/>
          </rPr>
          <t xml:space="preserve">
Not included in prescriptive
programs</t>
        </r>
      </text>
    </comment>
    <comment ref="AQ47" authorId="0">
      <text>
        <r>
          <rPr>
            <b/>
            <sz val="9"/>
            <color indexed="81"/>
            <rFont val="Tahoma"/>
            <family val="2"/>
          </rPr>
          <t>Ingrid Malmgren:</t>
        </r>
        <r>
          <rPr>
            <sz val="9"/>
            <color indexed="81"/>
            <rFont val="Tahoma"/>
            <family val="2"/>
          </rPr>
          <t xml:space="preserve">
p.269</t>
        </r>
      </text>
    </comment>
    <comment ref="AT47" authorId="0">
      <text>
        <r>
          <rPr>
            <b/>
            <sz val="9"/>
            <color indexed="81"/>
            <rFont val="Tahoma"/>
            <family val="2"/>
          </rPr>
          <t>Ingrid Malmgren:</t>
        </r>
        <r>
          <rPr>
            <sz val="9"/>
            <color indexed="81"/>
            <rFont val="Tahoma"/>
            <family val="2"/>
          </rPr>
          <t xml:space="preserve">
from Table 1-2
</t>
        </r>
      </text>
    </comment>
    <comment ref="AW4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48" authorId="0">
      <text>
        <r>
          <rPr>
            <b/>
            <sz val="9"/>
            <color indexed="81"/>
            <rFont val="Tahoma"/>
            <family val="2"/>
          </rPr>
          <t>Ingrid Malmgren:</t>
        </r>
        <r>
          <rPr>
            <sz val="9"/>
            <color indexed="81"/>
            <rFont val="Tahoma"/>
            <family val="2"/>
          </rPr>
          <t xml:space="preserve">
p.269
</t>
        </r>
      </text>
    </comment>
    <comment ref="Z48" authorId="0">
      <text>
        <r>
          <rPr>
            <b/>
            <sz val="9"/>
            <color indexed="81"/>
            <rFont val="Tahoma"/>
            <family val="2"/>
          </rPr>
          <t>Ingrid Malmgren:</t>
        </r>
        <r>
          <rPr>
            <sz val="9"/>
            <color indexed="81"/>
            <rFont val="Tahoma"/>
            <family val="2"/>
          </rPr>
          <t xml:space="preserve">
p.269
</t>
        </r>
      </text>
    </comment>
    <comment ref="AC48" authorId="0">
      <text>
        <r>
          <rPr>
            <b/>
            <sz val="9"/>
            <color indexed="81"/>
            <rFont val="Tahoma"/>
            <family val="2"/>
          </rPr>
          <t>Ingrid Malmgren:</t>
        </r>
        <r>
          <rPr>
            <sz val="9"/>
            <color indexed="81"/>
            <rFont val="Tahoma"/>
            <family val="2"/>
          </rPr>
          <t xml:space="preserve">
p.269
</t>
        </r>
      </text>
    </comment>
    <comment ref="AJ48" authorId="0">
      <text>
        <r>
          <rPr>
            <b/>
            <sz val="9"/>
            <color indexed="81"/>
            <rFont val="Tahoma"/>
            <family val="2"/>
          </rPr>
          <t>Ingrid Malmgren:</t>
        </r>
        <r>
          <rPr>
            <sz val="9"/>
            <color indexed="81"/>
            <rFont val="Tahoma"/>
            <family val="2"/>
          </rPr>
          <t xml:space="preserve">
Not included in prescriptive
programs</t>
        </r>
      </text>
    </comment>
    <comment ref="AQ48" authorId="0">
      <text>
        <r>
          <rPr>
            <b/>
            <sz val="9"/>
            <color indexed="81"/>
            <rFont val="Tahoma"/>
            <family val="2"/>
          </rPr>
          <t>Ingrid Malmgren:</t>
        </r>
        <r>
          <rPr>
            <sz val="9"/>
            <color indexed="81"/>
            <rFont val="Tahoma"/>
            <family val="2"/>
          </rPr>
          <t xml:space="preserve">
p.269
</t>
        </r>
      </text>
    </comment>
    <comment ref="AT48" authorId="0">
      <text>
        <r>
          <rPr>
            <b/>
            <sz val="9"/>
            <color indexed="81"/>
            <rFont val="Tahoma"/>
            <family val="2"/>
          </rPr>
          <t>Ingrid Malmgren:</t>
        </r>
        <r>
          <rPr>
            <sz val="9"/>
            <color indexed="81"/>
            <rFont val="Tahoma"/>
            <family val="2"/>
          </rPr>
          <t xml:space="preserve">
from Table 1-2
</t>
        </r>
      </text>
    </comment>
    <comment ref="AW4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C49" authorId="0">
      <text>
        <r>
          <rPr>
            <b/>
            <sz val="9"/>
            <color indexed="81"/>
            <rFont val="Tahoma"/>
            <family val="2"/>
          </rPr>
          <t>Ingrid Malmgren:</t>
        </r>
        <r>
          <rPr>
            <sz val="9"/>
            <color indexed="81"/>
            <rFont val="Tahoma"/>
            <family val="2"/>
          </rPr>
          <t xml:space="preserve">
Not offered in MA TRM</t>
        </r>
      </text>
    </comment>
    <comment ref="AJ49" authorId="0">
      <text>
        <r>
          <rPr>
            <b/>
            <sz val="9"/>
            <color indexed="81"/>
            <rFont val="Tahoma"/>
            <family val="2"/>
          </rPr>
          <t>Ingrid Malmgren:</t>
        </r>
        <r>
          <rPr>
            <sz val="9"/>
            <color indexed="81"/>
            <rFont val="Tahoma"/>
            <family val="2"/>
          </rPr>
          <t xml:space="preserve">
Not included in prescriptive
programs</t>
        </r>
      </text>
    </comment>
    <comment ref="AT49" authorId="0">
      <text>
        <r>
          <rPr>
            <b/>
            <sz val="9"/>
            <color indexed="81"/>
            <rFont val="Tahoma"/>
            <family val="2"/>
          </rPr>
          <t>Ingrid Malmgren:</t>
        </r>
        <r>
          <rPr>
            <sz val="9"/>
            <color indexed="81"/>
            <rFont val="Tahoma"/>
            <family val="2"/>
          </rPr>
          <t xml:space="preserve">
from Table 1-2
</t>
        </r>
      </text>
    </comment>
    <comment ref="AW4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C50" authorId="0">
      <text>
        <r>
          <rPr>
            <b/>
            <sz val="9"/>
            <color indexed="81"/>
            <rFont val="Tahoma"/>
            <family val="2"/>
          </rPr>
          <t>Ingrid Malmgren:</t>
        </r>
        <r>
          <rPr>
            <sz val="9"/>
            <color indexed="81"/>
            <rFont val="Tahoma"/>
            <family val="2"/>
          </rPr>
          <t xml:space="preserve">
Not offered in MA TRM</t>
        </r>
      </text>
    </comment>
    <comment ref="AJ50" authorId="0">
      <text>
        <r>
          <rPr>
            <b/>
            <sz val="9"/>
            <color indexed="81"/>
            <rFont val="Tahoma"/>
            <family val="2"/>
          </rPr>
          <t>Ingrid Malmgren:</t>
        </r>
        <r>
          <rPr>
            <sz val="9"/>
            <color indexed="81"/>
            <rFont val="Tahoma"/>
            <family val="2"/>
          </rPr>
          <t xml:space="preserve">
Not included in prescriptive
programs</t>
        </r>
      </text>
    </comment>
    <comment ref="AT50" authorId="0">
      <text>
        <r>
          <rPr>
            <b/>
            <sz val="9"/>
            <color indexed="81"/>
            <rFont val="Tahoma"/>
            <family val="2"/>
          </rPr>
          <t>Ingrid Malmgren:</t>
        </r>
        <r>
          <rPr>
            <sz val="9"/>
            <color indexed="81"/>
            <rFont val="Tahoma"/>
            <family val="2"/>
          </rPr>
          <t xml:space="preserve">
from Table 1-2
</t>
        </r>
      </text>
    </comment>
    <comment ref="AW5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C51" authorId="0">
      <text>
        <r>
          <rPr>
            <b/>
            <sz val="9"/>
            <color indexed="81"/>
            <rFont val="Tahoma"/>
            <family val="2"/>
          </rPr>
          <t>Ingrid Malmgren:</t>
        </r>
        <r>
          <rPr>
            <sz val="9"/>
            <color indexed="81"/>
            <rFont val="Tahoma"/>
            <family val="2"/>
          </rPr>
          <t xml:space="preserve">
Not offered in MA TRM</t>
        </r>
      </text>
    </comment>
    <comment ref="AJ51" authorId="0">
      <text>
        <r>
          <rPr>
            <b/>
            <sz val="9"/>
            <color indexed="81"/>
            <rFont val="Tahoma"/>
            <family val="2"/>
          </rPr>
          <t>Ingrid Malmgren:</t>
        </r>
        <r>
          <rPr>
            <sz val="9"/>
            <color indexed="81"/>
            <rFont val="Tahoma"/>
            <family val="2"/>
          </rPr>
          <t xml:space="preserve">
Not included in prescriptive
programs</t>
        </r>
      </text>
    </comment>
    <comment ref="AT51" authorId="0">
      <text>
        <r>
          <rPr>
            <b/>
            <sz val="9"/>
            <color indexed="81"/>
            <rFont val="Tahoma"/>
            <family val="2"/>
          </rPr>
          <t>Ingrid Malmgren:</t>
        </r>
        <r>
          <rPr>
            <sz val="9"/>
            <color indexed="81"/>
            <rFont val="Tahoma"/>
            <family val="2"/>
          </rPr>
          <t xml:space="preserve">
from Table 1-2
</t>
        </r>
      </text>
    </comment>
    <comment ref="AW5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52" authorId="0">
      <text>
        <r>
          <rPr>
            <b/>
            <sz val="9"/>
            <color indexed="81"/>
            <rFont val="Tahoma"/>
            <family val="2"/>
          </rPr>
          <t>Ingrid Malmgren:</t>
        </r>
        <r>
          <rPr>
            <sz val="9"/>
            <color indexed="81"/>
            <rFont val="Tahoma"/>
            <family val="2"/>
          </rPr>
          <t xml:space="preserve">
p.256</t>
        </r>
      </text>
    </comment>
    <comment ref="Z52" authorId="0">
      <text>
        <r>
          <rPr>
            <b/>
            <sz val="9"/>
            <color indexed="81"/>
            <rFont val="Tahoma"/>
            <family val="2"/>
          </rPr>
          <t>Ingrid Malmgren:</t>
        </r>
        <r>
          <rPr>
            <sz val="9"/>
            <color indexed="81"/>
            <rFont val="Tahoma"/>
            <family val="2"/>
          </rPr>
          <t xml:space="preserve">
p.256</t>
        </r>
      </text>
    </comment>
    <comment ref="AC52" authorId="0">
      <text>
        <r>
          <rPr>
            <b/>
            <sz val="9"/>
            <color indexed="81"/>
            <rFont val="Tahoma"/>
            <family val="2"/>
          </rPr>
          <t>Ingrid Malmgren:</t>
        </r>
        <r>
          <rPr>
            <sz val="9"/>
            <color indexed="81"/>
            <rFont val="Tahoma"/>
            <family val="2"/>
          </rPr>
          <t xml:space="preserve">
p.256</t>
        </r>
      </text>
    </comment>
    <comment ref="AJ52" authorId="0">
      <text>
        <r>
          <rPr>
            <b/>
            <sz val="9"/>
            <color indexed="81"/>
            <rFont val="Tahoma"/>
            <family val="2"/>
          </rPr>
          <t>Ingrid Malmgren:</t>
        </r>
        <r>
          <rPr>
            <sz val="9"/>
            <color indexed="81"/>
            <rFont val="Tahoma"/>
            <family val="2"/>
          </rPr>
          <t xml:space="preserve">
Not included in prescriptive
programs</t>
        </r>
      </text>
    </comment>
    <comment ref="AQ52" authorId="0">
      <text>
        <r>
          <rPr>
            <b/>
            <sz val="9"/>
            <color indexed="81"/>
            <rFont val="Tahoma"/>
            <family val="2"/>
          </rPr>
          <t>Ingrid Malmgren:</t>
        </r>
        <r>
          <rPr>
            <sz val="9"/>
            <color indexed="81"/>
            <rFont val="Tahoma"/>
            <family val="2"/>
          </rPr>
          <t xml:space="preserve">
p.256</t>
        </r>
      </text>
    </comment>
    <comment ref="AT52" authorId="0">
      <text>
        <r>
          <rPr>
            <b/>
            <sz val="9"/>
            <color indexed="81"/>
            <rFont val="Tahoma"/>
            <family val="2"/>
          </rPr>
          <t>Ingrid Malmgren:</t>
        </r>
        <r>
          <rPr>
            <sz val="9"/>
            <color indexed="81"/>
            <rFont val="Tahoma"/>
            <family val="2"/>
          </rPr>
          <t xml:space="preserve">
from Table 1-2
</t>
        </r>
      </text>
    </comment>
    <comment ref="AW5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53" authorId="0">
      <text>
        <r>
          <rPr>
            <b/>
            <sz val="9"/>
            <color indexed="81"/>
            <rFont val="Tahoma"/>
            <family val="2"/>
          </rPr>
          <t>Ingrid Malmgren:</t>
        </r>
        <r>
          <rPr>
            <sz val="9"/>
            <color indexed="81"/>
            <rFont val="Tahoma"/>
            <family val="2"/>
          </rPr>
          <t xml:space="preserve">
p.256</t>
        </r>
      </text>
    </comment>
    <comment ref="Z53" authorId="0">
      <text>
        <r>
          <rPr>
            <b/>
            <sz val="9"/>
            <color indexed="81"/>
            <rFont val="Tahoma"/>
            <family val="2"/>
          </rPr>
          <t>Ingrid Malmgren:</t>
        </r>
        <r>
          <rPr>
            <sz val="9"/>
            <color indexed="81"/>
            <rFont val="Tahoma"/>
            <family val="2"/>
          </rPr>
          <t xml:space="preserve">
p.256</t>
        </r>
      </text>
    </comment>
    <comment ref="AC53" authorId="0">
      <text>
        <r>
          <rPr>
            <b/>
            <sz val="9"/>
            <color indexed="81"/>
            <rFont val="Tahoma"/>
            <family val="2"/>
          </rPr>
          <t>Ingrid Malmgren:</t>
        </r>
        <r>
          <rPr>
            <sz val="9"/>
            <color indexed="81"/>
            <rFont val="Tahoma"/>
            <family val="2"/>
          </rPr>
          <t xml:space="preserve">
p.256</t>
        </r>
      </text>
    </comment>
    <comment ref="AJ53" authorId="0">
      <text>
        <r>
          <rPr>
            <b/>
            <sz val="9"/>
            <color indexed="81"/>
            <rFont val="Tahoma"/>
            <family val="2"/>
          </rPr>
          <t>Ingrid Malmgren:</t>
        </r>
        <r>
          <rPr>
            <sz val="9"/>
            <color indexed="81"/>
            <rFont val="Tahoma"/>
            <family val="2"/>
          </rPr>
          <t xml:space="preserve">
Not included in prescriptive
programs</t>
        </r>
      </text>
    </comment>
    <comment ref="AQ53" authorId="0">
      <text>
        <r>
          <rPr>
            <b/>
            <sz val="9"/>
            <color indexed="81"/>
            <rFont val="Tahoma"/>
            <family val="2"/>
          </rPr>
          <t>Ingrid Malmgren:</t>
        </r>
        <r>
          <rPr>
            <sz val="9"/>
            <color indexed="81"/>
            <rFont val="Tahoma"/>
            <family val="2"/>
          </rPr>
          <t xml:space="preserve">
p.256</t>
        </r>
      </text>
    </comment>
    <comment ref="AT53" authorId="0">
      <text>
        <r>
          <rPr>
            <b/>
            <sz val="9"/>
            <color indexed="81"/>
            <rFont val="Tahoma"/>
            <family val="2"/>
          </rPr>
          <t>Ingrid Malmgren:</t>
        </r>
        <r>
          <rPr>
            <sz val="9"/>
            <color indexed="81"/>
            <rFont val="Tahoma"/>
            <family val="2"/>
          </rPr>
          <t xml:space="preserve">
from Table 1-2
</t>
        </r>
      </text>
    </comment>
    <comment ref="AW5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54" authorId="0">
      <text>
        <r>
          <rPr>
            <b/>
            <sz val="9"/>
            <color indexed="81"/>
            <rFont val="Tahoma"/>
            <family val="2"/>
          </rPr>
          <t>Ingrid Malmgren:</t>
        </r>
        <r>
          <rPr>
            <sz val="9"/>
            <color indexed="81"/>
            <rFont val="Tahoma"/>
            <family val="2"/>
          </rPr>
          <t xml:space="preserve">
p.256</t>
        </r>
      </text>
    </comment>
    <comment ref="Z54" authorId="0">
      <text>
        <r>
          <rPr>
            <b/>
            <sz val="9"/>
            <color indexed="81"/>
            <rFont val="Tahoma"/>
            <family val="2"/>
          </rPr>
          <t>Ingrid Malmgren:</t>
        </r>
        <r>
          <rPr>
            <sz val="9"/>
            <color indexed="81"/>
            <rFont val="Tahoma"/>
            <family val="2"/>
          </rPr>
          <t xml:space="preserve">
p.256</t>
        </r>
      </text>
    </comment>
    <comment ref="AC54" authorId="0">
      <text>
        <r>
          <rPr>
            <b/>
            <sz val="9"/>
            <color indexed="81"/>
            <rFont val="Tahoma"/>
            <family val="2"/>
          </rPr>
          <t>Ingrid Malmgren:</t>
        </r>
        <r>
          <rPr>
            <sz val="9"/>
            <color indexed="81"/>
            <rFont val="Tahoma"/>
            <family val="2"/>
          </rPr>
          <t xml:space="preserve">
p.256</t>
        </r>
      </text>
    </comment>
    <comment ref="AJ54" authorId="0">
      <text>
        <r>
          <rPr>
            <b/>
            <sz val="9"/>
            <color indexed="81"/>
            <rFont val="Tahoma"/>
            <family val="2"/>
          </rPr>
          <t>Ingrid Malmgren:</t>
        </r>
        <r>
          <rPr>
            <sz val="9"/>
            <color indexed="81"/>
            <rFont val="Tahoma"/>
            <family val="2"/>
          </rPr>
          <t xml:space="preserve">
Not included in prescriptive
programs</t>
        </r>
      </text>
    </comment>
    <comment ref="AQ54" authorId="0">
      <text>
        <r>
          <rPr>
            <b/>
            <sz val="9"/>
            <color indexed="81"/>
            <rFont val="Tahoma"/>
            <family val="2"/>
          </rPr>
          <t>Ingrid Malmgren:</t>
        </r>
        <r>
          <rPr>
            <sz val="9"/>
            <color indexed="81"/>
            <rFont val="Tahoma"/>
            <family val="2"/>
          </rPr>
          <t xml:space="preserve">
p.256</t>
        </r>
      </text>
    </comment>
    <comment ref="AT54" authorId="0">
      <text>
        <r>
          <rPr>
            <b/>
            <sz val="9"/>
            <color indexed="81"/>
            <rFont val="Tahoma"/>
            <family val="2"/>
          </rPr>
          <t>Ingrid Malmgren:</t>
        </r>
        <r>
          <rPr>
            <sz val="9"/>
            <color indexed="81"/>
            <rFont val="Tahoma"/>
            <family val="2"/>
          </rPr>
          <t xml:space="preserve">
from Table 1-2
</t>
        </r>
      </text>
    </comment>
    <comment ref="AW5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55" authorId="0">
      <text>
        <r>
          <rPr>
            <b/>
            <sz val="9"/>
            <color indexed="81"/>
            <rFont val="Tahoma"/>
            <family val="2"/>
          </rPr>
          <t>Ingrid Malmgren:</t>
        </r>
        <r>
          <rPr>
            <sz val="9"/>
            <color indexed="81"/>
            <rFont val="Tahoma"/>
            <family val="2"/>
          </rPr>
          <t xml:space="preserve">
p.256</t>
        </r>
      </text>
    </comment>
    <comment ref="Z55" authorId="0">
      <text>
        <r>
          <rPr>
            <b/>
            <sz val="9"/>
            <color indexed="81"/>
            <rFont val="Tahoma"/>
            <family val="2"/>
          </rPr>
          <t>Ingrid Malmgren:</t>
        </r>
        <r>
          <rPr>
            <sz val="9"/>
            <color indexed="81"/>
            <rFont val="Tahoma"/>
            <family val="2"/>
          </rPr>
          <t xml:space="preserve">
p.256</t>
        </r>
      </text>
    </comment>
    <comment ref="AC55" authorId="0">
      <text>
        <r>
          <rPr>
            <b/>
            <sz val="9"/>
            <color indexed="81"/>
            <rFont val="Tahoma"/>
            <family val="2"/>
          </rPr>
          <t>Ingrid Malmgren:</t>
        </r>
        <r>
          <rPr>
            <sz val="9"/>
            <color indexed="81"/>
            <rFont val="Tahoma"/>
            <family val="2"/>
          </rPr>
          <t xml:space="preserve">
p.256</t>
        </r>
      </text>
    </comment>
    <comment ref="AJ55" authorId="0">
      <text>
        <r>
          <rPr>
            <b/>
            <sz val="9"/>
            <color indexed="81"/>
            <rFont val="Tahoma"/>
            <family val="2"/>
          </rPr>
          <t>Ingrid Malmgren:</t>
        </r>
        <r>
          <rPr>
            <sz val="9"/>
            <color indexed="81"/>
            <rFont val="Tahoma"/>
            <family val="2"/>
          </rPr>
          <t xml:space="preserve">
Not included in prescriptive
programs</t>
        </r>
      </text>
    </comment>
    <comment ref="AQ55" authorId="0">
      <text>
        <r>
          <rPr>
            <b/>
            <sz val="9"/>
            <color indexed="81"/>
            <rFont val="Tahoma"/>
            <family val="2"/>
          </rPr>
          <t>Ingrid Malmgren:</t>
        </r>
        <r>
          <rPr>
            <sz val="9"/>
            <color indexed="81"/>
            <rFont val="Tahoma"/>
            <family val="2"/>
          </rPr>
          <t xml:space="preserve">
p.256</t>
        </r>
      </text>
    </comment>
    <comment ref="AT55" authorId="0">
      <text>
        <r>
          <rPr>
            <b/>
            <sz val="9"/>
            <color indexed="81"/>
            <rFont val="Tahoma"/>
            <family val="2"/>
          </rPr>
          <t>Ingrid Malmgren:</t>
        </r>
        <r>
          <rPr>
            <sz val="9"/>
            <color indexed="81"/>
            <rFont val="Tahoma"/>
            <family val="2"/>
          </rPr>
          <t xml:space="preserve">
from Table 1-2
</t>
        </r>
      </text>
    </comment>
    <comment ref="AW5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56" authorId="0">
      <text>
        <r>
          <rPr>
            <b/>
            <sz val="9"/>
            <color indexed="81"/>
            <rFont val="Tahoma"/>
            <family val="2"/>
          </rPr>
          <t>Ingrid Malmgren:</t>
        </r>
        <r>
          <rPr>
            <sz val="9"/>
            <color indexed="81"/>
            <rFont val="Tahoma"/>
            <family val="2"/>
          </rPr>
          <t xml:space="preserve">
p.299</t>
        </r>
      </text>
    </comment>
    <comment ref="Z56" authorId="0">
      <text>
        <r>
          <rPr>
            <b/>
            <sz val="9"/>
            <color indexed="81"/>
            <rFont val="Tahoma"/>
            <family val="2"/>
          </rPr>
          <t>Ingrid Malmgren:</t>
        </r>
        <r>
          <rPr>
            <sz val="9"/>
            <color indexed="81"/>
            <rFont val="Tahoma"/>
            <family val="2"/>
          </rPr>
          <t xml:space="preserve">
p.299</t>
        </r>
      </text>
    </comment>
    <comment ref="AC56" authorId="0">
      <text>
        <r>
          <rPr>
            <b/>
            <sz val="9"/>
            <color indexed="81"/>
            <rFont val="Tahoma"/>
            <family val="2"/>
          </rPr>
          <t>Ingrid Malmgren:</t>
        </r>
        <r>
          <rPr>
            <sz val="9"/>
            <color indexed="81"/>
            <rFont val="Tahoma"/>
            <family val="2"/>
          </rPr>
          <t xml:space="preserve">
p.299</t>
        </r>
      </text>
    </comment>
    <comment ref="AJ56" authorId="0">
      <text>
        <r>
          <rPr>
            <b/>
            <sz val="9"/>
            <color indexed="81"/>
            <rFont val="Tahoma"/>
            <family val="2"/>
          </rPr>
          <t>Ingrid Malmgren:</t>
        </r>
        <r>
          <rPr>
            <sz val="9"/>
            <color indexed="81"/>
            <rFont val="Tahoma"/>
            <family val="2"/>
          </rPr>
          <t xml:space="preserve">
Not included in prescriptive
programs</t>
        </r>
      </text>
    </comment>
    <comment ref="AQ56" authorId="0">
      <text>
        <r>
          <rPr>
            <b/>
            <sz val="9"/>
            <color indexed="81"/>
            <rFont val="Tahoma"/>
            <family val="2"/>
          </rPr>
          <t>Ingrid Malmgren:</t>
        </r>
        <r>
          <rPr>
            <sz val="9"/>
            <color indexed="81"/>
            <rFont val="Tahoma"/>
            <family val="2"/>
          </rPr>
          <t xml:space="preserve">
p.299</t>
        </r>
      </text>
    </comment>
    <comment ref="AT56" authorId="0">
      <text>
        <r>
          <rPr>
            <b/>
            <sz val="9"/>
            <color indexed="81"/>
            <rFont val="Tahoma"/>
            <family val="2"/>
          </rPr>
          <t>Ingrid Malmgren:</t>
        </r>
        <r>
          <rPr>
            <sz val="9"/>
            <color indexed="81"/>
            <rFont val="Tahoma"/>
            <family val="2"/>
          </rPr>
          <t xml:space="preserve">
from table 1-2
</t>
        </r>
      </text>
    </comment>
    <comment ref="AU56" authorId="0">
      <text>
        <r>
          <rPr>
            <b/>
            <sz val="9"/>
            <color indexed="81"/>
            <rFont val="Tahoma"/>
            <family val="2"/>
          </rPr>
          <t>Ingrid Malmgren:</t>
        </r>
        <r>
          <rPr>
            <sz val="9"/>
            <color indexed="81"/>
            <rFont val="Tahoma"/>
            <family val="2"/>
          </rPr>
          <t xml:space="preserve">
from TetraTech 2012 Table 1-2</t>
        </r>
      </text>
    </comment>
    <comment ref="AW5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57" authorId="0">
      <text>
        <r>
          <rPr>
            <b/>
            <sz val="9"/>
            <color indexed="81"/>
            <rFont val="Tahoma"/>
            <family val="2"/>
          </rPr>
          <t>Ingrid Malmgren:</t>
        </r>
        <r>
          <rPr>
            <sz val="9"/>
            <color indexed="81"/>
            <rFont val="Tahoma"/>
            <family val="2"/>
          </rPr>
          <t xml:space="preserve">
p.299</t>
        </r>
      </text>
    </comment>
    <comment ref="Z57" authorId="0">
      <text>
        <r>
          <rPr>
            <b/>
            <sz val="9"/>
            <color indexed="81"/>
            <rFont val="Tahoma"/>
            <family val="2"/>
          </rPr>
          <t>Ingrid Malmgren:</t>
        </r>
        <r>
          <rPr>
            <sz val="9"/>
            <color indexed="81"/>
            <rFont val="Tahoma"/>
            <family val="2"/>
          </rPr>
          <t xml:space="preserve">
p.299</t>
        </r>
      </text>
    </comment>
    <comment ref="AC57" authorId="0">
      <text>
        <r>
          <rPr>
            <b/>
            <sz val="9"/>
            <color indexed="81"/>
            <rFont val="Tahoma"/>
            <family val="2"/>
          </rPr>
          <t>Ingrid Malmgren:</t>
        </r>
        <r>
          <rPr>
            <sz val="9"/>
            <color indexed="81"/>
            <rFont val="Tahoma"/>
            <family val="2"/>
          </rPr>
          <t xml:space="preserve">
p.299</t>
        </r>
      </text>
    </comment>
    <comment ref="AJ57" authorId="0">
      <text>
        <r>
          <rPr>
            <b/>
            <sz val="9"/>
            <color indexed="81"/>
            <rFont val="Tahoma"/>
            <family val="2"/>
          </rPr>
          <t>Ingrid Malmgren:</t>
        </r>
        <r>
          <rPr>
            <sz val="9"/>
            <color indexed="81"/>
            <rFont val="Tahoma"/>
            <family val="2"/>
          </rPr>
          <t xml:space="preserve">
Not included in prescriptive
programs</t>
        </r>
      </text>
    </comment>
    <comment ref="AQ57" authorId="0">
      <text>
        <r>
          <rPr>
            <b/>
            <sz val="9"/>
            <color indexed="81"/>
            <rFont val="Tahoma"/>
            <family val="2"/>
          </rPr>
          <t>Ingrid Malmgren:</t>
        </r>
        <r>
          <rPr>
            <sz val="9"/>
            <color indexed="81"/>
            <rFont val="Tahoma"/>
            <family val="2"/>
          </rPr>
          <t xml:space="preserve">
p.299</t>
        </r>
      </text>
    </comment>
    <comment ref="AT57" authorId="0">
      <text>
        <r>
          <rPr>
            <b/>
            <sz val="9"/>
            <color indexed="81"/>
            <rFont val="Tahoma"/>
            <family val="2"/>
          </rPr>
          <t>Ingrid Malmgren:</t>
        </r>
        <r>
          <rPr>
            <sz val="9"/>
            <color indexed="81"/>
            <rFont val="Tahoma"/>
            <family val="2"/>
          </rPr>
          <t xml:space="preserve">
from table 1-2
</t>
        </r>
      </text>
    </comment>
    <comment ref="AU57" authorId="0">
      <text>
        <r>
          <rPr>
            <b/>
            <sz val="9"/>
            <color indexed="81"/>
            <rFont val="Tahoma"/>
            <family val="2"/>
          </rPr>
          <t>Ingrid Malmgren:</t>
        </r>
        <r>
          <rPr>
            <sz val="9"/>
            <color indexed="81"/>
            <rFont val="Tahoma"/>
            <family val="2"/>
          </rPr>
          <t xml:space="preserve">
from TetraTech 2012 Table 1-2</t>
        </r>
      </text>
    </comment>
    <comment ref="AW5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58" authorId="0">
      <text>
        <r>
          <rPr>
            <b/>
            <sz val="9"/>
            <color indexed="81"/>
            <rFont val="Tahoma"/>
            <family val="2"/>
          </rPr>
          <t>Ingrid Malmgren:</t>
        </r>
        <r>
          <rPr>
            <sz val="9"/>
            <color indexed="81"/>
            <rFont val="Tahoma"/>
            <family val="2"/>
          </rPr>
          <t xml:space="preserve">
p.299</t>
        </r>
      </text>
    </comment>
    <comment ref="Z58" authorId="0">
      <text>
        <r>
          <rPr>
            <b/>
            <sz val="9"/>
            <color indexed="81"/>
            <rFont val="Tahoma"/>
            <family val="2"/>
          </rPr>
          <t>Ingrid Malmgren:</t>
        </r>
        <r>
          <rPr>
            <sz val="9"/>
            <color indexed="81"/>
            <rFont val="Tahoma"/>
            <family val="2"/>
          </rPr>
          <t xml:space="preserve">
p.299</t>
        </r>
      </text>
    </comment>
    <comment ref="AC58" authorId="0">
      <text>
        <r>
          <rPr>
            <b/>
            <sz val="9"/>
            <color indexed="81"/>
            <rFont val="Tahoma"/>
            <family val="2"/>
          </rPr>
          <t>Ingrid Malmgren:</t>
        </r>
        <r>
          <rPr>
            <sz val="9"/>
            <color indexed="81"/>
            <rFont val="Tahoma"/>
            <family val="2"/>
          </rPr>
          <t xml:space="preserve">
p.299</t>
        </r>
      </text>
    </comment>
    <comment ref="AJ58" authorId="0">
      <text>
        <r>
          <rPr>
            <b/>
            <sz val="9"/>
            <color indexed="81"/>
            <rFont val="Tahoma"/>
            <family val="2"/>
          </rPr>
          <t>Ingrid Malmgren:</t>
        </r>
        <r>
          <rPr>
            <sz val="9"/>
            <color indexed="81"/>
            <rFont val="Tahoma"/>
            <family val="2"/>
          </rPr>
          <t xml:space="preserve">
Not included in prescriptive
programs</t>
        </r>
      </text>
    </comment>
    <comment ref="AQ58" authorId="0">
      <text>
        <r>
          <rPr>
            <b/>
            <sz val="9"/>
            <color indexed="81"/>
            <rFont val="Tahoma"/>
            <family val="2"/>
          </rPr>
          <t>Ingrid Malmgren:</t>
        </r>
        <r>
          <rPr>
            <sz val="9"/>
            <color indexed="81"/>
            <rFont val="Tahoma"/>
            <family val="2"/>
          </rPr>
          <t xml:space="preserve">
p.299</t>
        </r>
      </text>
    </comment>
    <comment ref="AT58" authorId="0">
      <text>
        <r>
          <rPr>
            <b/>
            <sz val="9"/>
            <color indexed="81"/>
            <rFont val="Tahoma"/>
            <family val="2"/>
          </rPr>
          <t>Ingrid Malmgren:</t>
        </r>
        <r>
          <rPr>
            <sz val="9"/>
            <color indexed="81"/>
            <rFont val="Tahoma"/>
            <family val="2"/>
          </rPr>
          <t xml:space="preserve">
from table 1-2
</t>
        </r>
      </text>
    </comment>
    <comment ref="AU58" authorId="0">
      <text>
        <r>
          <rPr>
            <b/>
            <sz val="9"/>
            <color indexed="81"/>
            <rFont val="Tahoma"/>
            <family val="2"/>
          </rPr>
          <t>Ingrid Malmgren:</t>
        </r>
        <r>
          <rPr>
            <sz val="9"/>
            <color indexed="81"/>
            <rFont val="Tahoma"/>
            <family val="2"/>
          </rPr>
          <t xml:space="preserve">
from TetraTech 2012 Table 1-2</t>
        </r>
      </text>
    </comment>
    <comment ref="AW5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59" authorId="0">
      <text>
        <r>
          <rPr>
            <b/>
            <sz val="9"/>
            <color indexed="81"/>
            <rFont val="Tahoma"/>
            <family val="2"/>
          </rPr>
          <t>Ingrid Malmgren:</t>
        </r>
        <r>
          <rPr>
            <sz val="9"/>
            <color indexed="81"/>
            <rFont val="Tahoma"/>
            <family val="2"/>
          </rPr>
          <t xml:space="preserve">
p.299</t>
        </r>
      </text>
    </comment>
    <comment ref="Z59" authorId="0">
      <text>
        <r>
          <rPr>
            <b/>
            <sz val="9"/>
            <color indexed="81"/>
            <rFont val="Tahoma"/>
            <family val="2"/>
          </rPr>
          <t>Ingrid Malmgren:</t>
        </r>
        <r>
          <rPr>
            <sz val="9"/>
            <color indexed="81"/>
            <rFont val="Tahoma"/>
            <family val="2"/>
          </rPr>
          <t xml:space="preserve">
p.299</t>
        </r>
      </text>
    </comment>
    <comment ref="AC59" authorId="0">
      <text>
        <r>
          <rPr>
            <b/>
            <sz val="9"/>
            <color indexed="81"/>
            <rFont val="Tahoma"/>
            <family val="2"/>
          </rPr>
          <t>Ingrid Malmgren:</t>
        </r>
        <r>
          <rPr>
            <sz val="9"/>
            <color indexed="81"/>
            <rFont val="Tahoma"/>
            <family val="2"/>
          </rPr>
          <t xml:space="preserve">
p.299</t>
        </r>
      </text>
    </comment>
    <comment ref="AJ59" authorId="0">
      <text>
        <r>
          <rPr>
            <b/>
            <sz val="9"/>
            <color indexed="81"/>
            <rFont val="Tahoma"/>
            <family val="2"/>
          </rPr>
          <t>Ingrid Malmgren:</t>
        </r>
        <r>
          <rPr>
            <sz val="9"/>
            <color indexed="81"/>
            <rFont val="Tahoma"/>
            <family val="2"/>
          </rPr>
          <t xml:space="preserve">
Not included in prescriptive
programs</t>
        </r>
      </text>
    </comment>
    <comment ref="AQ59" authorId="0">
      <text>
        <r>
          <rPr>
            <b/>
            <sz val="9"/>
            <color indexed="81"/>
            <rFont val="Tahoma"/>
            <family val="2"/>
          </rPr>
          <t>Ingrid Malmgren:</t>
        </r>
        <r>
          <rPr>
            <sz val="9"/>
            <color indexed="81"/>
            <rFont val="Tahoma"/>
            <family val="2"/>
          </rPr>
          <t xml:space="preserve">
p.299</t>
        </r>
      </text>
    </comment>
    <comment ref="AT59" authorId="0">
      <text>
        <r>
          <rPr>
            <b/>
            <sz val="9"/>
            <color indexed="81"/>
            <rFont val="Tahoma"/>
            <family val="2"/>
          </rPr>
          <t>Ingrid Malmgren:</t>
        </r>
        <r>
          <rPr>
            <sz val="9"/>
            <color indexed="81"/>
            <rFont val="Tahoma"/>
            <family val="2"/>
          </rPr>
          <t xml:space="preserve">
from table 1-2
</t>
        </r>
      </text>
    </comment>
    <comment ref="AU59" authorId="0">
      <text>
        <r>
          <rPr>
            <b/>
            <sz val="9"/>
            <color indexed="81"/>
            <rFont val="Tahoma"/>
            <family val="2"/>
          </rPr>
          <t>Ingrid Malmgren:</t>
        </r>
        <r>
          <rPr>
            <sz val="9"/>
            <color indexed="81"/>
            <rFont val="Tahoma"/>
            <family val="2"/>
          </rPr>
          <t xml:space="preserve">
from TetraTech 2012 Table 1-2</t>
        </r>
      </text>
    </comment>
    <comment ref="AW5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6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6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60" authorId="0">
      <text>
        <r>
          <rPr>
            <b/>
            <sz val="9"/>
            <color indexed="81"/>
            <rFont val="Tahoma"/>
            <family val="2"/>
          </rPr>
          <t>Ingrid Malmgren:</t>
        </r>
        <r>
          <rPr>
            <sz val="9"/>
            <color indexed="81"/>
            <rFont val="Tahoma"/>
            <family val="2"/>
          </rPr>
          <t xml:space="preserve">
Not included in prescriptive
programs</t>
        </r>
      </text>
    </comment>
    <comment ref="AQ6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60" authorId="0">
      <text>
        <r>
          <rPr>
            <b/>
            <sz val="9"/>
            <color indexed="81"/>
            <rFont val="Tahoma"/>
            <family val="2"/>
          </rPr>
          <t>Ingrid Malmgren:</t>
        </r>
        <r>
          <rPr>
            <sz val="9"/>
            <color indexed="81"/>
            <rFont val="Tahoma"/>
            <family val="2"/>
          </rPr>
          <t xml:space="preserve">
from Table 1-2</t>
        </r>
      </text>
    </comment>
    <comment ref="AU60"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6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60" authorId="0">
      <text>
        <r>
          <rPr>
            <b/>
            <sz val="9"/>
            <color indexed="81"/>
            <rFont val="Tahoma"/>
            <family val="2"/>
          </rPr>
          <t>Ingrid Malmgren:</t>
        </r>
        <r>
          <rPr>
            <sz val="9"/>
            <color indexed="81"/>
            <rFont val="Tahoma"/>
            <family val="2"/>
          </rPr>
          <t xml:space="preserve">
from ITRON engineering analysis</t>
        </r>
      </text>
    </comment>
    <comment ref="X6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6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61" authorId="0">
      <text>
        <r>
          <rPr>
            <b/>
            <sz val="9"/>
            <color indexed="81"/>
            <rFont val="Tahoma"/>
            <family val="2"/>
          </rPr>
          <t>Ingrid Malmgren:</t>
        </r>
        <r>
          <rPr>
            <sz val="9"/>
            <color indexed="81"/>
            <rFont val="Tahoma"/>
            <family val="2"/>
          </rPr>
          <t xml:space="preserve">
Not included in prescriptive
programs</t>
        </r>
      </text>
    </comment>
    <comment ref="AQ6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61" authorId="0">
      <text>
        <r>
          <rPr>
            <b/>
            <sz val="9"/>
            <color indexed="81"/>
            <rFont val="Tahoma"/>
            <family val="2"/>
          </rPr>
          <t>Ingrid Malmgren:</t>
        </r>
        <r>
          <rPr>
            <sz val="9"/>
            <color indexed="81"/>
            <rFont val="Tahoma"/>
            <family val="2"/>
          </rPr>
          <t xml:space="preserve">
from Table 1-2</t>
        </r>
      </text>
    </comment>
    <comment ref="AU61"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6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6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6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62" authorId="0">
      <text>
        <r>
          <rPr>
            <b/>
            <sz val="9"/>
            <color indexed="81"/>
            <rFont val="Tahoma"/>
            <family val="2"/>
          </rPr>
          <t>Ingrid Malmgren:</t>
        </r>
        <r>
          <rPr>
            <sz val="9"/>
            <color indexed="81"/>
            <rFont val="Tahoma"/>
            <family val="2"/>
          </rPr>
          <t xml:space="preserve">
Not included in prescriptive
programs</t>
        </r>
      </text>
    </comment>
    <comment ref="AQ6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62" authorId="0">
      <text>
        <r>
          <rPr>
            <b/>
            <sz val="9"/>
            <color indexed="81"/>
            <rFont val="Tahoma"/>
            <family val="2"/>
          </rPr>
          <t>Ingrid Malmgren:</t>
        </r>
        <r>
          <rPr>
            <sz val="9"/>
            <color indexed="81"/>
            <rFont val="Tahoma"/>
            <family val="2"/>
          </rPr>
          <t xml:space="preserve">
from Table 1-2</t>
        </r>
      </text>
    </comment>
    <comment ref="AU62"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6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6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6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63" authorId="0">
      <text>
        <r>
          <rPr>
            <b/>
            <sz val="9"/>
            <color indexed="81"/>
            <rFont val="Tahoma"/>
            <family val="2"/>
          </rPr>
          <t>Ingrid Malmgren:</t>
        </r>
        <r>
          <rPr>
            <sz val="9"/>
            <color indexed="81"/>
            <rFont val="Tahoma"/>
            <family val="2"/>
          </rPr>
          <t xml:space="preserve">
Not included in prescriptive
programs</t>
        </r>
      </text>
    </comment>
    <comment ref="AQ6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63" authorId="0">
      <text>
        <r>
          <rPr>
            <b/>
            <sz val="9"/>
            <color indexed="81"/>
            <rFont val="Tahoma"/>
            <family val="2"/>
          </rPr>
          <t>Ingrid Malmgren:</t>
        </r>
        <r>
          <rPr>
            <sz val="9"/>
            <color indexed="81"/>
            <rFont val="Tahoma"/>
            <family val="2"/>
          </rPr>
          <t xml:space="preserve">
from Table 1-2</t>
        </r>
      </text>
    </comment>
    <comment ref="AU63"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6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6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6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64" authorId="0">
      <text>
        <r>
          <rPr>
            <b/>
            <sz val="9"/>
            <color indexed="81"/>
            <rFont val="Tahoma"/>
            <family val="2"/>
          </rPr>
          <t>Ingrid Malmgren:</t>
        </r>
        <r>
          <rPr>
            <sz val="9"/>
            <color indexed="81"/>
            <rFont val="Tahoma"/>
            <family val="2"/>
          </rPr>
          <t xml:space="preserve">
Not included in prescriptive
programs</t>
        </r>
      </text>
    </comment>
    <comment ref="AQ6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64" authorId="0">
      <text>
        <r>
          <rPr>
            <b/>
            <sz val="9"/>
            <color indexed="81"/>
            <rFont val="Tahoma"/>
            <family val="2"/>
          </rPr>
          <t>Ingrid Malmgren:</t>
        </r>
        <r>
          <rPr>
            <sz val="9"/>
            <color indexed="81"/>
            <rFont val="Tahoma"/>
            <family val="2"/>
          </rPr>
          <t xml:space="preserve">
from Table 1-2</t>
        </r>
      </text>
    </comment>
    <comment ref="AU64"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6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6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6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65" authorId="0">
      <text>
        <r>
          <rPr>
            <b/>
            <sz val="9"/>
            <color indexed="81"/>
            <rFont val="Tahoma"/>
            <family val="2"/>
          </rPr>
          <t>Ingrid Malmgren:</t>
        </r>
        <r>
          <rPr>
            <sz val="9"/>
            <color indexed="81"/>
            <rFont val="Tahoma"/>
            <family val="2"/>
          </rPr>
          <t xml:space="preserve">
Not included in prescriptive
programs</t>
        </r>
      </text>
    </comment>
    <comment ref="AQ6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65" authorId="0">
      <text>
        <r>
          <rPr>
            <b/>
            <sz val="9"/>
            <color indexed="81"/>
            <rFont val="Tahoma"/>
            <family val="2"/>
          </rPr>
          <t>Ingrid Malmgren:</t>
        </r>
        <r>
          <rPr>
            <sz val="9"/>
            <color indexed="81"/>
            <rFont val="Tahoma"/>
            <family val="2"/>
          </rPr>
          <t xml:space="preserve">
from Table 1-2</t>
        </r>
      </text>
    </comment>
    <comment ref="AU65"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6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6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6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66" authorId="0">
      <text>
        <r>
          <rPr>
            <b/>
            <sz val="9"/>
            <color indexed="81"/>
            <rFont val="Tahoma"/>
            <family val="2"/>
          </rPr>
          <t>Ingrid Malmgren:</t>
        </r>
        <r>
          <rPr>
            <sz val="9"/>
            <color indexed="81"/>
            <rFont val="Tahoma"/>
            <family val="2"/>
          </rPr>
          <t xml:space="preserve">
Not included in prescriptive
programs</t>
        </r>
      </text>
    </comment>
    <comment ref="AQ6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66" authorId="0">
      <text>
        <r>
          <rPr>
            <b/>
            <sz val="9"/>
            <color indexed="81"/>
            <rFont val="Tahoma"/>
            <family val="2"/>
          </rPr>
          <t>Ingrid Malmgren:</t>
        </r>
        <r>
          <rPr>
            <sz val="9"/>
            <color indexed="81"/>
            <rFont val="Tahoma"/>
            <family val="2"/>
          </rPr>
          <t xml:space="preserve">
from Table 1-2</t>
        </r>
      </text>
    </comment>
    <comment ref="AU66"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6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6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6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67" authorId="0">
      <text>
        <r>
          <rPr>
            <b/>
            <sz val="9"/>
            <color indexed="81"/>
            <rFont val="Tahoma"/>
            <family val="2"/>
          </rPr>
          <t>Ingrid Malmgren:</t>
        </r>
        <r>
          <rPr>
            <sz val="9"/>
            <color indexed="81"/>
            <rFont val="Tahoma"/>
            <family val="2"/>
          </rPr>
          <t xml:space="preserve">
Not included in prescriptive
programs</t>
        </r>
      </text>
    </comment>
    <comment ref="AQ6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67" authorId="0">
      <text>
        <r>
          <rPr>
            <b/>
            <sz val="9"/>
            <color indexed="81"/>
            <rFont val="Tahoma"/>
            <family val="2"/>
          </rPr>
          <t>Ingrid Malmgren:</t>
        </r>
        <r>
          <rPr>
            <sz val="9"/>
            <color indexed="81"/>
            <rFont val="Tahoma"/>
            <family val="2"/>
          </rPr>
          <t xml:space="preserve">
from Table 1-2</t>
        </r>
      </text>
    </comment>
    <comment ref="AU67"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6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6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6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68" authorId="0">
      <text>
        <r>
          <rPr>
            <b/>
            <sz val="9"/>
            <color indexed="81"/>
            <rFont val="Tahoma"/>
            <family val="2"/>
          </rPr>
          <t>Ingrid Malmgren:</t>
        </r>
        <r>
          <rPr>
            <sz val="9"/>
            <color indexed="81"/>
            <rFont val="Tahoma"/>
            <family val="2"/>
          </rPr>
          <t xml:space="preserve">
Not included in prescriptive
programs</t>
        </r>
      </text>
    </comment>
    <comment ref="AQ6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68" authorId="0">
      <text>
        <r>
          <rPr>
            <b/>
            <sz val="9"/>
            <color indexed="81"/>
            <rFont val="Tahoma"/>
            <family val="2"/>
          </rPr>
          <t>Ingrid Malmgren:</t>
        </r>
        <r>
          <rPr>
            <sz val="9"/>
            <color indexed="81"/>
            <rFont val="Tahoma"/>
            <family val="2"/>
          </rPr>
          <t xml:space="preserve">
from Table 1-2</t>
        </r>
      </text>
    </comment>
    <comment ref="AU68"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6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6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6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69" authorId="0">
      <text>
        <r>
          <rPr>
            <b/>
            <sz val="9"/>
            <color indexed="81"/>
            <rFont val="Tahoma"/>
            <family val="2"/>
          </rPr>
          <t>Ingrid Malmgren:</t>
        </r>
        <r>
          <rPr>
            <sz val="9"/>
            <color indexed="81"/>
            <rFont val="Tahoma"/>
            <family val="2"/>
          </rPr>
          <t xml:space="preserve">
Not included in prescriptive
programs</t>
        </r>
      </text>
    </comment>
    <comment ref="AQ6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69" authorId="0">
      <text>
        <r>
          <rPr>
            <b/>
            <sz val="9"/>
            <color indexed="81"/>
            <rFont val="Tahoma"/>
            <family val="2"/>
          </rPr>
          <t>Ingrid Malmgren:</t>
        </r>
        <r>
          <rPr>
            <sz val="9"/>
            <color indexed="81"/>
            <rFont val="Tahoma"/>
            <family val="2"/>
          </rPr>
          <t xml:space="preserve">
from Table 1-2</t>
        </r>
      </text>
    </comment>
    <comment ref="AU69"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6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7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7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70" authorId="0">
      <text>
        <r>
          <rPr>
            <b/>
            <sz val="9"/>
            <color indexed="81"/>
            <rFont val="Tahoma"/>
            <family val="2"/>
          </rPr>
          <t>Ingrid Malmgren:</t>
        </r>
        <r>
          <rPr>
            <sz val="9"/>
            <color indexed="81"/>
            <rFont val="Tahoma"/>
            <family val="2"/>
          </rPr>
          <t xml:space="preserve">
Not included in prescriptive
programs</t>
        </r>
      </text>
    </comment>
    <comment ref="AQ7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70" authorId="0">
      <text>
        <r>
          <rPr>
            <b/>
            <sz val="9"/>
            <color indexed="81"/>
            <rFont val="Tahoma"/>
            <family val="2"/>
          </rPr>
          <t>Ingrid Malmgren:</t>
        </r>
        <r>
          <rPr>
            <sz val="9"/>
            <color indexed="81"/>
            <rFont val="Tahoma"/>
            <family val="2"/>
          </rPr>
          <t xml:space="preserve">
from Table 1-2</t>
        </r>
      </text>
    </comment>
    <comment ref="AU70"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7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B71" authorId="0">
      <text>
        <r>
          <rPr>
            <b/>
            <sz val="9"/>
            <color indexed="81"/>
            <rFont val="Tahoma"/>
            <family val="2"/>
          </rPr>
          <t>Ingrid Malmgren:</t>
        </r>
        <r>
          <rPr>
            <sz val="9"/>
            <color indexed="81"/>
            <rFont val="Tahoma"/>
            <family val="2"/>
          </rPr>
          <t xml:space="preserve">
Blue measures are most common and have highest number of participants</t>
        </r>
      </text>
    </comment>
    <comment ref="X7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7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71" authorId="0">
      <text>
        <r>
          <rPr>
            <b/>
            <sz val="9"/>
            <color indexed="81"/>
            <rFont val="Tahoma"/>
            <family val="2"/>
          </rPr>
          <t>Ingrid Malmgren:</t>
        </r>
        <r>
          <rPr>
            <sz val="9"/>
            <color indexed="81"/>
            <rFont val="Tahoma"/>
            <family val="2"/>
          </rPr>
          <t xml:space="preserve">
Not included in prescriptive
programs</t>
        </r>
      </text>
    </comment>
    <comment ref="AQ7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71" authorId="0">
      <text>
        <r>
          <rPr>
            <b/>
            <sz val="9"/>
            <color indexed="81"/>
            <rFont val="Tahoma"/>
            <family val="2"/>
          </rPr>
          <t>Ingrid Malmgren:</t>
        </r>
        <r>
          <rPr>
            <sz val="9"/>
            <color indexed="81"/>
            <rFont val="Tahoma"/>
            <family val="2"/>
          </rPr>
          <t xml:space="preserve">
from Table 1-2</t>
        </r>
      </text>
    </comment>
    <comment ref="AU71"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7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7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7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72" authorId="0">
      <text>
        <r>
          <rPr>
            <b/>
            <sz val="9"/>
            <color indexed="81"/>
            <rFont val="Tahoma"/>
            <family val="2"/>
          </rPr>
          <t>Ingrid Malmgren:</t>
        </r>
        <r>
          <rPr>
            <sz val="9"/>
            <color indexed="81"/>
            <rFont val="Tahoma"/>
            <family val="2"/>
          </rPr>
          <t xml:space="preserve">
Not included in prescriptive
programs</t>
        </r>
      </text>
    </comment>
    <comment ref="AQ7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72" authorId="0">
      <text>
        <r>
          <rPr>
            <b/>
            <sz val="9"/>
            <color indexed="81"/>
            <rFont val="Tahoma"/>
            <family val="2"/>
          </rPr>
          <t>Ingrid Malmgren:</t>
        </r>
        <r>
          <rPr>
            <sz val="9"/>
            <color indexed="81"/>
            <rFont val="Tahoma"/>
            <family val="2"/>
          </rPr>
          <t xml:space="preserve">
from Table 1-2</t>
        </r>
      </text>
    </comment>
    <comment ref="AU72"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7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7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7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73" authorId="0">
      <text>
        <r>
          <rPr>
            <b/>
            <sz val="9"/>
            <color indexed="81"/>
            <rFont val="Tahoma"/>
            <family val="2"/>
          </rPr>
          <t>Ingrid Malmgren:</t>
        </r>
        <r>
          <rPr>
            <sz val="9"/>
            <color indexed="81"/>
            <rFont val="Tahoma"/>
            <family val="2"/>
          </rPr>
          <t xml:space="preserve">
Not included in prescriptive
programs</t>
        </r>
      </text>
    </comment>
    <comment ref="AQ7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73" authorId="0">
      <text>
        <r>
          <rPr>
            <b/>
            <sz val="9"/>
            <color indexed="81"/>
            <rFont val="Tahoma"/>
            <family val="2"/>
          </rPr>
          <t>Ingrid Malmgren:</t>
        </r>
        <r>
          <rPr>
            <sz val="9"/>
            <color indexed="81"/>
            <rFont val="Tahoma"/>
            <family val="2"/>
          </rPr>
          <t xml:space="preserve">
from Table 1-2</t>
        </r>
      </text>
    </comment>
    <comment ref="AU73"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7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7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7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74" authorId="0">
      <text>
        <r>
          <rPr>
            <b/>
            <sz val="9"/>
            <color indexed="81"/>
            <rFont val="Tahoma"/>
            <family val="2"/>
          </rPr>
          <t>Ingrid Malmgren:</t>
        </r>
        <r>
          <rPr>
            <sz val="9"/>
            <color indexed="81"/>
            <rFont val="Tahoma"/>
            <family val="2"/>
          </rPr>
          <t xml:space="preserve">
Not included in prescriptive
programs</t>
        </r>
      </text>
    </comment>
    <comment ref="AQ7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74" authorId="0">
      <text>
        <r>
          <rPr>
            <b/>
            <sz val="9"/>
            <color indexed="81"/>
            <rFont val="Tahoma"/>
            <family val="2"/>
          </rPr>
          <t>Ingrid Malmgren:</t>
        </r>
        <r>
          <rPr>
            <sz val="9"/>
            <color indexed="81"/>
            <rFont val="Tahoma"/>
            <family val="2"/>
          </rPr>
          <t xml:space="preserve">
from Table 1-2</t>
        </r>
      </text>
    </comment>
    <comment ref="AU74"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7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7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7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75" authorId="0">
      <text>
        <r>
          <rPr>
            <b/>
            <sz val="9"/>
            <color indexed="81"/>
            <rFont val="Tahoma"/>
            <family val="2"/>
          </rPr>
          <t>Ingrid Malmgren:</t>
        </r>
        <r>
          <rPr>
            <sz val="9"/>
            <color indexed="81"/>
            <rFont val="Tahoma"/>
            <family val="2"/>
          </rPr>
          <t xml:space="preserve">
Not included in prescriptive
programs</t>
        </r>
      </text>
    </comment>
    <comment ref="AQ7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75" authorId="0">
      <text>
        <r>
          <rPr>
            <b/>
            <sz val="9"/>
            <color indexed="81"/>
            <rFont val="Tahoma"/>
            <family val="2"/>
          </rPr>
          <t>Ingrid Malmgren:</t>
        </r>
        <r>
          <rPr>
            <sz val="9"/>
            <color indexed="81"/>
            <rFont val="Tahoma"/>
            <family val="2"/>
          </rPr>
          <t xml:space="preserve">
from Table 1-2</t>
        </r>
      </text>
    </comment>
    <comment ref="AU75"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7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7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7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76" authorId="0">
      <text>
        <r>
          <rPr>
            <b/>
            <sz val="9"/>
            <color indexed="81"/>
            <rFont val="Tahoma"/>
            <family val="2"/>
          </rPr>
          <t>Ingrid Malmgren:</t>
        </r>
        <r>
          <rPr>
            <sz val="9"/>
            <color indexed="81"/>
            <rFont val="Tahoma"/>
            <family val="2"/>
          </rPr>
          <t xml:space="preserve">
Not included in prescriptive
programs</t>
        </r>
      </text>
    </comment>
    <comment ref="AQ7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76" authorId="0">
      <text>
        <r>
          <rPr>
            <b/>
            <sz val="9"/>
            <color indexed="81"/>
            <rFont val="Tahoma"/>
            <family val="2"/>
          </rPr>
          <t>Ingrid Malmgren:</t>
        </r>
        <r>
          <rPr>
            <sz val="9"/>
            <color indexed="81"/>
            <rFont val="Tahoma"/>
            <family val="2"/>
          </rPr>
          <t xml:space="preserve">
from Table 1-2</t>
        </r>
      </text>
    </comment>
    <comment ref="AU76"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7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76" authorId="0">
      <text>
        <r>
          <rPr>
            <b/>
            <sz val="9"/>
            <color indexed="81"/>
            <rFont val="Tahoma"/>
            <family val="2"/>
          </rPr>
          <t>Ingrid Malmgren:</t>
        </r>
        <r>
          <rPr>
            <sz val="9"/>
            <color indexed="81"/>
            <rFont val="Tahoma"/>
            <family val="2"/>
          </rPr>
          <t xml:space="preserve">
from spreadsheet from Joe Loper at ITRON 2017-2018 Medium Socket screw-in lamp LED (replacing halogen)</t>
        </r>
      </text>
    </comment>
    <comment ref="X7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7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77" authorId="0">
      <text>
        <r>
          <rPr>
            <b/>
            <sz val="9"/>
            <color indexed="81"/>
            <rFont val="Tahoma"/>
            <family val="2"/>
          </rPr>
          <t>Ingrid Malmgren:</t>
        </r>
        <r>
          <rPr>
            <sz val="9"/>
            <color indexed="81"/>
            <rFont val="Tahoma"/>
            <family val="2"/>
          </rPr>
          <t xml:space="preserve">
Not included in prescriptive
programs</t>
        </r>
      </text>
    </comment>
    <comment ref="AQ7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77" authorId="0">
      <text>
        <r>
          <rPr>
            <b/>
            <sz val="9"/>
            <color indexed="81"/>
            <rFont val="Tahoma"/>
            <family val="2"/>
          </rPr>
          <t>Ingrid Malmgren:</t>
        </r>
        <r>
          <rPr>
            <sz val="9"/>
            <color indexed="81"/>
            <rFont val="Tahoma"/>
            <family val="2"/>
          </rPr>
          <t xml:space="preserve">
from Table 1-2</t>
        </r>
      </text>
    </comment>
    <comment ref="AU77"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7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77" authorId="0">
      <text>
        <r>
          <rPr>
            <b/>
            <sz val="9"/>
            <color indexed="81"/>
            <rFont val="Tahoma"/>
            <family val="2"/>
          </rPr>
          <t>Ingrid Malmgren:</t>
        </r>
        <r>
          <rPr>
            <sz val="9"/>
            <color indexed="81"/>
            <rFont val="Tahoma"/>
            <family val="2"/>
          </rPr>
          <t xml:space="preserve">
from spreadsheet from Joe Loper at ITRON 2017-2018 Medium Socket screw-in lamp LED (replacing halogen)</t>
        </r>
      </text>
    </comment>
    <comment ref="X7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7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78" authorId="0">
      <text>
        <r>
          <rPr>
            <b/>
            <sz val="9"/>
            <color indexed="81"/>
            <rFont val="Tahoma"/>
            <family val="2"/>
          </rPr>
          <t>Ingrid Malmgren:</t>
        </r>
        <r>
          <rPr>
            <sz val="9"/>
            <color indexed="81"/>
            <rFont val="Tahoma"/>
            <family val="2"/>
          </rPr>
          <t xml:space="preserve">
Not included in prescriptive
programs</t>
        </r>
      </text>
    </comment>
    <comment ref="AQ7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78" authorId="0">
      <text>
        <r>
          <rPr>
            <b/>
            <sz val="9"/>
            <color indexed="81"/>
            <rFont val="Tahoma"/>
            <family val="2"/>
          </rPr>
          <t>Ingrid Malmgren:</t>
        </r>
        <r>
          <rPr>
            <sz val="9"/>
            <color indexed="81"/>
            <rFont val="Tahoma"/>
            <family val="2"/>
          </rPr>
          <t xml:space="preserve">
from Table 1-2</t>
        </r>
      </text>
    </comment>
    <comment ref="AU78"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7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78" authorId="0">
      <text>
        <r>
          <rPr>
            <b/>
            <sz val="9"/>
            <color indexed="81"/>
            <rFont val="Tahoma"/>
            <family val="2"/>
          </rPr>
          <t>Ingrid Malmgren:</t>
        </r>
        <r>
          <rPr>
            <sz val="9"/>
            <color indexed="81"/>
            <rFont val="Tahoma"/>
            <family val="2"/>
          </rPr>
          <t xml:space="preserve">
from spreadsheet from Joe Loper at ITRON 2017-2018 Medium Socket screw-in lamp LED (replacing halogen)</t>
        </r>
      </text>
    </comment>
    <comment ref="X7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7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79" authorId="0">
      <text>
        <r>
          <rPr>
            <b/>
            <sz val="9"/>
            <color indexed="81"/>
            <rFont val="Tahoma"/>
            <family val="2"/>
          </rPr>
          <t>Ingrid Malmgren:</t>
        </r>
        <r>
          <rPr>
            <sz val="9"/>
            <color indexed="81"/>
            <rFont val="Tahoma"/>
            <family val="2"/>
          </rPr>
          <t xml:space="preserve">
Not included in prescriptive
programs</t>
        </r>
      </text>
    </comment>
    <comment ref="AQ7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79" authorId="0">
      <text>
        <r>
          <rPr>
            <b/>
            <sz val="9"/>
            <color indexed="81"/>
            <rFont val="Tahoma"/>
            <family val="2"/>
          </rPr>
          <t>Ingrid Malmgren:</t>
        </r>
        <r>
          <rPr>
            <sz val="9"/>
            <color indexed="81"/>
            <rFont val="Tahoma"/>
            <family val="2"/>
          </rPr>
          <t xml:space="preserve">
from Table 1-2</t>
        </r>
      </text>
    </comment>
    <comment ref="AU79"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7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79" authorId="0">
      <text>
        <r>
          <rPr>
            <b/>
            <sz val="9"/>
            <color indexed="81"/>
            <rFont val="Tahoma"/>
            <family val="2"/>
          </rPr>
          <t>Ingrid Malmgren:</t>
        </r>
        <r>
          <rPr>
            <sz val="9"/>
            <color indexed="81"/>
            <rFont val="Tahoma"/>
            <family val="2"/>
          </rPr>
          <t xml:space="preserve">
from spreadsheet from Joe Loper at ITRON 2017-2018 Medium Socket screw-in lamp LED (replacing halogen)</t>
        </r>
      </text>
    </comment>
    <comment ref="X8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8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80" authorId="0">
      <text>
        <r>
          <rPr>
            <b/>
            <sz val="9"/>
            <color indexed="81"/>
            <rFont val="Tahoma"/>
            <family val="2"/>
          </rPr>
          <t>Ingrid Malmgren:</t>
        </r>
        <r>
          <rPr>
            <sz val="9"/>
            <color indexed="81"/>
            <rFont val="Tahoma"/>
            <family val="2"/>
          </rPr>
          <t xml:space="preserve">
Not included in prescriptive
programs</t>
        </r>
      </text>
    </comment>
    <comment ref="AQ8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80" authorId="0">
      <text>
        <r>
          <rPr>
            <b/>
            <sz val="9"/>
            <color indexed="81"/>
            <rFont val="Tahoma"/>
            <family val="2"/>
          </rPr>
          <t>Ingrid Malmgren:</t>
        </r>
        <r>
          <rPr>
            <sz val="9"/>
            <color indexed="81"/>
            <rFont val="Tahoma"/>
            <family val="2"/>
          </rPr>
          <t xml:space="preserve">
from Table 1-2</t>
        </r>
      </text>
    </comment>
    <comment ref="AU80"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8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80" authorId="0">
      <text>
        <r>
          <rPr>
            <b/>
            <sz val="9"/>
            <color indexed="81"/>
            <rFont val="Tahoma"/>
            <family val="2"/>
          </rPr>
          <t>Ingrid Malmgren:</t>
        </r>
        <r>
          <rPr>
            <sz val="9"/>
            <color indexed="81"/>
            <rFont val="Tahoma"/>
            <family val="2"/>
          </rPr>
          <t xml:space="preserve">
from spreadsheet from Joe Loper at ITRON 2017-2018 Medium Socket screw-in lamp LED (replacing halogen)</t>
        </r>
      </text>
    </comment>
    <comment ref="X8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8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81" authorId="0">
      <text>
        <r>
          <rPr>
            <b/>
            <sz val="9"/>
            <color indexed="81"/>
            <rFont val="Tahoma"/>
            <family val="2"/>
          </rPr>
          <t>Ingrid Malmgren:</t>
        </r>
        <r>
          <rPr>
            <sz val="9"/>
            <color indexed="81"/>
            <rFont val="Tahoma"/>
            <family val="2"/>
          </rPr>
          <t xml:space="preserve">
Not included in prescriptive
programs</t>
        </r>
      </text>
    </comment>
    <comment ref="AQ8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81" authorId="0">
      <text>
        <r>
          <rPr>
            <b/>
            <sz val="9"/>
            <color indexed="81"/>
            <rFont val="Tahoma"/>
            <family val="2"/>
          </rPr>
          <t>Ingrid Malmgren:</t>
        </r>
        <r>
          <rPr>
            <sz val="9"/>
            <color indexed="81"/>
            <rFont val="Tahoma"/>
            <family val="2"/>
          </rPr>
          <t xml:space="preserve">
from Table 1-2</t>
        </r>
      </text>
    </comment>
    <comment ref="AU81"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8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8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8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82" authorId="0">
      <text>
        <r>
          <rPr>
            <b/>
            <sz val="9"/>
            <color indexed="81"/>
            <rFont val="Tahoma"/>
            <family val="2"/>
          </rPr>
          <t>Ingrid Malmgren:</t>
        </r>
        <r>
          <rPr>
            <sz val="9"/>
            <color indexed="81"/>
            <rFont val="Tahoma"/>
            <family val="2"/>
          </rPr>
          <t xml:space="preserve">
Not included in prescriptive
programs</t>
        </r>
      </text>
    </comment>
    <comment ref="AQ8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82" authorId="0">
      <text>
        <r>
          <rPr>
            <b/>
            <sz val="9"/>
            <color indexed="81"/>
            <rFont val="Tahoma"/>
            <family val="2"/>
          </rPr>
          <t>Ingrid Malmgren:</t>
        </r>
        <r>
          <rPr>
            <sz val="9"/>
            <color indexed="81"/>
            <rFont val="Tahoma"/>
            <family val="2"/>
          </rPr>
          <t xml:space="preserve">
from Table 1-2</t>
        </r>
      </text>
    </comment>
    <comment ref="AU82"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8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8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8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83" authorId="0">
      <text>
        <r>
          <rPr>
            <b/>
            <sz val="9"/>
            <color indexed="81"/>
            <rFont val="Tahoma"/>
            <family val="2"/>
          </rPr>
          <t>Ingrid Malmgren:</t>
        </r>
        <r>
          <rPr>
            <sz val="9"/>
            <color indexed="81"/>
            <rFont val="Tahoma"/>
            <family val="2"/>
          </rPr>
          <t xml:space="preserve">
Not included in prescriptive
programs</t>
        </r>
      </text>
    </comment>
    <comment ref="AQ8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83" authorId="0">
      <text>
        <r>
          <rPr>
            <b/>
            <sz val="9"/>
            <color indexed="81"/>
            <rFont val="Tahoma"/>
            <family val="2"/>
          </rPr>
          <t>Ingrid Malmgren:</t>
        </r>
        <r>
          <rPr>
            <sz val="9"/>
            <color indexed="81"/>
            <rFont val="Tahoma"/>
            <family val="2"/>
          </rPr>
          <t xml:space="preserve">
from Table 1-2</t>
        </r>
      </text>
    </comment>
    <comment ref="AU83"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8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8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8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84" authorId="0">
      <text>
        <r>
          <rPr>
            <b/>
            <sz val="9"/>
            <color indexed="81"/>
            <rFont val="Tahoma"/>
            <family val="2"/>
          </rPr>
          <t>Ingrid Malmgren:</t>
        </r>
        <r>
          <rPr>
            <sz val="9"/>
            <color indexed="81"/>
            <rFont val="Tahoma"/>
            <family val="2"/>
          </rPr>
          <t xml:space="preserve">
Not included in prescriptive
programs</t>
        </r>
      </text>
    </comment>
    <comment ref="AQ8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84" authorId="0">
      <text>
        <r>
          <rPr>
            <b/>
            <sz val="9"/>
            <color indexed="81"/>
            <rFont val="Tahoma"/>
            <family val="2"/>
          </rPr>
          <t>Ingrid Malmgren:</t>
        </r>
        <r>
          <rPr>
            <sz val="9"/>
            <color indexed="81"/>
            <rFont val="Tahoma"/>
            <family val="2"/>
          </rPr>
          <t xml:space="preserve">
from Table 1-2</t>
        </r>
      </text>
    </comment>
    <comment ref="AU84"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8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84" authorId="0">
      <text>
        <r>
          <rPr>
            <b/>
            <sz val="9"/>
            <color indexed="81"/>
            <rFont val="Tahoma"/>
            <family val="2"/>
          </rPr>
          <t>Ingrid Malmgren:</t>
        </r>
        <r>
          <rPr>
            <sz val="9"/>
            <color indexed="81"/>
            <rFont val="Tahoma"/>
            <family val="2"/>
          </rPr>
          <t xml:space="preserve">
rom spreadsheet from Joe Loper at ITRON 2017-2019 High Bay (replacing metal Halide)</t>
        </r>
      </text>
    </comment>
    <comment ref="X8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8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85" authorId="0">
      <text>
        <r>
          <rPr>
            <b/>
            <sz val="9"/>
            <color indexed="81"/>
            <rFont val="Tahoma"/>
            <family val="2"/>
          </rPr>
          <t>Ingrid Malmgren:</t>
        </r>
        <r>
          <rPr>
            <sz val="9"/>
            <color indexed="81"/>
            <rFont val="Tahoma"/>
            <family val="2"/>
          </rPr>
          <t xml:space="preserve">
Not included in prescriptive
programs</t>
        </r>
      </text>
    </comment>
    <comment ref="AQ8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85" authorId="0">
      <text>
        <r>
          <rPr>
            <b/>
            <sz val="9"/>
            <color indexed="81"/>
            <rFont val="Tahoma"/>
            <family val="2"/>
          </rPr>
          <t>Ingrid Malmgren:</t>
        </r>
        <r>
          <rPr>
            <sz val="9"/>
            <color indexed="81"/>
            <rFont val="Tahoma"/>
            <family val="2"/>
          </rPr>
          <t xml:space="preserve">
from Table 1-2</t>
        </r>
      </text>
    </comment>
    <comment ref="AU85"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8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85" authorId="0">
      <text>
        <r>
          <rPr>
            <b/>
            <sz val="9"/>
            <color indexed="81"/>
            <rFont val="Tahoma"/>
            <family val="2"/>
          </rPr>
          <t>Ingrid Malmgren:</t>
        </r>
        <r>
          <rPr>
            <sz val="9"/>
            <color indexed="81"/>
            <rFont val="Tahoma"/>
            <family val="2"/>
          </rPr>
          <t xml:space="preserve">
rom spreadsheet from Joe Loper at ITRON 2017-2019 High Bay (replacing metal Halide)</t>
        </r>
      </text>
    </comment>
    <comment ref="X8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8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86" authorId="0">
      <text>
        <r>
          <rPr>
            <b/>
            <sz val="9"/>
            <color indexed="81"/>
            <rFont val="Tahoma"/>
            <family val="2"/>
          </rPr>
          <t>Ingrid Malmgren:</t>
        </r>
        <r>
          <rPr>
            <sz val="9"/>
            <color indexed="81"/>
            <rFont val="Tahoma"/>
            <family val="2"/>
          </rPr>
          <t xml:space="preserve">
Not included in prescriptive
programs</t>
        </r>
      </text>
    </comment>
    <comment ref="AQ8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86" authorId="0">
      <text>
        <r>
          <rPr>
            <b/>
            <sz val="9"/>
            <color indexed="81"/>
            <rFont val="Tahoma"/>
            <family val="2"/>
          </rPr>
          <t>Ingrid Malmgren:</t>
        </r>
        <r>
          <rPr>
            <sz val="9"/>
            <color indexed="81"/>
            <rFont val="Tahoma"/>
            <family val="2"/>
          </rPr>
          <t xml:space="preserve">
from Table 1-2</t>
        </r>
      </text>
    </comment>
    <comment ref="AU86"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8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86" authorId="0">
      <text>
        <r>
          <rPr>
            <b/>
            <sz val="9"/>
            <color indexed="81"/>
            <rFont val="Tahoma"/>
            <family val="2"/>
          </rPr>
          <t>Ingrid Malmgren:</t>
        </r>
        <r>
          <rPr>
            <sz val="9"/>
            <color indexed="81"/>
            <rFont val="Tahoma"/>
            <family val="2"/>
          </rPr>
          <t xml:space="preserve">
rom spreadsheet from Joe Loper at ITRON 2017-2019 High Bay (replacing metal Halide)</t>
        </r>
      </text>
    </comment>
    <comment ref="X8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8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87" authorId="0">
      <text>
        <r>
          <rPr>
            <b/>
            <sz val="9"/>
            <color indexed="81"/>
            <rFont val="Tahoma"/>
            <family val="2"/>
          </rPr>
          <t>Ingrid Malmgren:</t>
        </r>
        <r>
          <rPr>
            <sz val="9"/>
            <color indexed="81"/>
            <rFont val="Tahoma"/>
            <family val="2"/>
          </rPr>
          <t xml:space="preserve">
Not included in prescriptive
programs</t>
        </r>
      </text>
    </comment>
    <comment ref="AQ8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87" authorId="0">
      <text>
        <r>
          <rPr>
            <b/>
            <sz val="9"/>
            <color indexed="81"/>
            <rFont val="Tahoma"/>
            <family val="2"/>
          </rPr>
          <t>Ingrid Malmgren:</t>
        </r>
        <r>
          <rPr>
            <sz val="9"/>
            <color indexed="81"/>
            <rFont val="Tahoma"/>
            <family val="2"/>
          </rPr>
          <t xml:space="preserve">
from Table 1-2</t>
        </r>
      </text>
    </comment>
    <comment ref="AU87"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8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87" authorId="0">
      <text>
        <r>
          <rPr>
            <b/>
            <sz val="9"/>
            <color indexed="81"/>
            <rFont val="Tahoma"/>
            <family val="2"/>
          </rPr>
          <t>Ingrid Malmgren:</t>
        </r>
        <r>
          <rPr>
            <sz val="9"/>
            <color indexed="81"/>
            <rFont val="Tahoma"/>
            <family val="2"/>
          </rPr>
          <t xml:space="preserve">
rom spreadsheet from Joe Loper at ITRON 2017-2019 High Bay (replacing metal Halide)</t>
        </r>
      </text>
    </comment>
    <comment ref="X8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8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88" authorId="0">
      <text>
        <r>
          <rPr>
            <b/>
            <sz val="9"/>
            <color indexed="81"/>
            <rFont val="Tahoma"/>
            <family val="2"/>
          </rPr>
          <t>Ingrid Malmgren:</t>
        </r>
        <r>
          <rPr>
            <sz val="9"/>
            <color indexed="81"/>
            <rFont val="Tahoma"/>
            <family val="2"/>
          </rPr>
          <t xml:space="preserve">
Not included in prescriptive
programs</t>
        </r>
      </text>
    </comment>
    <comment ref="AQ8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88" authorId="0">
      <text>
        <r>
          <rPr>
            <b/>
            <sz val="9"/>
            <color indexed="81"/>
            <rFont val="Tahoma"/>
            <family val="2"/>
          </rPr>
          <t>Ingrid Malmgren:</t>
        </r>
        <r>
          <rPr>
            <sz val="9"/>
            <color indexed="81"/>
            <rFont val="Tahoma"/>
            <family val="2"/>
          </rPr>
          <t xml:space="preserve">
from Table 1-2</t>
        </r>
      </text>
    </comment>
    <comment ref="AU88"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8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88" authorId="0">
      <text>
        <r>
          <rPr>
            <b/>
            <sz val="9"/>
            <color indexed="81"/>
            <rFont val="Tahoma"/>
            <family val="2"/>
          </rPr>
          <t>Ingrid Malmgren:</t>
        </r>
        <r>
          <rPr>
            <sz val="9"/>
            <color indexed="81"/>
            <rFont val="Tahoma"/>
            <family val="2"/>
          </rPr>
          <t xml:space="preserve">
from spreadsheet from Joe Loper at ITRON 2017-2019 High Bay (replacing metal Halide)</t>
        </r>
      </text>
    </comment>
    <comment ref="X8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8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89" authorId="0">
      <text>
        <r>
          <rPr>
            <b/>
            <sz val="9"/>
            <color indexed="81"/>
            <rFont val="Tahoma"/>
            <family val="2"/>
          </rPr>
          <t>Ingrid Malmgren:</t>
        </r>
        <r>
          <rPr>
            <sz val="9"/>
            <color indexed="81"/>
            <rFont val="Tahoma"/>
            <family val="2"/>
          </rPr>
          <t xml:space="preserve">
Not included in prescriptive
programs</t>
        </r>
      </text>
    </comment>
    <comment ref="AQ8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89" authorId="0">
      <text>
        <r>
          <rPr>
            <b/>
            <sz val="9"/>
            <color indexed="81"/>
            <rFont val="Tahoma"/>
            <family val="2"/>
          </rPr>
          <t>Ingrid Malmgren:</t>
        </r>
        <r>
          <rPr>
            <sz val="9"/>
            <color indexed="81"/>
            <rFont val="Tahoma"/>
            <family val="2"/>
          </rPr>
          <t xml:space="preserve">
from Table 1-2</t>
        </r>
      </text>
    </comment>
    <comment ref="AU89"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8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9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9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90" authorId="0">
      <text>
        <r>
          <rPr>
            <b/>
            <sz val="9"/>
            <color indexed="81"/>
            <rFont val="Tahoma"/>
            <family val="2"/>
          </rPr>
          <t>Ingrid Malmgren:</t>
        </r>
        <r>
          <rPr>
            <sz val="9"/>
            <color indexed="81"/>
            <rFont val="Tahoma"/>
            <family val="2"/>
          </rPr>
          <t xml:space="preserve">
Not included in prescriptive
programs</t>
        </r>
      </text>
    </comment>
    <comment ref="AQ9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90" authorId="0">
      <text>
        <r>
          <rPr>
            <b/>
            <sz val="9"/>
            <color indexed="81"/>
            <rFont val="Tahoma"/>
            <family val="2"/>
          </rPr>
          <t>Ingrid Malmgren:</t>
        </r>
        <r>
          <rPr>
            <sz val="9"/>
            <color indexed="81"/>
            <rFont val="Tahoma"/>
            <family val="2"/>
          </rPr>
          <t xml:space="preserve">
from Table 1-2</t>
        </r>
      </text>
    </comment>
    <comment ref="AU90"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9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9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9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91" authorId="0">
      <text>
        <r>
          <rPr>
            <b/>
            <sz val="9"/>
            <color indexed="81"/>
            <rFont val="Tahoma"/>
            <family val="2"/>
          </rPr>
          <t>Ingrid Malmgren:</t>
        </r>
        <r>
          <rPr>
            <sz val="9"/>
            <color indexed="81"/>
            <rFont val="Tahoma"/>
            <family val="2"/>
          </rPr>
          <t xml:space="preserve">
Not included in prescriptive
programs</t>
        </r>
      </text>
    </comment>
    <comment ref="AQ9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91" authorId="0">
      <text>
        <r>
          <rPr>
            <b/>
            <sz val="9"/>
            <color indexed="81"/>
            <rFont val="Tahoma"/>
            <family val="2"/>
          </rPr>
          <t>Ingrid Malmgren:</t>
        </r>
        <r>
          <rPr>
            <sz val="9"/>
            <color indexed="81"/>
            <rFont val="Tahoma"/>
            <family val="2"/>
          </rPr>
          <t xml:space="preserve">
from Table 1-2</t>
        </r>
      </text>
    </comment>
    <comment ref="AU91"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9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9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9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92" authorId="0">
      <text>
        <r>
          <rPr>
            <b/>
            <sz val="9"/>
            <color indexed="81"/>
            <rFont val="Tahoma"/>
            <family val="2"/>
          </rPr>
          <t>Ingrid Malmgren:</t>
        </r>
        <r>
          <rPr>
            <sz val="9"/>
            <color indexed="81"/>
            <rFont val="Tahoma"/>
            <family val="2"/>
          </rPr>
          <t xml:space="preserve">
Not included in prescriptive
programs</t>
        </r>
      </text>
    </comment>
    <comment ref="AQ9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92" authorId="0">
      <text>
        <r>
          <rPr>
            <b/>
            <sz val="9"/>
            <color indexed="81"/>
            <rFont val="Tahoma"/>
            <family val="2"/>
          </rPr>
          <t>Ingrid Malmgren:</t>
        </r>
        <r>
          <rPr>
            <sz val="9"/>
            <color indexed="81"/>
            <rFont val="Tahoma"/>
            <family val="2"/>
          </rPr>
          <t xml:space="preserve">
from Table 1-2</t>
        </r>
      </text>
    </comment>
    <comment ref="AU92"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9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9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9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93" authorId="0">
      <text>
        <r>
          <rPr>
            <b/>
            <sz val="9"/>
            <color indexed="81"/>
            <rFont val="Tahoma"/>
            <family val="2"/>
          </rPr>
          <t>Ingrid Malmgren:</t>
        </r>
        <r>
          <rPr>
            <sz val="9"/>
            <color indexed="81"/>
            <rFont val="Tahoma"/>
            <family val="2"/>
          </rPr>
          <t xml:space="preserve">
Not included in prescriptive
programs</t>
        </r>
      </text>
    </comment>
    <comment ref="AQ9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93" authorId="0">
      <text>
        <r>
          <rPr>
            <b/>
            <sz val="9"/>
            <color indexed="81"/>
            <rFont val="Tahoma"/>
            <family val="2"/>
          </rPr>
          <t>Ingrid Malmgren:</t>
        </r>
        <r>
          <rPr>
            <sz val="9"/>
            <color indexed="81"/>
            <rFont val="Tahoma"/>
            <family val="2"/>
          </rPr>
          <t xml:space="preserve">
from Table 1-2</t>
        </r>
      </text>
    </comment>
    <comment ref="AU93"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9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93" authorId="0">
      <text>
        <r>
          <rPr>
            <b/>
            <sz val="9"/>
            <color indexed="81"/>
            <rFont val="Tahoma"/>
            <family val="2"/>
          </rPr>
          <t>Ingrid Malmgren:</t>
        </r>
        <r>
          <rPr>
            <sz val="9"/>
            <color indexed="81"/>
            <rFont val="Tahoma"/>
            <family val="2"/>
          </rPr>
          <t xml:space="preserve">
from spreadsheet from Joe Loper at ITRON 2017-2019 linear LED (replacing T8)</t>
        </r>
      </text>
    </comment>
    <comment ref="X9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9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94" authorId="0">
      <text>
        <r>
          <rPr>
            <b/>
            <sz val="9"/>
            <color indexed="81"/>
            <rFont val="Tahoma"/>
            <family val="2"/>
          </rPr>
          <t>Ingrid Malmgren:</t>
        </r>
        <r>
          <rPr>
            <sz val="9"/>
            <color indexed="81"/>
            <rFont val="Tahoma"/>
            <family val="2"/>
          </rPr>
          <t xml:space="preserve">
Not included in prescriptive
programs</t>
        </r>
      </text>
    </comment>
    <comment ref="AQ9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94" authorId="0">
      <text>
        <r>
          <rPr>
            <b/>
            <sz val="9"/>
            <color indexed="81"/>
            <rFont val="Tahoma"/>
            <family val="2"/>
          </rPr>
          <t>Ingrid Malmgren:</t>
        </r>
        <r>
          <rPr>
            <sz val="9"/>
            <color indexed="81"/>
            <rFont val="Tahoma"/>
            <family val="2"/>
          </rPr>
          <t xml:space="preserve">
from Table 1-2</t>
        </r>
      </text>
    </comment>
    <comment ref="AU94"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9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94" authorId="0">
      <text>
        <r>
          <rPr>
            <b/>
            <sz val="9"/>
            <color indexed="81"/>
            <rFont val="Tahoma"/>
            <family val="2"/>
          </rPr>
          <t>Ingrid Malmgren:</t>
        </r>
        <r>
          <rPr>
            <sz val="9"/>
            <color indexed="81"/>
            <rFont val="Tahoma"/>
            <family val="2"/>
          </rPr>
          <t xml:space="preserve">
from spreadsheet from Joe Loper at ITRON 2017-2019 linear LED (replacing T8)</t>
        </r>
      </text>
    </comment>
    <comment ref="X9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9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95" authorId="0">
      <text>
        <r>
          <rPr>
            <b/>
            <sz val="9"/>
            <color indexed="81"/>
            <rFont val="Tahoma"/>
            <family val="2"/>
          </rPr>
          <t>Ingrid Malmgren:</t>
        </r>
        <r>
          <rPr>
            <sz val="9"/>
            <color indexed="81"/>
            <rFont val="Tahoma"/>
            <family val="2"/>
          </rPr>
          <t xml:space="preserve">
Not included in prescriptive
programs</t>
        </r>
      </text>
    </comment>
    <comment ref="AQ9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95" authorId="0">
      <text>
        <r>
          <rPr>
            <b/>
            <sz val="9"/>
            <color indexed="81"/>
            <rFont val="Tahoma"/>
            <family val="2"/>
          </rPr>
          <t>Ingrid Malmgren:</t>
        </r>
        <r>
          <rPr>
            <sz val="9"/>
            <color indexed="81"/>
            <rFont val="Tahoma"/>
            <family val="2"/>
          </rPr>
          <t xml:space="preserve">
from Table 1-2</t>
        </r>
      </text>
    </comment>
    <comment ref="AU95"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9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95" authorId="0">
      <text>
        <r>
          <rPr>
            <b/>
            <sz val="9"/>
            <color indexed="81"/>
            <rFont val="Tahoma"/>
            <family val="2"/>
          </rPr>
          <t>Ingrid Malmgren:</t>
        </r>
        <r>
          <rPr>
            <sz val="9"/>
            <color indexed="81"/>
            <rFont val="Tahoma"/>
            <family val="2"/>
          </rPr>
          <t xml:space="preserve">
from spreadsheet from Joe Loper at ITRON 2017-2019 linear LED (replacing T8)</t>
        </r>
      </text>
    </comment>
    <comment ref="X9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9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96" authorId="0">
      <text>
        <r>
          <rPr>
            <b/>
            <sz val="9"/>
            <color indexed="81"/>
            <rFont val="Tahoma"/>
            <family val="2"/>
          </rPr>
          <t>Ingrid Malmgren:</t>
        </r>
        <r>
          <rPr>
            <sz val="9"/>
            <color indexed="81"/>
            <rFont val="Tahoma"/>
            <family val="2"/>
          </rPr>
          <t xml:space="preserve">
Not included in prescriptive
programs</t>
        </r>
      </text>
    </comment>
    <comment ref="AQ9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96" authorId="0">
      <text>
        <r>
          <rPr>
            <b/>
            <sz val="9"/>
            <color indexed="81"/>
            <rFont val="Tahoma"/>
            <family val="2"/>
          </rPr>
          <t>Ingrid Malmgren:</t>
        </r>
        <r>
          <rPr>
            <sz val="9"/>
            <color indexed="81"/>
            <rFont val="Tahoma"/>
            <family val="2"/>
          </rPr>
          <t xml:space="preserve">
from Table 1-2</t>
        </r>
      </text>
    </comment>
    <comment ref="AU96"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9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96" authorId="0">
      <text>
        <r>
          <rPr>
            <b/>
            <sz val="9"/>
            <color indexed="81"/>
            <rFont val="Tahoma"/>
            <family val="2"/>
          </rPr>
          <t>Ingrid Malmgren:</t>
        </r>
        <r>
          <rPr>
            <sz val="9"/>
            <color indexed="81"/>
            <rFont val="Tahoma"/>
            <family val="2"/>
          </rPr>
          <t xml:space="preserve">
from spreadsheet from Joe Loper at ITRON 2017-2019 linear LED (replacing T8)</t>
        </r>
      </text>
    </comment>
    <comment ref="X9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9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97" authorId="0">
      <text>
        <r>
          <rPr>
            <b/>
            <sz val="9"/>
            <color indexed="81"/>
            <rFont val="Tahoma"/>
            <family val="2"/>
          </rPr>
          <t>Ingrid Malmgren:</t>
        </r>
        <r>
          <rPr>
            <sz val="9"/>
            <color indexed="81"/>
            <rFont val="Tahoma"/>
            <family val="2"/>
          </rPr>
          <t xml:space="preserve">
Not included in prescriptive
programs</t>
        </r>
      </text>
    </comment>
    <comment ref="AQ9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97" authorId="0">
      <text>
        <r>
          <rPr>
            <b/>
            <sz val="9"/>
            <color indexed="81"/>
            <rFont val="Tahoma"/>
            <family val="2"/>
          </rPr>
          <t>Ingrid Malmgren:</t>
        </r>
        <r>
          <rPr>
            <sz val="9"/>
            <color indexed="81"/>
            <rFont val="Tahoma"/>
            <family val="2"/>
          </rPr>
          <t xml:space="preserve">
from Table 1-2</t>
        </r>
      </text>
    </comment>
    <comment ref="AU97"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9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97" authorId="0">
      <text>
        <r>
          <rPr>
            <b/>
            <sz val="9"/>
            <color indexed="81"/>
            <rFont val="Tahoma"/>
            <family val="2"/>
          </rPr>
          <t>Ingrid Malmgren:</t>
        </r>
        <r>
          <rPr>
            <sz val="9"/>
            <color indexed="81"/>
            <rFont val="Tahoma"/>
            <family val="2"/>
          </rPr>
          <t xml:space="preserve">
from spreadsheet from Joe Loper at ITRON 2017-2019 linear LED (replacing T8)</t>
        </r>
      </text>
    </comment>
    <comment ref="X9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9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98" authorId="0">
      <text>
        <r>
          <rPr>
            <b/>
            <sz val="9"/>
            <color indexed="81"/>
            <rFont val="Tahoma"/>
            <family val="2"/>
          </rPr>
          <t>Ingrid Malmgren:</t>
        </r>
        <r>
          <rPr>
            <sz val="9"/>
            <color indexed="81"/>
            <rFont val="Tahoma"/>
            <family val="2"/>
          </rPr>
          <t xml:space="preserve">
Not included in prescriptive
programs</t>
        </r>
      </text>
    </comment>
    <comment ref="AQ9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98" authorId="0">
      <text>
        <r>
          <rPr>
            <b/>
            <sz val="9"/>
            <color indexed="81"/>
            <rFont val="Tahoma"/>
            <family val="2"/>
          </rPr>
          <t>Ingrid Malmgren:</t>
        </r>
        <r>
          <rPr>
            <sz val="9"/>
            <color indexed="81"/>
            <rFont val="Tahoma"/>
            <family val="2"/>
          </rPr>
          <t xml:space="preserve">
from Table 1-2</t>
        </r>
      </text>
    </comment>
    <comment ref="AU98"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9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98" authorId="0">
      <text>
        <r>
          <rPr>
            <b/>
            <sz val="9"/>
            <color indexed="81"/>
            <rFont val="Tahoma"/>
            <family val="2"/>
          </rPr>
          <t>Ingrid Malmgren:</t>
        </r>
        <r>
          <rPr>
            <sz val="9"/>
            <color indexed="81"/>
            <rFont val="Tahoma"/>
            <family val="2"/>
          </rPr>
          <t xml:space="preserve">
from spreadsheet from Joe Loper at ITRON 2017-2019 lOutdoor pole arm lights LED (replacing Metal Halide)</t>
        </r>
      </text>
    </comment>
    <comment ref="X9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9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99" authorId="0">
      <text>
        <r>
          <rPr>
            <b/>
            <sz val="9"/>
            <color indexed="81"/>
            <rFont val="Tahoma"/>
            <family val="2"/>
          </rPr>
          <t>Ingrid Malmgren:</t>
        </r>
        <r>
          <rPr>
            <sz val="9"/>
            <color indexed="81"/>
            <rFont val="Tahoma"/>
            <family val="2"/>
          </rPr>
          <t xml:space="preserve">
Not included in prescriptive
programs</t>
        </r>
      </text>
    </comment>
    <comment ref="AQ9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99" authorId="0">
      <text>
        <r>
          <rPr>
            <b/>
            <sz val="9"/>
            <color indexed="81"/>
            <rFont val="Tahoma"/>
            <family val="2"/>
          </rPr>
          <t>Ingrid Malmgren:</t>
        </r>
        <r>
          <rPr>
            <sz val="9"/>
            <color indexed="81"/>
            <rFont val="Tahoma"/>
            <family val="2"/>
          </rPr>
          <t xml:space="preserve">
from Table 1-2</t>
        </r>
      </text>
    </comment>
    <comment ref="AU99"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9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99" authorId="0">
      <text>
        <r>
          <rPr>
            <b/>
            <sz val="9"/>
            <color indexed="81"/>
            <rFont val="Tahoma"/>
            <family val="2"/>
          </rPr>
          <t>Ingrid Malmgren:</t>
        </r>
        <r>
          <rPr>
            <sz val="9"/>
            <color indexed="81"/>
            <rFont val="Tahoma"/>
            <family val="2"/>
          </rPr>
          <t xml:space="preserve">
from spreadsheet from Joe Loper at ITRON 2017-2019 lOutdoor pole arm lights LED (replacing Metal Halide)</t>
        </r>
      </text>
    </comment>
    <comment ref="B100" authorId="0">
      <text>
        <r>
          <rPr>
            <b/>
            <sz val="9"/>
            <color indexed="81"/>
            <rFont val="Tahoma"/>
            <family val="2"/>
          </rPr>
          <t>Ingrid Malmgren:</t>
        </r>
        <r>
          <rPr>
            <sz val="9"/>
            <color indexed="81"/>
            <rFont val="Tahoma"/>
            <family val="2"/>
          </rPr>
          <t xml:space="preserve">
Would end of life or lost opportunitiy impact NEIs or just baseline and energy savings?
</t>
        </r>
      </text>
    </comment>
    <comment ref="X10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0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00" authorId="0">
      <text>
        <r>
          <rPr>
            <b/>
            <sz val="9"/>
            <color indexed="81"/>
            <rFont val="Tahoma"/>
            <family val="2"/>
          </rPr>
          <t>Ingrid Malmgren:</t>
        </r>
        <r>
          <rPr>
            <sz val="9"/>
            <color indexed="81"/>
            <rFont val="Tahoma"/>
            <family val="2"/>
          </rPr>
          <t xml:space="preserve">
Not included in prescriptive
programs</t>
        </r>
      </text>
    </comment>
    <comment ref="AQ10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00" authorId="0">
      <text>
        <r>
          <rPr>
            <b/>
            <sz val="9"/>
            <color indexed="81"/>
            <rFont val="Tahoma"/>
            <family val="2"/>
          </rPr>
          <t>Ingrid Malmgren:</t>
        </r>
        <r>
          <rPr>
            <sz val="9"/>
            <color indexed="81"/>
            <rFont val="Tahoma"/>
            <family val="2"/>
          </rPr>
          <t xml:space="preserve">
from Table 1-2</t>
        </r>
      </text>
    </comment>
    <comment ref="AU100"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10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100" authorId="0">
      <text>
        <r>
          <rPr>
            <b/>
            <sz val="9"/>
            <color indexed="81"/>
            <rFont val="Tahoma"/>
            <family val="2"/>
          </rPr>
          <t>Ingrid Malmgren:</t>
        </r>
        <r>
          <rPr>
            <sz val="9"/>
            <color indexed="81"/>
            <rFont val="Tahoma"/>
            <family val="2"/>
          </rPr>
          <t xml:space="preserve">
from spreadsheet from Joe Loper at ITRON 2017-2019 lOutdoor pole arm lights LED (replacing Metal Halide)</t>
        </r>
      </text>
    </comment>
    <comment ref="X10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0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01" authorId="0">
      <text>
        <r>
          <rPr>
            <b/>
            <sz val="9"/>
            <color indexed="81"/>
            <rFont val="Tahoma"/>
            <family val="2"/>
          </rPr>
          <t>Ingrid Malmgren:</t>
        </r>
        <r>
          <rPr>
            <sz val="9"/>
            <color indexed="81"/>
            <rFont val="Tahoma"/>
            <family val="2"/>
          </rPr>
          <t xml:space="preserve">
Not included in prescriptive
programs</t>
        </r>
      </text>
    </comment>
    <comment ref="AQ10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01" authorId="0">
      <text>
        <r>
          <rPr>
            <b/>
            <sz val="9"/>
            <color indexed="81"/>
            <rFont val="Tahoma"/>
            <family val="2"/>
          </rPr>
          <t>Ingrid Malmgren:</t>
        </r>
        <r>
          <rPr>
            <sz val="9"/>
            <color indexed="81"/>
            <rFont val="Tahoma"/>
            <family val="2"/>
          </rPr>
          <t xml:space="preserve">
from Table 1-2</t>
        </r>
      </text>
    </comment>
    <comment ref="AU101"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10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101" authorId="0">
      <text>
        <r>
          <rPr>
            <b/>
            <sz val="9"/>
            <color indexed="81"/>
            <rFont val="Tahoma"/>
            <family val="2"/>
          </rPr>
          <t>Ingrid Malmgren:</t>
        </r>
        <r>
          <rPr>
            <sz val="9"/>
            <color indexed="81"/>
            <rFont val="Tahoma"/>
            <family val="2"/>
          </rPr>
          <t xml:space="preserve">
from spreadsheet from Joe Loper at ITRON 2017-2019 lOutdoor pole arm lights LED (replacing Metal Halide)</t>
        </r>
      </text>
    </comment>
    <comment ref="X10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0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02" authorId="0">
      <text>
        <r>
          <rPr>
            <b/>
            <sz val="9"/>
            <color indexed="81"/>
            <rFont val="Tahoma"/>
            <family val="2"/>
          </rPr>
          <t>Ingrid Malmgren:</t>
        </r>
        <r>
          <rPr>
            <sz val="9"/>
            <color indexed="81"/>
            <rFont val="Tahoma"/>
            <family val="2"/>
          </rPr>
          <t xml:space="preserve">
Not included in prescriptive
programs</t>
        </r>
      </text>
    </comment>
    <comment ref="AQ10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02" authorId="0">
      <text>
        <r>
          <rPr>
            <b/>
            <sz val="9"/>
            <color indexed="81"/>
            <rFont val="Tahoma"/>
            <family val="2"/>
          </rPr>
          <t>Ingrid Malmgren:</t>
        </r>
        <r>
          <rPr>
            <sz val="9"/>
            <color indexed="81"/>
            <rFont val="Tahoma"/>
            <family val="2"/>
          </rPr>
          <t xml:space="preserve">
from Table 1-2</t>
        </r>
      </text>
    </comment>
    <comment ref="AU102"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10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102" authorId="0">
      <text>
        <r>
          <rPr>
            <b/>
            <sz val="9"/>
            <color indexed="81"/>
            <rFont val="Tahoma"/>
            <family val="2"/>
          </rPr>
          <t>Ingrid Malmgren:</t>
        </r>
        <r>
          <rPr>
            <sz val="9"/>
            <color indexed="81"/>
            <rFont val="Tahoma"/>
            <family val="2"/>
          </rPr>
          <t xml:space="preserve">
from spreadsheet from Joe Loper at ITRON 2017-2019 lOutdoor pole arm lights LED (replacing Metal Halide)</t>
        </r>
      </text>
    </comment>
    <comment ref="X10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0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03" authorId="0">
      <text>
        <r>
          <rPr>
            <b/>
            <sz val="9"/>
            <color indexed="81"/>
            <rFont val="Tahoma"/>
            <family val="2"/>
          </rPr>
          <t>Ingrid Malmgren:</t>
        </r>
        <r>
          <rPr>
            <sz val="9"/>
            <color indexed="81"/>
            <rFont val="Tahoma"/>
            <family val="2"/>
          </rPr>
          <t xml:space="preserve">
Not included in prescriptive
programs</t>
        </r>
      </text>
    </comment>
    <comment ref="AQ10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03" authorId="0">
      <text>
        <r>
          <rPr>
            <b/>
            <sz val="9"/>
            <color indexed="81"/>
            <rFont val="Tahoma"/>
            <family val="2"/>
          </rPr>
          <t>Ingrid Malmgren:</t>
        </r>
        <r>
          <rPr>
            <sz val="9"/>
            <color indexed="81"/>
            <rFont val="Tahoma"/>
            <family val="2"/>
          </rPr>
          <t xml:space="preserve">
from Table 1-2</t>
        </r>
      </text>
    </comment>
    <comment ref="AU103"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10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103" authorId="0">
      <text>
        <r>
          <rPr>
            <b/>
            <sz val="9"/>
            <color indexed="81"/>
            <rFont val="Tahoma"/>
            <family val="2"/>
          </rPr>
          <t>Ingrid Malmgren:</t>
        </r>
        <r>
          <rPr>
            <sz val="9"/>
            <color indexed="81"/>
            <rFont val="Tahoma"/>
            <family val="2"/>
          </rPr>
          <t xml:space="preserve">
from spreadsheet from Joe Loper at Itron NPV for 2017-2018</t>
        </r>
      </text>
    </comment>
    <comment ref="X10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0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04" authorId="0">
      <text>
        <r>
          <rPr>
            <b/>
            <sz val="9"/>
            <color indexed="81"/>
            <rFont val="Tahoma"/>
            <family val="2"/>
          </rPr>
          <t>Ingrid Malmgren:</t>
        </r>
        <r>
          <rPr>
            <sz val="9"/>
            <color indexed="81"/>
            <rFont val="Tahoma"/>
            <family val="2"/>
          </rPr>
          <t xml:space="preserve">
Not included in prescriptive
programs</t>
        </r>
      </text>
    </comment>
    <comment ref="AQ10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04" authorId="0">
      <text>
        <r>
          <rPr>
            <b/>
            <sz val="9"/>
            <color indexed="81"/>
            <rFont val="Tahoma"/>
            <family val="2"/>
          </rPr>
          <t>Ingrid Malmgren:</t>
        </r>
        <r>
          <rPr>
            <sz val="9"/>
            <color indexed="81"/>
            <rFont val="Tahoma"/>
            <family val="2"/>
          </rPr>
          <t xml:space="preserve">
from Table 1-2</t>
        </r>
      </text>
    </comment>
    <comment ref="AU104"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10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104" authorId="0">
      <text>
        <r>
          <rPr>
            <b/>
            <sz val="9"/>
            <color indexed="81"/>
            <rFont val="Tahoma"/>
            <family val="2"/>
          </rPr>
          <t>Ingrid Malmgren:</t>
        </r>
        <r>
          <rPr>
            <sz val="9"/>
            <color indexed="81"/>
            <rFont val="Tahoma"/>
            <family val="2"/>
          </rPr>
          <t xml:space="preserve">
from spreadsheet from Joe Loper at Itron NPV for 2017-2018</t>
        </r>
      </text>
    </comment>
    <comment ref="X10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0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05" authorId="0">
      <text>
        <r>
          <rPr>
            <b/>
            <sz val="9"/>
            <color indexed="81"/>
            <rFont val="Tahoma"/>
            <family val="2"/>
          </rPr>
          <t>Ingrid Malmgren:</t>
        </r>
        <r>
          <rPr>
            <sz val="9"/>
            <color indexed="81"/>
            <rFont val="Tahoma"/>
            <family val="2"/>
          </rPr>
          <t xml:space="preserve">
Not included in prescriptive
programs</t>
        </r>
      </text>
    </comment>
    <comment ref="AQ10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05" authorId="0">
      <text>
        <r>
          <rPr>
            <b/>
            <sz val="9"/>
            <color indexed="81"/>
            <rFont val="Tahoma"/>
            <family val="2"/>
          </rPr>
          <t>Ingrid Malmgren:</t>
        </r>
        <r>
          <rPr>
            <sz val="9"/>
            <color indexed="81"/>
            <rFont val="Tahoma"/>
            <family val="2"/>
          </rPr>
          <t xml:space="preserve">
from Table 1-2</t>
        </r>
      </text>
    </comment>
    <comment ref="AU105"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10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105" authorId="0">
      <text>
        <r>
          <rPr>
            <b/>
            <sz val="9"/>
            <color indexed="81"/>
            <rFont val="Tahoma"/>
            <family val="2"/>
          </rPr>
          <t>Ingrid Malmgren:</t>
        </r>
        <r>
          <rPr>
            <sz val="9"/>
            <color indexed="81"/>
            <rFont val="Tahoma"/>
            <family val="2"/>
          </rPr>
          <t xml:space="preserve">
from spreadsheet from Joe Loper at Itron NPV for 2017-2018</t>
        </r>
      </text>
    </comment>
    <comment ref="X10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0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06" authorId="0">
      <text>
        <r>
          <rPr>
            <b/>
            <sz val="9"/>
            <color indexed="81"/>
            <rFont val="Tahoma"/>
            <family val="2"/>
          </rPr>
          <t>Ingrid Malmgren:</t>
        </r>
        <r>
          <rPr>
            <sz val="9"/>
            <color indexed="81"/>
            <rFont val="Tahoma"/>
            <family val="2"/>
          </rPr>
          <t xml:space="preserve">
Not included in prescriptive
programs</t>
        </r>
      </text>
    </comment>
    <comment ref="AQ10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06" authorId="0">
      <text>
        <r>
          <rPr>
            <b/>
            <sz val="9"/>
            <color indexed="81"/>
            <rFont val="Tahoma"/>
            <family val="2"/>
          </rPr>
          <t>Ingrid Malmgren:</t>
        </r>
        <r>
          <rPr>
            <sz val="9"/>
            <color indexed="81"/>
            <rFont val="Tahoma"/>
            <family val="2"/>
          </rPr>
          <t xml:space="preserve">
from Table 1-2</t>
        </r>
      </text>
    </comment>
    <comment ref="AU106"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10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106" authorId="0">
      <text>
        <r>
          <rPr>
            <b/>
            <sz val="9"/>
            <color indexed="81"/>
            <rFont val="Tahoma"/>
            <family val="2"/>
          </rPr>
          <t>Ingrid Malmgren:</t>
        </r>
        <r>
          <rPr>
            <sz val="9"/>
            <color indexed="81"/>
            <rFont val="Tahoma"/>
            <family val="2"/>
          </rPr>
          <t xml:space="preserve">
from spreadsheet from Joe Loper at Itron NPV for 2017-2018</t>
        </r>
      </text>
    </comment>
    <comment ref="X10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0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07" authorId="0">
      <text>
        <r>
          <rPr>
            <b/>
            <sz val="9"/>
            <color indexed="81"/>
            <rFont val="Tahoma"/>
            <family val="2"/>
          </rPr>
          <t>Ingrid Malmgren:</t>
        </r>
        <r>
          <rPr>
            <sz val="9"/>
            <color indexed="81"/>
            <rFont val="Tahoma"/>
            <family val="2"/>
          </rPr>
          <t xml:space="preserve">
Not included in prescriptive
programs</t>
        </r>
      </text>
    </comment>
    <comment ref="AQ10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07" authorId="0">
      <text>
        <r>
          <rPr>
            <b/>
            <sz val="9"/>
            <color indexed="81"/>
            <rFont val="Tahoma"/>
            <family val="2"/>
          </rPr>
          <t>Ingrid Malmgren:</t>
        </r>
        <r>
          <rPr>
            <sz val="9"/>
            <color indexed="81"/>
            <rFont val="Tahoma"/>
            <family val="2"/>
          </rPr>
          <t xml:space="preserve">
from Table 1-2</t>
        </r>
      </text>
    </comment>
    <comment ref="AU107"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10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107" authorId="0">
      <text>
        <r>
          <rPr>
            <b/>
            <sz val="9"/>
            <color indexed="81"/>
            <rFont val="Tahoma"/>
            <family val="2"/>
          </rPr>
          <t>Ingrid Malmgren:</t>
        </r>
        <r>
          <rPr>
            <sz val="9"/>
            <color indexed="81"/>
            <rFont val="Tahoma"/>
            <family val="2"/>
          </rPr>
          <t xml:space="preserve">
from spreadsheet from Joe Loper at Itron NPV for 2017-2018</t>
        </r>
      </text>
    </comment>
    <comment ref="X10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0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08" authorId="0">
      <text>
        <r>
          <rPr>
            <b/>
            <sz val="9"/>
            <color indexed="81"/>
            <rFont val="Tahoma"/>
            <family val="2"/>
          </rPr>
          <t>Ingrid Malmgren:</t>
        </r>
        <r>
          <rPr>
            <sz val="9"/>
            <color indexed="81"/>
            <rFont val="Tahoma"/>
            <family val="2"/>
          </rPr>
          <t xml:space="preserve">
Not included in prescriptive
programs</t>
        </r>
      </text>
    </comment>
    <comment ref="AQ10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08" authorId="0">
      <text>
        <r>
          <rPr>
            <b/>
            <sz val="9"/>
            <color indexed="81"/>
            <rFont val="Tahoma"/>
            <family val="2"/>
          </rPr>
          <t>Ingrid Malmgren:</t>
        </r>
        <r>
          <rPr>
            <sz val="9"/>
            <color indexed="81"/>
            <rFont val="Tahoma"/>
            <family val="2"/>
          </rPr>
          <t xml:space="preserve">
from Table 1-2</t>
        </r>
      </text>
    </comment>
    <comment ref="AU108"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10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0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0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09" authorId="0">
      <text>
        <r>
          <rPr>
            <b/>
            <sz val="9"/>
            <color indexed="81"/>
            <rFont val="Tahoma"/>
            <family val="2"/>
          </rPr>
          <t>Ingrid Malmgren:</t>
        </r>
        <r>
          <rPr>
            <sz val="9"/>
            <color indexed="81"/>
            <rFont val="Tahoma"/>
            <family val="2"/>
          </rPr>
          <t xml:space="preserve">
Not included in prescriptive
programs</t>
        </r>
      </text>
    </comment>
    <comment ref="AQ10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09" authorId="0">
      <text>
        <r>
          <rPr>
            <b/>
            <sz val="9"/>
            <color indexed="81"/>
            <rFont val="Tahoma"/>
            <family val="2"/>
          </rPr>
          <t>Ingrid Malmgren:</t>
        </r>
        <r>
          <rPr>
            <sz val="9"/>
            <color indexed="81"/>
            <rFont val="Tahoma"/>
            <family val="2"/>
          </rPr>
          <t xml:space="preserve">
from Table 1-2</t>
        </r>
      </text>
    </comment>
    <comment ref="AU109"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10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1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1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10" authorId="0">
      <text>
        <r>
          <rPr>
            <b/>
            <sz val="9"/>
            <color indexed="81"/>
            <rFont val="Tahoma"/>
            <family val="2"/>
          </rPr>
          <t>Ingrid Malmgren:</t>
        </r>
        <r>
          <rPr>
            <sz val="9"/>
            <color indexed="81"/>
            <rFont val="Tahoma"/>
            <family val="2"/>
          </rPr>
          <t xml:space="preserve">
Not included in prescriptive
programs</t>
        </r>
      </text>
    </comment>
    <comment ref="AQ11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10" authorId="0">
      <text>
        <r>
          <rPr>
            <b/>
            <sz val="9"/>
            <color indexed="81"/>
            <rFont val="Tahoma"/>
            <family val="2"/>
          </rPr>
          <t>Ingrid Malmgren:</t>
        </r>
        <r>
          <rPr>
            <sz val="9"/>
            <color indexed="81"/>
            <rFont val="Tahoma"/>
            <family val="2"/>
          </rPr>
          <t xml:space="preserve">
from Table 1-2</t>
        </r>
      </text>
    </comment>
    <comment ref="AU110"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11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1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1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11" authorId="0">
      <text>
        <r>
          <rPr>
            <b/>
            <sz val="9"/>
            <color indexed="81"/>
            <rFont val="Tahoma"/>
            <family val="2"/>
          </rPr>
          <t>Ingrid Malmgren:</t>
        </r>
        <r>
          <rPr>
            <sz val="9"/>
            <color indexed="81"/>
            <rFont val="Tahoma"/>
            <family val="2"/>
          </rPr>
          <t xml:space="preserve">
Not included in prescriptive
programs</t>
        </r>
      </text>
    </comment>
    <comment ref="AQ11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11" authorId="0">
      <text>
        <r>
          <rPr>
            <b/>
            <sz val="9"/>
            <color indexed="81"/>
            <rFont val="Tahoma"/>
            <family val="2"/>
          </rPr>
          <t>Ingrid Malmgren:</t>
        </r>
        <r>
          <rPr>
            <sz val="9"/>
            <color indexed="81"/>
            <rFont val="Tahoma"/>
            <family val="2"/>
          </rPr>
          <t xml:space="preserve">
from Table 1-2</t>
        </r>
      </text>
    </comment>
    <comment ref="AU111"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11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1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1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12" authorId="0">
      <text>
        <r>
          <rPr>
            <b/>
            <sz val="9"/>
            <color indexed="81"/>
            <rFont val="Tahoma"/>
            <family val="2"/>
          </rPr>
          <t>Ingrid Malmgren:</t>
        </r>
        <r>
          <rPr>
            <sz val="9"/>
            <color indexed="81"/>
            <rFont val="Tahoma"/>
            <family val="2"/>
          </rPr>
          <t xml:space="preserve">
Not included in prescriptive
programs</t>
        </r>
      </text>
    </comment>
    <comment ref="AQ11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12" authorId="0">
      <text>
        <r>
          <rPr>
            <b/>
            <sz val="9"/>
            <color indexed="81"/>
            <rFont val="Tahoma"/>
            <family val="2"/>
          </rPr>
          <t>Ingrid Malmgren:</t>
        </r>
        <r>
          <rPr>
            <sz val="9"/>
            <color indexed="81"/>
            <rFont val="Tahoma"/>
            <family val="2"/>
          </rPr>
          <t xml:space="preserve">
from Table 1-2</t>
        </r>
      </text>
    </comment>
    <comment ref="AU112" authorId="0">
      <text>
        <r>
          <rPr>
            <b/>
            <sz val="9"/>
            <color indexed="81"/>
            <rFont val="Tahoma"/>
            <family val="2"/>
          </rPr>
          <t>Ingrid Malmgren:</t>
        </r>
        <r>
          <rPr>
            <sz val="9"/>
            <color indexed="81"/>
            <rFont val="Tahoma"/>
            <family val="2"/>
          </rPr>
          <t xml:space="preserve">
per net kWh saved from  B-3 R.I. A compiled value representing a number of NEI categories in TetraTech 2012 study</t>
        </r>
      </text>
    </comment>
    <comment ref="AW11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1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1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13" authorId="0">
      <text>
        <r>
          <rPr>
            <b/>
            <sz val="9"/>
            <color indexed="81"/>
            <rFont val="Tahoma"/>
            <family val="2"/>
          </rPr>
          <t>Ingrid Malmgren:</t>
        </r>
        <r>
          <rPr>
            <sz val="9"/>
            <color indexed="81"/>
            <rFont val="Tahoma"/>
            <family val="2"/>
          </rPr>
          <t xml:space="preserve">
Not included in prescriptive
programs</t>
        </r>
      </text>
    </comment>
    <comment ref="AQ11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13" authorId="0">
      <text>
        <r>
          <rPr>
            <b/>
            <sz val="9"/>
            <color indexed="81"/>
            <rFont val="Tahoma"/>
            <family val="2"/>
          </rPr>
          <t>Ingrid Malmgren:</t>
        </r>
        <r>
          <rPr>
            <sz val="9"/>
            <color indexed="81"/>
            <rFont val="Tahoma"/>
            <family val="2"/>
          </rPr>
          <t xml:space="preserve">
from Table 1-2</t>
        </r>
      </text>
    </comment>
    <comment ref="AW11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1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1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14" authorId="0">
      <text>
        <r>
          <rPr>
            <b/>
            <sz val="9"/>
            <color indexed="81"/>
            <rFont val="Tahoma"/>
            <family val="2"/>
          </rPr>
          <t>Ingrid Malmgren:</t>
        </r>
        <r>
          <rPr>
            <sz val="9"/>
            <color indexed="81"/>
            <rFont val="Tahoma"/>
            <family val="2"/>
          </rPr>
          <t xml:space="preserve">
Not included in prescriptive
programs</t>
        </r>
      </text>
    </comment>
    <comment ref="AQ11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14" authorId="0">
      <text>
        <r>
          <rPr>
            <b/>
            <sz val="9"/>
            <color indexed="81"/>
            <rFont val="Tahoma"/>
            <family val="2"/>
          </rPr>
          <t>Ingrid Malmgren:</t>
        </r>
        <r>
          <rPr>
            <sz val="9"/>
            <color indexed="81"/>
            <rFont val="Tahoma"/>
            <family val="2"/>
          </rPr>
          <t xml:space="preserve">
from Table 1-2</t>
        </r>
      </text>
    </comment>
    <comment ref="AW11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1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1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15" authorId="0">
      <text>
        <r>
          <rPr>
            <b/>
            <sz val="9"/>
            <color indexed="81"/>
            <rFont val="Tahoma"/>
            <family val="2"/>
          </rPr>
          <t>Ingrid Malmgren:</t>
        </r>
        <r>
          <rPr>
            <sz val="9"/>
            <color indexed="81"/>
            <rFont val="Tahoma"/>
            <family val="2"/>
          </rPr>
          <t xml:space="preserve">
Not included in prescriptive
programs</t>
        </r>
      </text>
    </comment>
    <comment ref="AQ11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15" authorId="0">
      <text>
        <r>
          <rPr>
            <b/>
            <sz val="9"/>
            <color indexed="81"/>
            <rFont val="Tahoma"/>
            <family val="2"/>
          </rPr>
          <t>Ingrid Malmgren:</t>
        </r>
        <r>
          <rPr>
            <sz val="9"/>
            <color indexed="81"/>
            <rFont val="Tahoma"/>
            <family val="2"/>
          </rPr>
          <t xml:space="preserve">
from Table 1-2</t>
        </r>
      </text>
    </comment>
    <comment ref="AW11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1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1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16" authorId="0">
      <text>
        <r>
          <rPr>
            <b/>
            <sz val="9"/>
            <color indexed="81"/>
            <rFont val="Tahoma"/>
            <family val="2"/>
          </rPr>
          <t>Ingrid Malmgren:</t>
        </r>
        <r>
          <rPr>
            <sz val="9"/>
            <color indexed="81"/>
            <rFont val="Tahoma"/>
            <family val="2"/>
          </rPr>
          <t xml:space="preserve">
Not included in prescriptive
programs</t>
        </r>
      </text>
    </comment>
    <comment ref="AQ11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16" authorId="0">
      <text>
        <r>
          <rPr>
            <b/>
            <sz val="9"/>
            <color indexed="81"/>
            <rFont val="Tahoma"/>
            <family val="2"/>
          </rPr>
          <t>Ingrid Malmgren:</t>
        </r>
        <r>
          <rPr>
            <sz val="9"/>
            <color indexed="81"/>
            <rFont val="Tahoma"/>
            <family val="2"/>
          </rPr>
          <t xml:space="preserve">
from Table 1-2</t>
        </r>
      </text>
    </comment>
    <comment ref="AW11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1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1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17" authorId="0">
      <text>
        <r>
          <rPr>
            <b/>
            <sz val="9"/>
            <color indexed="81"/>
            <rFont val="Tahoma"/>
            <family val="2"/>
          </rPr>
          <t>Ingrid Malmgren:</t>
        </r>
        <r>
          <rPr>
            <sz val="9"/>
            <color indexed="81"/>
            <rFont val="Tahoma"/>
            <family val="2"/>
          </rPr>
          <t xml:space="preserve">
Not included in prescriptive
programs</t>
        </r>
      </text>
    </comment>
    <comment ref="AQ11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17" authorId="0">
      <text>
        <r>
          <rPr>
            <b/>
            <sz val="9"/>
            <color indexed="81"/>
            <rFont val="Tahoma"/>
            <family val="2"/>
          </rPr>
          <t>Ingrid Malmgren:</t>
        </r>
        <r>
          <rPr>
            <sz val="9"/>
            <color indexed="81"/>
            <rFont val="Tahoma"/>
            <family val="2"/>
          </rPr>
          <t xml:space="preserve">
from Table 1-2</t>
        </r>
      </text>
    </comment>
    <comment ref="AW11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1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1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18" authorId="0">
      <text>
        <r>
          <rPr>
            <b/>
            <sz val="9"/>
            <color indexed="81"/>
            <rFont val="Tahoma"/>
            <family val="2"/>
          </rPr>
          <t>Ingrid Malmgren:</t>
        </r>
        <r>
          <rPr>
            <sz val="9"/>
            <color indexed="81"/>
            <rFont val="Tahoma"/>
            <family val="2"/>
          </rPr>
          <t xml:space="preserve">
Not included in prescriptive
programs</t>
        </r>
      </text>
    </comment>
    <comment ref="AQ118"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18" authorId="0">
      <text>
        <r>
          <rPr>
            <b/>
            <sz val="9"/>
            <color indexed="81"/>
            <rFont val="Tahoma"/>
            <family val="2"/>
          </rPr>
          <t>Ingrid Malmgren:</t>
        </r>
        <r>
          <rPr>
            <sz val="9"/>
            <color indexed="81"/>
            <rFont val="Tahoma"/>
            <family val="2"/>
          </rPr>
          <t xml:space="preserve">
from Table 1-2</t>
        </r>
      </text>
    </comment>
    <comment ref="AW11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1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1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19" authorId="0">
      <text>
        <r>
          <rPr>
            <b/>
            <sz val="9"/>
            <color indexed="81"/>
            <rFont val="Tahoma"/>
            <family val="2"/>
          </rPr>
          <t>Ingrid Malmgren:</t>
        </r>
        <r>
          <rPr>
            <sz val="9"/>
            <color indexed="81"/>
            <rFont val="Tahoma"/>
            <family val="2"/>
          </rPr>
          <t xml:space="preserve">
Not included in prescriptive
programs</t>
        </r>
      </text>
    </comment>
    <comment ref="AQ11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19" authorId="0">
      <text>
        <r>
          <rPr>
            <b/>
            <sz val="9"/>
            <color indexed="81"/>
            <rFont val="Tahoma"/>
            <family val="2"/>
          </rPr>
          <t>Ingrid Malmgren:</t>
        </r>
        <r>
          <rPr>
            <sz val="9"/>
            <color indexed="81"/>
            <rFont val="Tahoma"/>
            <family val="2"/>
          </rPr>
          <t xml:space="preserve">
from Table 1-2</t>
        </r>
      </text>
    </comment>
    <comment ref="AW11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2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2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20" authorId="0">
      <text>
        <r>
          <rPr>
            <b/>
            <sz val="9"/>
            <color indexed="81"/>
            <rFont val="Tahoma"/>
            <family val="2"/>
          </rPr>
          <t>Ingrid Malmgren:</t>
        </r>
        <r>
          <rPr>
            <sz val="9"/>
            <color indexed="81"/>
            <rFont val="Tahoma"/>
            <family val="2"/>
          </rPr>
          <t xml:space="preserve">
Not included in prescriptive
programs</t>
        </r>
      </text>
    </comment>
    <comment ref="AQ12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20" authorId="0">
      <text>
        <r>
          <rPr>
            <b/>
            <sz val="9"/>
            <color indexed="81"/>
            <rFont val="Tahoma"/>
            <family val="2"/>
          </rPr>
          <t>Ingrid Malmgren:</t>
        </r>
        <r>
          <rPr>
            <sz val="9"/>
            <color indexed="81"/>
            <rFont val="Tahoma"/>
            <family val="2"/>
          </rPr>
          <t xml:space="preserve">
from Table 1-2</t>
        </r>
      </text>
    </comment>
    <comment ref="AW12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2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2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21" authorId="0">
      <text>
        <r>
          <rPr>
            <b/>
            <sz val="9"/>
            <color indexed="81"/>
            <rFont val="Tahoma"/>
            <family val="2"/>
          </rPr>
          <t>Ingrid Malmgren:</t>
        </r>
        <r>
          <rPr>
            <sz val="9"/>
            <color indexed="81"/>
            <rFont val="Tahoma"/>
            <family val="2"/>
          </rPr>
          <t xml:space="preserve">
Not included in prescriptive
programs</t>
        </r>
      </text>
    </comment>
    <comment ref="AQ12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21" authorId="0">
      <text>
        <r>
          <rPr>
            <b/>
            <sz val="9"/>
            <color indexed="81"/>
            <rFont val="Tahoma"/>
            <family val="2"/>
          </rPr>
          <t>Ingrid Malmgren:</t>
        </r>
        <r>
          <rPr>
            <sz val="9"/>
            <color indexed="81"/>
            <rFont val="Tahoma"/>
            <family val="2"/>
          </rPr>
          <t xml:space="preserve">
from Table 1-2</t>
        </r>
      </text>
    </comment>
    <comment ref="AW12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22" authorId="0">
      <text>
        <r>
          <rPr>
            <b/>
            <sz val="9"/>
            <color indexed="81"/>
            <rFont val="Tahoma"/>
            <family val="2"/>
          </rPr>
          <t>Ingrid Malmgren:</t>
        </r>
        <r>
          <rPr>
            <sz val="9"/>
            <color indexed="81"/>
            <rFont val="Tahoma"/>
            <family val="2"/>
          </rPr>
          <t xml:space="preserve">
p.291</t>
        </r>
      </text>
    </comment>
    <comment ref="Z122" authorId="0">
      <text>
        <r>
          <rPr>
            <b/>
            <sz val="9"/>
            <color indexed="81"/>
            <rFont val="Tahoma"/>
            <family val="2"/>
          </rPr>
          <t>Ingrid Malmgren:</t>
        </r>
        <r>
          <rPr>
            <sz val="9"/>
            <color indexed="81"/>
            <rFont val="Tahoma"/>
            <family val="2"/>
          </rPr>
          <t xml:space="preserve">
p.291</t>
        </r>
      </text>
    </comment>
    <comment ref="AC122" authorId="0">
      <text>
        <r>
          <rPr>
            <b/>
            <sz val="9"/>
            <color indexed="81"/>
            <rFont val="Tahoma"/>
            <family val="2"/>
          </rPr>
          <t>Ingrid Malmgren:</t>
        </r>
        <r>
          <rPr>
            <sz val="9"/>
            <color indexed="81"/>
            <rFont val="Tahoma"/>
            <family val="2"/>
          </rPr>
          <t xml:space="preserve">
p.291</t>
        </r>
      </text>
    </comment>
    <comment ref="AD122" authorId="0">
      <text>
        <r>
          <rPr>
            <b/>
            <sz val="9"/>
            <color indexed="81"/>
            <rFont val="Tahoma"/>
            <family val="2"/>
          </rPr>
          <t>Ingrid Malmgren:</t>
        </r>
        <r>
          <rPr>
            <sz val="9"/>
            <color indexed="81"/>
            <rFont val="Tahoma"/>
            <family val="2"/>
          </rPr>
          <t xml:space="preserve">
no process reporting category in literature 2012 C&amp;I Study
</t>
        </r>
      </text>
    </comment>
    <comment ref="AJ122" authorId="0">
      <text>
        <r>
          <rPr>
            <b/>
            <sz val="9"/>
            <color indexed="81"/>
            <rFont val="Tahoma"/>
            <family val="2"/>
          </rPr>
          <t>Ingrid Malmgren:</t>
        </r>
        <r>
          <rPr>
            <sz val="9"/>
            <color indexed="81"/>
            <rFont val="Tahoma"/>
            <family val="2"/>
          </rPr>
          <t xml:space="preserve">
Not included in prescriptive
programs</t>
        </r>
      </text>
    </comment>
    <comment ref="AQ122" authorId="0">
      <text>
        <r>
          <rPr>
            <b/>
            <sz val="9"/>
            <color indexed="81"/>
            <rFont val="Tahoma"/>
            <family val="2"/>
          </rPr>
          <t>Ingrid Malmgren:</t>
        </r>
        <r>
          <rPr>
            <sz val="9"/>
            <color indexed="81"/>
            <rFont val="Tahoma"/>
            <family val="2"/>
          </rPr>
          <t xml:space="preserve">
p.291</t>
        </r>
      </text>
    </comment>
    <comment ref="AW12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23" authorId="0">
      <text>
        <r>
          <rPr>
            <b/>
            <sz val="9"/>
            <color indexed="81"/>
            <rFont val="Tahoma"/>
            <family val="2"/>
          </rPr>
          <t>Ingrid Malmgren:</t>
        </r>
        <r>
          <rPr>
            <sz val="9"/>
            <color indexed="81"/>
            <rFont val="Tahoma"/>
            <family val="2"/>
          </rPr>
          <t xml:space="preserve">
p.291</t>
        </r>
      </text>
    </comment>
    <comment ref="Z123" authorId="0">
      <text>
        <r>
          <rPr>
            <b/>
            <sz val="9"/>
            <color indexed="81"/>
            <rFont val="Tahoma"/>
            <family val="2"/>
          </rPr>
          <t>Ingrid Malmgren:</t>
        </r>
        <r>
          <rPr>
            <sz val="9"/>
            <color indexed="81"/>
            <rFont val="Tahoma"/>
            <family val="2"/>
          </rPr>
          <t xml:space="preserve">
p.291</t>
        </r>
      </text>
    </comment>
    <comment ref="AC123" authorId="0">
      <text>
        <r>
          <rPr>
            <b/>
            <sz val="9"/>
            <color indexed="81"/>
            <rFont val="Tahoma"/>
            <family val="2"/>
          </rPr>
          <t>Ingrid Malmgren:</t>
        </r>
        <r>
          <rPr>
            <sz val="9"/>
            <color indexed="81"/>
            <rFont val="Tahoma"/>
            <family val="2"/>
          </rPr>
          <t xml:space="preserve">
p.291</t>
        </r>
      </text>
    </comment>
    <comment ref="AJ123" authorId="0">
      <text>
        <r>
          <rPr>
            <b/>
            <sz val="9"/>
            <color indexed="81"/>
            <rFont val="Tahoma"/>
            <family val="2"/>
          </rPr>
          <t>Ingrid Malmgren:</t>
        </r>
        <r>
          <rPr>
            <sz val="9"/>
            <color indexed="81"/>
            <rFont val="Tahoma"/>
            <family val="2"/>
          </rPr>
          <t xml:space="preserve">
Not included in prescriptive
programs</t>
        </r>
      </text>
    </comment>
    <comment ref="AQ123" authorId="0">
      <text>
        <r>
          <rPr>
            <b/>
            <sz val="9"/>
            <color indexed="81"/>
            <rFont val="Tahoma"/>
            <family val="2"/>
          </rPr>
          <t>Ingrid Malmgren:</t>
        </r>
        <r>
          <rPr>
            <sz val="9"/>
            <color indexed="81"/>
            <rFont val="Tahoma"/>
            <family val="2"/>
          </rPr>
          <t xml:space="preserve">
p.291</t>
        </r>
      </text>
    </comment>
    <comment ref="AW12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24" authorId="0">
      <text>
        <r>
          <rPr>
            <b/>
            <sz val="9"/>
            <color indexed="81"/>
            <rFont val="Tahoma"/>
            <family val="2"/>
          </rPr>
          <t>Ingrid Malmgren:</t>
        </r>
        <r>
          <rPr>
            <sz val="9"/>
            <color indexed="81"/>
            <rFont val="Tahoma"/>
            <family val="2"/>
          </rPr>
          <t xml:space="preserve">
p.291</t>
        </r>
      </text>
    </comment>
    <comment ref="Z124" authorId="0">
      <text>
        <r>
          <rPr>
            <b/>
            <sz val="9"/>
            <color indexed="81"/>
            <rFont val="Tahoma"/>
            <family val="2"/>
          </rPr>
          <t>Ingrid Malmgren:</t>
        </r>
        <r>
          <rPr>
            <sz val="9"/>
            <color indexed="81"/>
            <rFont val="Tahoma"/>
            <family val="2"/>
          </rPr>
          <t xml:space="preserve">
p.291</t>
        </r>
      </text>
    </comment>
    <comment ref="AC124" authorId="0">
      <text>
        <r>
          <rPr>
            <b/>
            <sz val="9"/>
            <color indexed="81"/>
            <rFont val="Tahoma"/>
            <family val="2"/>
          </rPr>
          <t>Ingrid Malmgren:</t>
        </r>
        <r>
          <rPr>
            <sz val="9"/>
            <color indexed="81"/>
            <rFont val="Tahoma"/>
            <family val="2"/>
          </rPr>
          <t xml:space="preserve">
p.291</t>
        </r>
      </text>
    </comment>
    <comment ref="AJ124" authorId="0">
      <text>
        <r>
          <rPr>
            <b/>
            <sz val="9"/>
            <color indexed="81"/>
            <rFont val="Tahoma"/>
            <family val="2"/>
          </rPr>
          <t>Ingrid Malmgren:</t>
        </r>
        <r>
          <rPr>
            <sz val="9"/>
            <color indexed="81"/>
            <rFont val="Tahoma"/>
            <family val="2"/>
          </rPr>
          <t xml:space="preserve">
Not included in prescriptive
programs</t>
        </r>
      </text>
    </comment>
    <comment ref="AQ124" authorId="0">
      <text>
        <r>
          <rPr>
            <b/>
            <sz val="9"/>
            <color indexed="81"/>
            <rFont val="Tahoma"/>
            <family val="2"/>
          </rPr>
          <t>Ingrid Malmgren:</t>
        </r>
        <r>
          <rPr>
            <sz val="9"/>
            <color indexed="81"/>
            <rFont val="Tahoma"/>
            <family val="2"/>
          </rPr>
          <t xml:space="preserve">
p.291</t>
        </r>
      </text>
    </comment>
    <comment ref="AW12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25" authorId="0">
      <text>
        <r>
          <rPr>
            <b/>
            <sz val="9"/>
            <color indexed="81"/>
            <rFont val="Tahoma"/>
            <family val="2"/>
          </rPr>
          <t>Ingrid Malmgren:</t>
        </r>
        <r>
          <rPr>
            <sz val="9"/>
            <color indexed="81"/>
            <rFont val="Tahoma"/>
            <family val="2"/>
          </rPr>
          <t xml:space="preserve">
p.289</t>
        </r>
      </text>
    </comment>
    <comment ref="Z125" authorId="0">
      <text>
        <r>
          <rPr>
            <b/>
            <sz val="9"/>
            <color indexed="81"/>
            <rFont val="Tahoma"/>
            <family val="2"/>
          </rPr>
          <t>Ingrid Malmgren:</t>
        </r>
        <r>
          <rPr>
            <sz val="9"/>
            <color indexed="81"/>
            <rFont val="Tahoma"/>
            <family val="2"/>
          </rPr>
          <t xml:space="preserve">
p.289</t>
        </r>
      </text>
    </comment>
    <comment ref="AC125" authorId="0">
      <text>
        <r>
          <rPr>
            <b/>
            <sz val="9"/>
            <color indexed="81"/>
            <rFont val="Tahoma"/>
            <family val="2"/>
          </rPr>
          <t>Ingrid Malmgren:</t>
        </r>
        <r>
          <rPr>
            <sz val="9"/>
            <color indexed="81"/>
            <rFont val="Tahoma"/>
            <family val="2"/>
          </rPr>
          <t xml:space="preserve">
p.289</t>
        </r>
      </text>
    </comment>
    <comment ref="AJ125" authorId="0">
      <text>
        <r>
          <rPr>
            <b/>
            <sz val="9"/>
            <color indexed="81"/>
            <rFont val="Tahoma"/>
            <family val="2"/>
          </rPr>
          <t>Ingrid Malmgren:</t>
        </r>
        <r>
          <rPr>
            <sz val="9"/>
            <color indexed="81"/>
            <rFont val="Tahoma"/>
            <family val="2"/>
          </rPr>
          <t xml:space="preserve">
Not included in prescriptive
programs</t>
        </r>
      </text>
    </comment>
    <comment ref="AQ125" authorId="0">
      <text>
        <r>
          <rPr>
            <b/>
            <sz val="9"/>
            <color indexed="81"/>
            <rFont val="Tahoma"/>
            <family val="2"/>
          </rPr>
          <t>Ingrid Malmgren:</t>
        </r>
        <r>
          <rPr>
            <sz val="9"/>
            <color indexed="81"/>
            <rFont val="Tahoma"/>
            <family val="2"/>
          </rPr>
          <t xml:space="preserve">
p.289</t>
        </r>
      </text>
    </comment>
    <comment ref="AW12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26" authorId="0">
      <text>
        <r>
          <rPr>
            <b/>
            <sz val="9"/>
            <color indexed="81"/>
            <rFont val="Tahoma"/>
            <family val="2"/>
          </rPr>
          <t>Ingrid Malmgren:</t>
        </r>
        <r>
          <rPr>
            <sz val="9"/>
            <color indexed="81"/>
            <rFont val="Tahoma"/>
            <family val="2"/>
          </rPr>
          <t xml:space="preserve">
p.289</t>
        </r>
      </text>
    </comment>
    <comment ref="Z126" authorId="0">
      <text>
        <r>
          <rPr>
            <b/>
            <sz val="9"/>
            <color indexed="81"/>
            <rFont val="Tahoma"/>
            <family val="2"/>
          </rPr>
          <t>Ingrid Malmgren:</t>
        </r>
        <r>
          <rPr>
            <sz val="9"/>
            <color indexed="81"/>
            <rFont val="Tahoma"/>
            <family val="2"/>
          </rPr>
          <t xml:space="preserve">
p.289</t>
        </r>
      </text>
    </comment>
    <comment ref="AC126" authorId="0">
      <text>
        <r>
          <rPr>
            <b/>
            <sz val="9"/>
            <color indexed="81"/>
            <rFont val="Tahoma"/>
            <family val="2"/>
          </rPr>
          <t>Ingrid Malmgren:</t>
        </r>
        <r>
          <rPr>
            <sz val="9"/>
            <color indexed="81"/>
            <rFont val="Tahoma"/>
            <family val="2"/>
          </rPr>
          <t xml:space="preserve">
p.289</t>
        </r>
      </text>
    </comment>
    <comment ref="AJ126" authorId="0">
      <text>
        <r>
          <rPr>
            <b/>
            <sz val="9"/>
            <color indexed="81"/>
            <rFont val="Tahoma"/>
            <family val="2"/>
          </rPr>
          <t>Ingrid Malmgren:</t>
        </r>
        <r>
          <rPr>
            <sz val="9"/>
            <color indexed="81"/>
            <rFont val="Tahoma"/>
            <family val="2"/>
          </rPr>
          <t xml:space="preserve">
Not included in prescriptive
programs</t>
        </r>
      </text>
    </comment>
    <comment ref="AQ126" authorId="0">
      <text>
        <r>
          <rPr>
            <b/>
            <sz val="9"/>
            <color indexed="81"/>
            <rFont val="Tahoma"/>
            <family val="2"/>
          </rPr>
          <t>Ingrid Malmgren:</t>
        </r>
        <r>
          <rPr>
            <sz val="9"/>
            <color indexed="81"/>
            <rFont val="Tahoma"/>
            <family val="2"/>
          </rPr>
          <t xml:space="preserve">
p.289</t>
        </r>
      </text>
    </comment>
    <comment ref="AW12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27" authorId="0">
      <text>
        <r>
          <rPr>
            <b/>
            <sz val="9"/>
            <color indexed="81"/>
            <rFont val="Tahoma"/>
            <family val="2"/>
          </rPr>
          <t>Ingrid Malmgren:</t>
        </r>
        <r>
          <rPr>
            <sz val="9"/>
            <color indexed="81"/>
            <rFont val="Tahoma"/>
            <family val="2"/>
          </rPr>
          <t xml:space="preserve">
p.289</t>
        </r>
      </text>
    </comment>
    <comment ref="Z127" authorId="0">
      <text>
        <r>
          <rPr>
            <b/>
            <sz val="9"/>
            <color indexed="81"/>
            <rFont val="Tahoma"/>
            <family val="2"/>
          </rPr>
          <t>Ingrid Malmgren:</t>
        </r>
        <r>
          <rPr>
            <sz val="9"/>
            <color indexed="81"/>
            <rFont val="Tahoma"/>
            <family val="2"/>
          </rPr>
          <t xml:space="preserve">
p.289</t>
        </r>
      </text>
    </comment>
    <comment ref="AC127" authorId="0">
      <text>
        <r>
          <rPr>
            <b/>
            <sz val="9"/>
            <color indexed="81"/>
            <rFont val="Tahoma"/>
            <family val="2"/>
          </rPr>
          <t>Ingrid Malmgren:</t>
        </r>
        <r>
          <rPr>
            <sz val="9"/>
            <color indexed="81"/>
            <rFont val="Tahoma"/>
            <family val="2"/>
          </rPr>
          <t xml:space="preserve">
p.289</t>
        </r>
      </text>
    </comment>
    <comment ref="AJ127" authorId="0">
      <text>
        <r>
          <rPr>
            <b/>
            <sz val="9"/>
            <color indexed="81"/>
            <rFont val="Tahoma"/>
            <family val="2"/>
          </rPr>
          <t>Ingrid Malmgren:</t>
        </r>
        <r>
          <rPr>
            <sz val="9"/>
            <color indexed="81"/>
            <rFont val="Tahoma"/>
            <family val="2"/>
          </rPr>
          <t xml:space="preserve">
Not included in prescriptive
programs</t>
        </r>
      </text>
    </comment>
    <comment ref="AQ127" authorId="0">
      <text>
        <r>
          <rPr>
            <b/>
            <sz val="9"/>
            <color indexed="81"/>
            <rFont val="Tahoma"/>
            <family val="2"/>
          </rPr>
          <t>Ingrid Malmgren:</t>
        </r>
        <r>
          <rPr>
            <sz val="9"/>
            <color indexed="81"/>
            <rFont val="Tahoma"/>
            <family val="2"/>
          </rPr>
          <t xml:space="preserve">
p.289</t>
        </r>
      </text>
    </comment>
    <comment ref="AW12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28" authorId="0">
      <text>
        <r>
          <rPr>
            <b/>
            <sz val="9"/>
            <color indexed="81"/>
            <rFont val="Tahoma"/>
            <family val="2"/>
          </rPr>
          <t>Ingrid Malmgren:</t>
        </r>
        <r>
          <rPr>
            <sz val="9"/>
            <color indexed="81"/>
            <rFont val="Tahoma"/>
            <family val="2"/>
          </rPr>
          <t xml:space="preserve">
p.289 no NEIs associated with high efficiency air compressors
</t>
        </r>
      </text>
    </comment>
    <comment ref="Z128" authorId="0">
      <text>
        <r>
          <rPr>
            <b/>
            <sz val="9"/>
            <color indexed="81"/>
            <rFont val="Tahoma"/>
            <family val="2"/>
          </rPr>
          <t>Ingrid Malmgren:</t>
        </r>
        <r>
          <rPr>
            <sz val="9"/>
            <color indexed="81"/>
            <rFont val="Tahoma"/>
            <family val="2"/>
          </rPr>
          <t xml:space="preserve">
p.289 no NEIs associated with high efficiency air compressors
</t>
        </r>
      </text>
    </comment>
    <comment ref="AC128" authorId="0">
      <text>
        <r>
          <rPr>
            <b/>
            <sz val="9"/>
            <color indexed="81"/>
            <rFont val="Tahoma"/>
            <family val="2"/>
          </rPr>
          <t>Ingrid Malmgren:</t>
        </r>
        <r>
          <rPr>
            <sz val="9"/>
            <color indexed="81"/>
            <rFont val="Tahoma"/>
            <family val="2"/>
          </rPr>
          <t xml:space="preserve">
p.289 no NEIs associated with high efficiency air compressors
</t>
        </r>
      </text>
    </comment>
    <comment ref="AJ128" authorId="0">
      <text>
        <r>
          <rPr>
            <b/>
            <sz val="9"/>
            <color indexed="81"/>
            <rFont val="Tahoma"/>
            <family val="2"/>
          </rPr>
          <t>Ingrid Malmgren:</t>
        </r>
        <r>
          <rPr>
            <sz val="9"/>
            <color indexed="81"/>
            <rFont val="Tahoma"/>
            <family val="2"/>
          </rPr>
          <t xml:space="preserve">
Not included in prescriptive
programs</t>
        </r>
      </text>
    </comment>
    <comment ref="AW12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29" authorId="0">
      <text>
        <r>
          <rPr>
            <b/>
            <sz val="9"/>
            <color indexed="81"/>
            <rFont val="Tahoma"/>
            <family val="2"/>
          </rPr>
          <t>Ingrid Malmgren:</t>
        </r>
        <r>
          <rPr>
            <sz val="9"/>
            <color indexed="81"/>
            <rFont val="Tahoma"/>
            <family val="2"/>
          </rPr>
          <t xml:space="preserve">
p.296
</t>
        </r>
      </text>
    </comment>
    <comment ref="Z129" authorId="0">
      <text>
        <r>
          <rPr>
            <b/>
            <sz val="9"/>
            <color indexed="81"/>
            <rFont val="Tahoma"/>
            <family val="2"/>
          </rPr>
          <t>Ingrid Malmgren:</t>
        </r>
        <r>
          <rPr>
            <sz val="9"/>
            <color indexed="81"/>
            <rFont val="Tahoma"/>
            <family val="2"/>
          </rPr>
          <t xml:space="preserve">
p.296
</t>
        </r>
      </text>
    </comment>
    <comment ref="AC129" authorId="0">
      <text>
        <r>
          <rPr>
            <b/>
            <sz val="9"/>
            <color indexed="81"/>
            <rFont val="Tahoma"/>
            <family val="2"/>
          </rPr>
          <t>Ingrid Malmgren:</t>
        </r>
        <r>
          <rPr>
            <sz val="9"/>
            <color indexed="81"/>
            <rFont val="Tahoma"/>
            <family val="2"/>
          </rPr>
          <t xml:space="preserve">
p.296
</t>
        </r>
      </text>
    </comment>
    <comment ref="AJ129" authorId="0">
      <text>
        <r>
          <rPr>
            <b/>
            <sz val="9"/>
            <color indexed="81"/>
            <rFont val="Tahoma"/>
            <family val="2"/>
          </rPr>
          <t>Ingrid Malmgren:</t>
        </r>
        <r>
          <rPr>
            <sz val="9"/>
            <color indexed="81"/>
            <rFont val="Tahoma"/>
            <family val="2"/>
          </rPr>
          <t xml:space="preserve">
Not included in prescriptive
programs</t>
        </r>
      </text>
    </comment>
    <comment ref="AQ129" authorId="0">
      <text>
        <r>
          <rPr>
            <b/>
            <sz val="9"/>
            <color indexed="81"/>
            <rFont val="Tahoma"/>
            <family val="2"/>
          </rPr>
          <t>Ingrid Malmgren:</t>
        </r>
        <r>
          <rPr>
            <sz val="9"/>
            <color indexed="81"/>
            <rFont val="Tahoma"/>
            <family val="2"/>
          </rPr>
          <t xml:space="preserve">
p.296
</t>
        </r>
      </text>
    </comment>
    <comment ref="AW12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30" authorId="0">
      <text>
        <r>
          <rPr>
            <b/>
            <sz val="9"/>
            <color indexed="81"/>
            <rFont val="Tahoma"/>
            <family val="2"/>
          </rPr>
          <t>Ingrid Malmgren:</t>
        </r>
        <r>
          <rPr>
            <sz val="9"/>
            <color indexed="81"/>
            <rFont val="Tahoma"/>
            <family val="2"/>
          </rPr>
          <t xml:space="preserve">
p.289
</t>
        </r>
      </text>
    </comment>
    <comment ref="Z130" authorId="0">
      <text>
        <r>
          <rPr>
            <b/>
            <sz val="9"/>
            <color indexed="81"/>
            <rFont val="Tahoma"/>
            <family val="2"/>
          </rPr>
          <t>Ingrid Malmgren:</t>
        </r>
        <r>
          <rPr>
            <sz val="9"/>
            <color indexed="81"/>
            <rFont val="Tahoma"/>
            <family val="2"/>
          </rPr>
          <t xml:space="preserve">
p.289
</t>
        </r>
      </text>
    </comment>
    <comment ref="AC130" authorId="0">
      <text>
        <r>
          <rPr>
            <b/>
            <sz val="9"/>
            <color indexed="81"/>
            <rFont val="Tahoma"/>
            <family val="2"/>
          </rPr>
          <t>Ingrid Malmgren:</t>
        </r>
        <r>
          <rPr>
            <sz val="9"/>
            <color indexed="81"/>
            <rFont val="Tahoma"/>
            <family val="2"/>
          </rPr>
          <t xml:space="preserve">
p.289
</t>
        </r>
      </text>
    </comment>
    <comment ref="AJ130" authorId="0">
      <text>
        <r>
          <rPr>
            <b/>
            <sz val="9"/>
            <color indexed="81"/>
            <rFont val="Tahoma"/>
            <family val="2"/>
          </rPr>
          <t>Ingrid Malmgren:</t>
        </r>
        <r>
          <rPr>
            <sz val="9"/>
            <color indexed="81"/>
            <rFont val="Tahoma"/>
            <family val="2"/>
          </rPr>
          <t xml:space="preserve">
Not included in prescriptive
programs</t>
        </r>
      </text>
    </comment>
    <comment ref="AW13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31" authorId="0">
      <text>
        <r>
          <rPr>
            <b/>
            <sz val="9"/>
            <color indexed="81"/>
            <rFont val="Tahoma"/>
            <family val="2"/>
          </rPr>
          <t>Ingrid Malmgren:</t>
        </r>
        <r>
          <rPr>
            <sz val="9"/>
            <color indexed="81"/>
            <rFont val="Tahoma"/>
            <family val="2"/>
          </rPr>
          <t xml:space="preserve">
p.289
</t>
        </r>
      </text>
    </comment>
    <comment ref="Z131" authorId="0">
      <text>
        <r>
          <rPr>
            <b/>
            <sz val="9"/>
            <color indexed="81"/>
            <rFont val="Tahoma"/>
            <family val="2"/>
          </rPr>
          <t>Ingrid Malmgren:</t>
        </r>
        <r>
          <rPr>
            <sz val="9"/>
            <color indexed="81"/>
            <rFont val="Tahoma"/>
            <family val="2"/>
          </rPr>
          <t xml:space="preserve">
p.289
</t>
        </r>
      </text>
    </comment>
    <comment ref="AC131" authorId="0">
      <text>
        <r>
          <rPr>
            <b/>
            <sz val="9"/>
            <color indexed="81"/>
            <rFont val="Tahoma"/>
            <family val="2"/>
          </rPr>
          <t>Ingrid Malmgren:</t>
        </r>
        <r>
          <rPr>
            <sz val="9"/>
            <color indexed="81"/>
            <rFont val="Tahoma"/>
            <family val="2"/>
          </rPr>
          <t xml:space="preserve">
p.289
</t>
        </r>
      </text>
    </comment>
    <comment ref="AJ131" authorId="0">
      <text>
        <r>
          <rPr>
            <b/>
            <sz val="9"/>
            <color indexed="81"/>
            <rFont val="Tahoma"/>
            <family val="2"/>
          </rPr>
          <t>Ingrid Malmgren:</t>
        </r>
        <r>
          <rPr>
            <sz val="9"/>
            <color indexed="81"/>
            <rFont val="Tahoma"/>
            <family val="2"/>
          </rPr>
          <t xml:space="preserve">
Not included in prescriptive
programs</t>
        </r>
      </text>
    </comment>
    <comment ref="AW13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32" authorId="0">
      <text>
        <r>
          <rPr>
            <b/>
            <sz val="9"/>
            <color indexed="81"/>
            <rFont val="Tahoma"/>
            <family val="2"/>
          </rPr>
          <t>Ingrid Malmgren:</t>
        </r>
        <r>
          <rPr>
            <sz val="9"/>
            <color indexed="81"/>
            <rFont val="Tahoma"/>
            <family val="2"/>
          </rPr>
          <t xml:space="preserve">
p.289
</t>
        </r>
      </text>
    </comment>
    <comment ref="Z132" authorId="0">
      <text>
        <r>
          <rPr>
            <b/>
            <sz val="9"/>
            <color indexed="81"/>
            <rFont val="Tahoma"/>
            <family val="2"/>
          </rPr>
          <t>Ingrid Malmgren:</t>
        </r>
        <r>
          <rPr>
            <sz val="9"/>
            <color indexed="81"/>
            <rFont val="Tahoma"/>
            <family val="2"/>
          </rPr>
          <t xml:space="preserve">
p.289
</t>
        </r>
      </text>
    </comment>
    <comment ref="AC132" authorId="0">
      <text>
        <r>
          <rPr>
            <b/>
            <sz val="9"/>
            <color indexed="81"/>
            <rFont val="Tahoma"/>
            <family val="2"/>
          </rPr>
          <t>Ingrid Malmgren:</t>
        </r>
        <r>
          <rPr>
            <sz val="9"/>
            <color indexed="81"/>
            <rFont val="Tahoma"/>
            <family val="2"/>
          </rPr>
          <t xml:space="preserve">
p.289
</t>
        </r>
      </text>
    </comment>
    <comment ref="AJ132" authorId="0">
      <text>
        <r>
          <rPr>
            <b/>
            <sz val="9"/>
            <color indexed="81"/>
            <rFont val="Tahoma"/>
            <family val="2"/>
          </rPr>
          <t>Ingrid Malmgren:</t>
        </r>
        <r>
          <rPr>
            <sz val="9"/>
            <color indexed="81"/>
            <rFont val="Tahoma"/>
            <family val="2"/>
          </rPr>
          <t xml:space="preserve">
Not included in prescriptive
programs</t>
        </r>
      </text>
    </comment>
    <comment ref="AW13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33" authorId="0">
      <text>
        <r>
          <rPr>
            <b/>
            <sz val="9"/>
            <color indexed="81"/>
            <rFont val="Tahoma"/>
            <family val="2"/>
          </rPr>
          <t>Ingrid Malmgren:</t>
        </r>
        <r>
          <rPr>
            <sz val="9"/>
            <color indexed="81"/>
            <rFont val="Tahoma"/>
            <family val="2"/>
          </rPr>
          <t xml:space="preserve">
p.238
</t>
        </r>
      </text>
    </comment>
    <comment ref="Z133" authorId="0">
      <text>
        <r>
          <rPr>
            <b/>
            <sz val="9"/>
            <color indexed="81"/>
            <rFont val="Tahoma"/>
            <family val="2"/>
          </rPr>
          <t>Ingrid Malmgren:</t>
        </r>
        <r>
          <rPr>
            <sz val="9"/>
            <color indexed="81"/>
            <rFont val="Tahoma"/>
            <family val="2"/>
          </rPr>
          <t xml:space="preserve">
p.238
</t>
        </r>
      </text>
    </comment>
    <comment ref="AC133" authorId="0">
      <text>
        <r>
          <rPr>
            <b/>
            <sz val="9"/>
            <color indexed="81"/>
            <rFont val="Tahoma"/>
            <family val="2"/>
          </rPr>
          <t>Ingrid Malmgren:</t>
        </r>
        <r>
          <rPr>
            <sz val="9"/>
            <color indexed="81"/>
            <rFont val="Tahoma"/>
            <family val="2"/>
          </rPr>
          <t xml:space="preserve">
p.238
</t>
        </r>
      </text>
    </comment>
    <comment ref="AJ133" authorId="0">
      <text>
        <r>
          <rPr>
            <b/>
            <sz val="9"/>
            <color indexed="81"/>
            <rFont val="Tahoma"/>
            <family val="2"/>
          </rPr>
          <t>Ingrid Malmgren:</t>
        </r>
        <r>
          <rPr>
            <sz val="9"/>
            <color indexed="81"/>
            <rFont val="Tahoma"/>
            <family val="2"/>
          </rPr>
          <t xml:space="preserve">
Not included in prescriptive
programs</t>
        </r>
      </text>
    </comment>
    <comment ref="AQ133" authorId="0">
      <text>
        <r>
          <rPr>
            <b/>
            <sz val="9"/>
            <color indexed="81"/>
            <rFont val="Tahoma"/>
            <family val="2"/>
          </rPr>
          <t>Ingrid Malmgren:</t>
        </r>
        <r>
          <rPr>
            <sz val="9"/>
            <color indexed="81"/>
            <rFont val="Tahoma"/>
            <family val="2"/>
          </rPr>
          <t xml:space="preserve">
p.238
</t>
        </r>
      </text>
    </comment>
    <comment ref="AT133" authorId="0">
      <text>
        <r>
          <rPr>
            <b/>
            <sz val="9"/>
            <color indexed="81"/>
            <rFont val="Tahoma"/>
            <family val="2"/>
          </rPr>
          <t>Ingrid Malmgren:</t>
        </r>
        <r>
          <rPr>
            <sz val="9"/>
            <color indexed="81"/>
            <rFont val="Tahoma"/>
            <family val="2"/>
          </rPr>
          <t xml:space="preserve">
from table 1-2 HVAC</t>
        </r>
      </text>
    </comment>
    <comment ref="AW13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34" authorId="0">
      <text>
        <r>
          <rPr>
            <b/>
            <sz val="9"/>
            <color indexed="81"/>
            <rFont val="Tahoma"/>
            <family val="2"/>
          </rPr>
          <t>Ingrid Malmgren:</t>
        </r>
        <r>
          <rPr>
            <sz val="9"/>
            <color indexed="81"/>
            <rFont val="Tahoma"/>
            <family val="2"/>
          </rPr>
          <t xml:space="preserve">
p.238
</t>
        </r>
      </text>
    </comment>
    <comment ref="Z134" authorId="0">
      <text>
        <r>
          <rPr>
            <b/>
            <sz val="9"/>
            <color indexed="81"/>
            <rFont val="Tahoma"/>
            <family val="2"/>
          </rPr>
          <t>Ingrid Malmgren:</t>
        </r>
        <r>
          <rPr>
            <sz val="9"/>
            <color indexed="81"/>
            <rFont val="Tahoma"/>
            <family val="2"/>
          </rPr>
          <t xml:space="preserve">
p.238
</t>
        </r>
      </text>
    </comment>
    <comment ref="AC134" authorId="0">
      <text>
        <r>
          <rPr>
            <b/>
            <sz val="9"/>
            <color indexed="81"/>
            <rFont val="Tahoma"/>
            <family val="2"/>
          </rPr>
          <t>Ingrid Malmgren:</t>
        </r>
        <r>
          <rPr>
            <sz val="9"/>
            <color indexed="81"/>
            <rFont val="Tahoma"/>
            <family val="2"/>
          </rPr>
          <t xml:space="preserve">
p.238
</t>
        </r>
      </text>
    </comment>
    <comment ref="AJ134" authorId="0">
      <text>
        <r>
          <rPr>
            <b/>
            <sz val="9"/>
            <color indexed="81"/>
            <rFont val="Tahoma"/>
            <family val="2"/>
          </rPr>
          <t>Ingrid Malmgren:</t>
        </r>
        <r>
          <rPr>
            <sz val="9"/>
            <color indexed="81"/>
            <rFont val="Tahoma"/>
            <family val="2"/>
          </rPr>
          <t xml:space="preserve">
Not included in prescriptive
programs</t>
        </r>
      </text>
    </comment>
    <comment ref="AQ134" authorId="0">
      <text>
        <r>
          <rPr>
            <b/>
            <sz val="9"/>
            <color indexed="81"/>
            <rFont val="Tahoma"/>
            <family val="2"/>
          </rPr>
          <t>Ingrid Malmgren:</t>
        </r>
        <r>
          <rPr>
            <sz val="9"/>
            <color indexed="81"/>
            <rFont val="Tahoma"/>
            <family val="2"/>
          </rPr>
          <t xml:space="preserve">
p.238
</t>
        </r>
      </text>
    </comment>
    <comment ref="AT134" authorId="0">
      <text>
        <r>
          <rPr>
            <b/>
            <sz val="9"/>
            <color indexed="81"/>
            <rFont val="Tahoma"/>
            <family val="2"/>
          </rPr>
          <t>Ingrid Malmgren:</t>
        </r>
        <r>
          <rPr>
            <sz val="9"/>
            <color indexed="81"/>
            <rFont val="Tahoma"/>
            <family val="2"/>
          </rPr>
          <t xml:space="preserve">
from table 1-2 HVAC</t>
        </r>
      </text>
    </comment>
    <comment ref="AW13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35" authorId="0">
      <text>
        <r>
          <rPr>
            <b/>
            <sz val="9"/>
            <color indexed="81"/>
            <rFont val="Tahoma"/>
            <family val="2"/>
          </rPr>
          <t>Ingrid Malmgren:</t>
        </r>
        <r>
          <rPr>
            <sz val="9"/>
            <color indexed="81"/>
            <rFont val="Tahoma"/>
            <family val="2"/>
          </rPr>
          <t xml:space="preserve">
p.238
</t>
        </r>
      </text>
    </comment>
    <comment ref="Z135" authorId="0">
      <text>
        <r>
          <rPr>
            <b/>
            <sz val="9"/>
            <color indexed="81"/>
            <rFont val="Tahoma"/>
            <family val="2"/>
          </rPr>
          <t>Ingrid Malmgren:</t>
        </r>
        <r>
          <rPr>
            <sz val="9"/>
            <color indexed="81"/>
            <rFont val="Tahoma"/>
            <family val="2"/>
          </rPr>
          <t xml:space="preserve">
p.238
</t>
        </r>
      </text>
    </comment>
    <comment ref="AC135" authorId="0">
      <text>
        <r>
          <rPr>
            <b/>
            <sz val="9"/>
            <color indexed="81"/>
            <rFont val="Tahoma"/>
            <family val="2"/>
          </rPr>
          <t>Ingrid Malmgren:</t>
        </r>
        <r>
          <rPr>
            <sz val="9"/>
            <color indexed="81"/>
            <rFont val="Tahoma"/>
            <family val="2"/>
          </rPr>
          <t xml:space="preserve">
p.238
</t>
        </r>
      </text>
    </comment>
    <comment ref="AJ135" authorId="0">
      <text>
        <r>
          <rPr>
            <b/>
            <sz val="9"/>
            <color indexed="81"/>
            <rFont val="Tahoma"/>
            <family val="2"/>
          </rPr>
          <t>Ingrid Malmgren:</t>
        </r>
        <r>
          <rPr>
            <sz val="9"/>
            <color indexed="81"/>
            <rFont val="Tahoma"/>
            <family val="2"/>
          </rPr>
          <t xml:space="preserve">
Not included in prescriptive
programs</t>
        </r>
      </text>
    </comment>
    <comment ref="AQ135" authorId="0">
      <text>
        <r>
          <rPr>
            <b/>
            <sz val="9"/>
            <color indexed="81"/>
            <rFont val="Tahoma"/>
            <family val="2"/>
          </rPr>
          <t>Ingrid Malmgren:</t>
        </r>
        <r>
          <rPr>
            <sz val="9"/>
            <color indexed="81"/>
            <rFont val="Tahoma"/>
            <family val="2"/>
          </rPr>
          <t xml:space="preserve">
p.238
</t>
        </r>
      </text>
    </comment>
    <comment ref="AT135" authorId="0">
      <text>
        <r>
          <rPr>
            <b/>
            <sz val="9"/>
            <color indexed="81"/>
            <rFont val="Tahoma"/>
            <family val="2"/>
          </rPr>
          <t>Ingrid Malmgren:</t>
        </r>
        <r>
          <rPr>
            <sz val="9"/>
            <color indexed="81"/>
            <rFont val="Tahoma"/>
            <family val="2"/>
          </rPr>
          <t xml:space="preserve">
from table 1-2 HVAC</t>
        </r>
      </text>
    </comment>
    <comment ref="AW13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36" authorId="0">
      <text>
        <r>
          <rPr>
            <b/>
            <sz val="9"/>
            <color indexed="81"/>
            <rFont val="Tahoma"/>
            <family val="2"/>
          </rPr>
          <t>Ingrid Malmgren:</t>
        </r>
        <r>
          <rPr>
            <sz val="9"/>
            <color indexed="81"/>
            <rFont val="Tahoma"/>
            <family val="2"/>
          </rPr>
          <t xml:space="preserve">
p.238
</t>
        </r>
      </text>
    </comment>
    <comment ref="Z136" authorId="0">
      <text>
        <r>
          <rPr>
            <b/>
            <sz val="9"/>
            <color indexed="81"/>
            <rFont val="Tahoma"/>
            <family val="2"/>
          </rPr>
          <t>Ingrid Malmgren:</t>
        </r>
        <r>
          <rPr>
            <sz val="9"/>
            <color indexed="81"/>
            <rFont val="Tahoma"/>
            <family val="2"/>
          </rPr>
          <t xml:space="preserve">
p.238
</t>
        </r>
      </text>
    </comment>
    <comment ref="AC136" authorId="0">
      <text>
        <r>
          <rPr>
            <b/>
            <sz val="9"/>
            <color indexed="81"/>
            <rFont val="Tahoma"/>
            <family val="2"/>
          </rPr>
          <t>Ingrid Malmgren:</t>
        </r>
        <r>
          <rPr>
            <sz val="9"/>
            <color indexed="81"/>
            <rFont val="Tahoma"/>
            <family val="2"/>
          </rPr>
          <t xml:space="preserve">
p.238
</t>
        </r>
      </text>
    </comment>
    <comment ref="AJ136" authorId="0">
      <text>
        <r>
          <rPr>
            <b/>
            <sz val="9"/>
            <color indexed="81"/>
            <rFont val="Tahoma"/>
            <family val="2"/>
          </rPr>
          <t>Ingrid Malmgren:</t>
        </r>
        <r>
          <rPr>
            <sz val="9"/>
            <color indexed="81"/>
            <rFont val="Tahoma"/>
            <family val="2"/>
          </rPr>
          <t xml:space="preserve">
Not included in prescriptive
programs</t>
        </r>
      </text>
    </comment>
    <comment ref="AQ136" authorId="0">
      <text>
        <r>
          <rPr>
            <b/>
            <sz val="9"/>
            <color indexed="81"/>
            <rFont val="Tahoma"/>
            <family val="2"/>
          </rPr>
          <t>Ingrid Malmgren:</t>
        </r>
        <r>
          <rPr>
            <sz val="9"/>
            <color indexed="81"/>
            <rFont val="Tahoma"/>
            <family val="2"/>
          </rPr>
          <t xml:space="preserve">
p.238
</t>
        </r>
      </text>
    </comment>
    <comment ref="AT136" authorId="0">
      <text>
        <r>
          <rPr>
            <b/>
            <sz val="9"/>
            <color indexed="81"/>
            <rFont val="Tahoma"/>
            <family val="2"/>
          </rPr>
          <t>Ingrid Malmgren:</t>
        </r>
        <r>
          <rPr>
            <sz val="9"/>
            <color indexed="81"/>
            <rFont val="Tahoma"/>
            <family val="2"/>
          </rPr>
          <t xml:space="preserve">
from table 1-2 HVAC</t>
        </r>
      </text>
    </comment>
    <comment ref="AW13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37" authorId="0">
      <text>
        <r>
          <rPr>
            <b/>
            <sz val="9"/>
            <color indexed="81"/>
            <rFont val="Tahoma"/>
            <family val="2"/>
          </rPr>
          <t>Ingrid Malmgren:</t>
        </r>
        <r>
          <rPr>
            <sz val="9"/>
            <color indexed="81"/>
            <rFont val="Tahoma"/>
            <family val="2"/>
          </rPr>
          <t xml:space="preserve">
p.248</t>
        </r>
      </text>
    </comment>
    <comment ref="Z137" authorId="0">
      <text>
        <r>
          <rPr>
            <b/>
            <sz val="9"/>
            <color indexed="81"/>
            <rFont val="Tahoma"/>
            <family val="2"/>
          </rPr>
          <t>Ingrid Malmgren:</t>
        </r>
        <r>
          <rPr>
            <sz val="9"/>
            <color indexed="81"/>
            <rFont val="Tahoma"/>
            <family val="2"/>
          </rPr>
          <t xml:space="preserve">
p.248</t>
        </r>
      </text>
    </comment>
    <comment ref="AC137" authorId="0">
      <text>
        <r>
          <rPr>
            <b/>
            <sz val="9"/>
            <color indexed="81"/>
            <rFont val="Tahoma"/>
            <family val="2"/>
          </rPr>
          <t>Ingrid Malmgren:</t>
        </r>
        <r>
          <rPr>
            <sz val="9"/>
            <color indexed="81"/>
            <rFont val="Tahoma"/>
            <family val="2"/>
          </rPr>
          <t xml:space="preserve">
p.248</t>
        </r>
      </text>
    </comment>
    <comment ref="AJ137" authorId="0">
      <text>
        <r>
          <rPr>
            <b/>
            <sz val="9"/>
            <color indexed="81"/>
            <rFont val="Tahoma"/>
            <family val="2"/>
          </rPr>
          <t>Ingrid Malmgren:</t>
        </r>
        <r>
          <rPr>
            <sz val="9"/>
            <color indexed="81"/>
            <rFont val="Tahoma"/>
            <family val="2"/>
          </rPr>
          <t xml:space="preserve">
Not included in prescriptive
programs</t>
        </r>
      </text>
    </comment>
    <comment ref="AQ137" authorId="0">
      <text>
        <r>
          <rPr>
            <b/>
            <sz val="9"/>
            <color indexed="81"/>
            <rFont val="Tahoma"/>
            <family val="2"/>
          </rPr>
          <t>Ingrid Malmgren:</t>
        </r>
        <r>
          <rPr>
            <sz val="9"/>
            <color indexed="81"/>
            <rFont val="Tahoma"/>
            <family val="2"/>
          </rPr>
          <t xml:space="preserve">
p.248</t>
        </r>
      </text>
    </comment>
    <comment ref="AT137" authorId="0">
      <text>
        <r>
          <rPr>
            <b/>
            <sz val="9"/>
            <color indexed="81"/>
            <rFont val="Tahoma"/>
            <family val="2"/>
          </rPr>
          <t>Ingrid Malmgren:</t>
        </r>
        <r>
          <rPr>
            <sz val="9"/>
            <color indexed="81"/>
            <rFont val="Tahoma"/>
            <family val="2"/>
          </rPr>
          <t xml:space="preserve">
from table 1-2 HVAC</t>
        </r>
      </text>
    </comment>
    <comment ref="AW13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C138" authorId="0">
      <text>
        <r>
          <rPr>
            <b/>
            <sz val="9"/>
            <color indexed="81"/>
            <rFont val="Tahoma"/>
            <family val="2"/>
          </rPr>
          <t>Ingrid Malmgren:</t>
        </r>
        <r>
          <rPr>
            <sz val="9"/>
            <color indexed="81"/>
            <rFont val="Tahoma"/>
            <family val="2"/>
          </rPr>
          <t xml:space="preserve">
No comparable measure in MA TRM</t>
        </r>
      </text>
    </comment>
    <comment ref="AJ138" authorId="0">
      <text>
        <r>
          <rPr>
            <b/>
            <sz val="9"/>
            <color indexed="81"/>
            <rFont val="Tahoma"/>
            <family val="2"/>
          </rPr>
          <t>Ingrid Malmgren:</t>
        </r>
        <r>
          <rPr>
            <sz val="9"/>
            <color indexed="81"/>
            <rFont val="Tahoma"/>
            <family val="2"/>
          </rPr>
          <t xml:space="preserve">
Not included in prescriptive
programs</t>
        </r>
      </text>
    </comment>
    <comment ref="AW13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C139" authorId="0">
      <text>
        <r>
          <rPr>
            <b/>
            <sz val="9"/>
            <color indexed="81"/>
            <rFont val="Tahoma"/>
            <family val="2"/>
          </rPr>
          <t>Ingrid Malmgren:</t>
        </r>
        <r>
          <rPr>
            <sz val="9"/>
            <color indexed="81"/>
            <rFont val="Tahoma"/>
            <family val="2"/>
          </rPr>
          <t xml:space="preserve">
No comparable measure in MA TRM</t>
        </r>
      </text>
    </comment>
    <comment ref="AJ139" authorId="0">
      <text>
        <r>
          <rPr>
            <b/>
            <sz val="9"/>
            <color indexed="81"/>
            <rFont val="Tahoma"/>
            <family val="2"/>
          </rPr>
          <t>Ingrid Malmgren:</t>
        </r>
        <r>
          <rPr>
            <sz val="9"/>
            <color indexed="81"/>
            <rFont val="Tahoma"/>
            <family val="2"/>
          </rPr>
          <t xml:space="preserve">
Not included in prescriptive
programs</t>
        </r>
      </text>
    </comment>
    <comment ref="AW13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C140" authorId="0">
      <text>
        <r>
          <rPr>
            <b/>
            <sz val="9"/>
            <color indexed="81"/>
            <rFont val="Tahoma"/>
            <family val="2"/>
          </rPr>
          <t>Ingrid Malmgren:</t>
        </r>
        <r>
          <rPr>
            <sz val="9"/>
            <color indexed="81"/>
            <rFont val="Tahoma"/>
            <family val="2"/>
          </rPr>
          <t xml:space="preserve">
No comparable measure in MA TRM</t>
        </r>
      </text>
    </comment>
    <comment ref="AJ140" authorId="0">
      <text>
        <r>
          <rPr>
            <b/>
            <sz val="9"/>
            <color indexed="81"/>
            <rFont val="Tahoma"/>
            <family val="2"/>
          </rPr>
          <t>Ingrid Malmgren:</t>
        </r>
        <r>
          <rPr>
            <sz val="9"/>
            <color indexed="81"/>
            <rFont val="Tahoma"/>
            <family val="2"/>
          </rPr>
          <t xml:space="preserve">
Not included in prescriptive
programs</t>
        </r>
      </text>
    </comment>
    <comment ref="AW14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C141" authorId="0">
      <text>
        <r>
          <rPr>
            <b/>
            <sz val="9"/>
            <color indexed="81"/>
            <rFont val="Tahoma"/>
            <family val="2"/>
          </rPr>
          <t>Ingrid Malmgren:</t>
        </r>
        <r>
          <rPr>
            <sz val="9"/>
            <color indexed="81"/>
            <rFont val="Tahoma"/>
            <family val="2"/>
          </rPr>
          <t xml:space="preserve">
No comparable measure in MA TRM</t>
        </r>
      </text>
    </comment>
    <comment ref="AJ141" authorId="0">
      <text>
        <r>
          <rPr>
            <b/>
            <sz val="9"/>
            <color indexed="81"/>
            <rFont val="Tahoma"/>
            <family val="2"/>
          </rPr>
          <t>Ingrid Malmgren:</t>
        </r>
        <r>
          <rPr>
            <sz val="9"/>
            <color indexed="81"/>
            <rFont val="Tahoma"/>
            <family val="2"/>
          </rPr>
          <t xml:space="preserve">
Not included in prescriptive
programs</t>
        </r>
      </text>
    </comment>
    <comment ref="AW14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C142" authorId="0">
      <text>
        <r>
          <rPr>
            <b/>
            <sz val="9"/>
            <color indexed="81"/>
            <rFont val="Tahoma"/>
            <family val="2"/>
          </rPr>
          <t>Ingrid Malmgren:</t>
        </r>
        <r>
          <rPr>
            <sz val="9"/>
            <color indexed="81"/>
            <rFont val="Tahoma"/>
            <family val="2"/>
          </rPr>
          <t xml:space="preserve">
No comparable measure in MA TRM</t>
        </r>
      </text>
    </comment>
    <comment ref="AJ142" authorId="0">
      <text>
        <r>
          <rPr>
            <b/>
            <sz val="9"/>
            <color indexed="81"/>
            <rFont val="Tahoma"/>
            <family val="2"/>
          </rPr>
          <t>Ingrid Malmgren:</t>
        </r>
        <r>
          <rPr>
            <sz val="9"/>
            <color indexed="81"/>
            <rFont val="Tahoma"/>
            <family val="2"/>
          </rPr>
          <t xml:space="preserve">
Not included in prescriptive
programs</t>
        </r>
      </text>
    </comment>
    <comment ref="AW14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C143" authorId="0">
      <text>
        <r>
          <rPr>
            <b/>
            <sz val="9"/>
            <color indexed="81"/>
            <rFont val="Tahoma"/>
            <family val="2"/>
          </rPr>
          <t>Ingrid Malmgren:</t>
        </r>
        <r>
          <rPr>
            <sz val="9"/>
            <color indexed="81"/>
            <rFont val="Tahoma"/>
            <family val="2"/>
          </rPr>
          <t xml:space="preserve">
No comparable measure in MA TRM</t>
        </r>
      </text>
    </comment>
    <comment ref="AJ143" authorId="0">
      <text>
        <r>
          <rPr>
            <b/>
            <sz val="9"/>
            <color indexed="81"/>
            <rFont val="Tahoma"/>
            <family val="2"/>
          </rPr>
          <t>Ingrid Malmgren:</t>
        </r>
        <r>
          <rPr>
            <sz val="9"/>
            <color indexed="81"/>
            <rFont val="Tahoma"/>
            <family val="2"/>
          </rPr>
          <t xml:space="preserve">
Not included in prescriptive
programs</t>
        </r>
      </text>
    </comment>
    <comment ref="AW14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51" authorId="0">
      <text>
        <r>
          <rPr>
            <b/>
            <sz val="9"/>
            <color indexed="81"/>
            <rFont val="Tahoma"/>
            <family val="2"/>
          </rPr>
          <t>Ingrid Malmgren:</t>
        </r>
        <r>
          <rPr>
            <sz val="9"/>
            <color indexed="81"/>
            <rFont val="Tahoma"/>
            <family val="2"/>
          </rPr>
          <t xml:space="preserve">
p.262</t>
        </r>
      </text>
    </comment>
    <comment ref="Z151" authorId="0">
      <text>
        <r>
          <rPr>
            <b/>
            <sz val="9"/>
            <color indexed="81"/>
            <rFont val="Tahoma"/>
            <family val="2"/>
          </rPr>
          <t>Ingrid Malmgren:</t>
        </r>
        <r>
          <rPr>
            <sz val="9"/>
            <color indexed="81"/>
            <rFont val="Tahoma"/>
            <family val="2"/>
          </rPr>
          <t xml:space="preserve">
p.262</t>
        </r>
      </text>
    </comment>
    <comment ref="AC151" authorId="0">
      <text>
        <r>
          <rPr>
            <b/>
            <sz val="9"/>
            <color indexed="81"/>
            <rFont val="Tahoma"/>
            <family val="2"/>
          </rPr>
          <t>Ingrid Malmgren:</t>
        </r>
        <r>
          <rPr>
            <sz val="9"/>
            <color indexed="81"/>
            <rFont val="Tahoma"/>
            <family val="2"/>
          </rPr>
          <t xml:space="preserve">
p.262</t>
        </r>
      </text>
    </comment>
    <comment ref="AJ151" authorId="0">
      <text>
        <r>
          <rPr>
            <b/>
            <sz val="9"/>
            <color indexed="81"/>
            <rFont val="Tahoma"/>
            <family val="2"/>
          </rPr>
          <t>Ingrid Malmgren:</t>
        </r>
        <r>
          <rPr>
            <sz val="9"/>
            <color indexed="81"/>
            <rFont val="Tahoma"/>
            <family val="2"/>
          </rPr>
          <t xml:space="preserve">
Not included in prescriptive
programs</t>
        </r>
      </text>
    </comment>
    <comment ref="AQ151" authorId="0">
      <text>
        <r>
          <rPr>
            <b/>
            <sz val="9"/>
            <color indexed="81"/>
            <rFont val="Tahoma"/>
            <family val="2"/>
          </rPr>
          <t>Ingrid Malmgren:</t>
        </r>
        <r>
          <rPr>
            <sz val="9"/>
            <color indexed="81"/>
            <rFont val="Tahoma"/>
            <family val="2"/>
          </rPr>
          <t xml:space="preserve">
p.262</t>
        </r>
      </text>
    </comment>
    <comment ref="AW15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52" authorId="0">
      <text>
        <r>
          <rPr>
            <b/>
            <sz val="9"/>
            <color indexed="81"/>
            <rFont val="Tahoma"/>
            <family val="2"/>
          </rPr>
          <t>Ingrid Malmgren:</t>
        </r>
        <r>
          <rPr>
            <sz val="9"/>
            <color indexed="81"/>
            <rFont val="Tahoma"/>
            <family val="2"/>
          </rPr>
          <t xml:space="preserve">
p.262</t>
        </r>
      </text>
    </comment>
    <comment ref="Z152" authorId="0">
      <text>
        <r>
          <rPr>
            <b/>
            <sz val="9"/>
            <color indexed="81"/>
            <rFont val="Tahoma"/>
            <family val="2"/>
          </rPr>
          <t>Ingrid Malmgren:</t>
        </r>
        <r>
          <rPr>
            <sz val="9"/>
            <color indexed="81"/>
            <rFont val="Tahoma"/>
            <family val="2"/>
          </rPr>
          <t xml:space="preserve">
p.262</t>
        </r>
      </text>
    </comment>
    <comment ref="AC152" authorId="0">
      <text>
        <r>
          <rPr>
            <b/>
            <sz val="9"/>
            <color indexed="81"/>
            <rFont val="Tahoma"/>
            <family val="2"/>
          </rPr>
          <t>Ingrid Malmgren:</t>
        </r>
        <r>
          <rPr>
            <sz val="9"/>
            <color indexed="81"/>
            <rFont val="Tahoma"/>
            <family val="2"/>
          </rPr>
          <t xml:space="preserve">
p.262</t>
        </r>
      </text>
    </comment>
    <comment ref="AJ152" authorId="0">
      <text>
        <r>
          <rPr>
            <b/>
            <sz val="9"/>
            <color indexed="81"/>
            <rFont val="Tahoma"/>
            <family val="2"/>
          </rPr>
          <t>Ingrid Malmgren:</t>
        </r>
        <r>
          <rPr>
            <sz val="9"/>
            <color indexed="81"/>
            <rFont val="Tahoma"/>
            <family val="2"/>
          </rPr>
          <t xml:space="preserve">
Not included in prescriptive
programs</t>
        </r>
      </text>
    </comment>
    <comment ref="AQ152" authorId="0">
      <text>
        <r>
          <rPr>
            <b/>
            <sz val="9"/>
            <color indexed="81"/>
            <rFont val="Tahoma"/>
            <family val="2"/>
          </rPr>
          <t>Ingrid Malmgren:</t>
        </r>
        <r>
          <rPr>
            <sz val="9"/>
            <color indexed="81"/>
            <rFont val="Tahoma"/>
            <family val="2"/>
          </rPr>
          <t xml:space="preserve">
p.262</t>
        </r>
      </text>
    </comment>
    <comment ref="AW15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53" authorId="0">
      <text>
        <r>
          <rPr>
            <b/>
            <sz val="9"/>
            <color indexed="81"/>
            <rFont val="Tahoma"/>
            <family val="2"/>
          </rPr>
          <t>Ingrid Malmgren:</t>
        </r>
        <r>
          <rPr>
            <sz val="9"/>
            <color indexed="81"/>
            <rFont val="Tahoma"/>
            <family val="2"/>
          </rPr>
          <t xml:space="preserve">
p.252</t>
        </r>
      </text>
    </comment>
    <comment ref="Z153" authorId="0">
      <text>
        <r>
          <rPr>
            <b/>
            <sz val="9"/>
            <color indexed="81"/>
            <rFont val="Tahoma"/>
            <family val="2"/>
          </rPr>
          <t>Ingrid Malmgren:</t>
        </r>
        <r>
          <rPr>
            <sz val="9"/>
            <color indexed="81"/>
            <rFont val="Tahoma"/>
            <family val="2"/>
          </rPr>
          <t xml:space="preserve">
p.252</t>
        </r>
      </text>
    </comment>
    <comment ref="AC153" authorId="0">
      <text>
        <r>
          <rPr>
            <b/>
            <sz val="9"/>
            <color indexed="81"/>
            <rFont val="Tahoma"/>
            <family val="2"/>
          </rPr>
          <t>Ingrid Malmgren:</t>
        </r>
        <r>
          <rPr>
            <sz val="9"/>
            <color indexed="81"/>
            <rFont val="Tahoma"/>
            <family val="2"/>
          </rPr>
          <t xml:space="preserve">
p.252</t>
        </r>
      </text>
    </comment>
    <comment ref="AJ153" authorId="0">
      <text>
        <r>
          <rPr>
            <b/>
            <sz val="9"/>
            <color indexed="81"/>
            <rFont val="Tahoma"/>
            <family val="2"/>
          </rPr>
          <t>Ingrid Malmgren:</t>
        </r>
        <r>
          <rPr>
            <sz val="9"/>
            <color indexed="81"/>
            <rFont val="Tahoma"/>
            <family val="2"/>
          </rPr>
          <t xml:space="preserve">
Not included in prescriptive
programs</t>
        </r>
      </text>
    </comment>
    <comment ref="AQ153" authorId="0">
      <text>
        <r>
          <rPr>
            <b/>
            <sz val="9"/>
            <color indexed="81"/>
            <rFont val="Tahoma"/>
            <family val="2"/>
          </rPr>
          <t>Ingrid Malmgren:</t>
        </r>
        <r>
          <rPr>
            <sz val="9"/>
            <color indexed="81"/>
            <rFont val="Tahoma"/>
            <family val="2"/>
          </rPr>
          <t xml:space="preserve">
p.252</t>
        </r>
      </text>
    </comment>
    <comment ref="AW15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54" authorId="0">
      <text>
        <r>
          <rPr>
            <b/>
            <sz val="9"/>
            <color indexed="81"/>
            <rFont val="Tahoma"/>
            <family val="2"/>
          </rPr>
          <t>Ingrid Malmgren:</t>
        </r>
        <r>
          <rPr>
            <sz val="9"/>
            <color indexed="81"/>
            <rFont val="Tahoma"/>
            <family val="2"/>
          </rPr>
          <t xml:space="preserve">
p.252</t>
        </r>
      </text>
    </comment>
    <comment ref="Z154" authorId="0">
      <text>
        <r>
          <rPr>
            <b/>
            <sz val="9"/>
            <color indexed="81"/>
            <rFont val="Tahoma"/>
            <family val="2"/>
          </rPr>
          <t>Ingrid Malmgren:</t>
        </r>
        <r>
          <rPr>
            <sz val="9"/>
            <color indexed="81"/>
            <rFont val="Tahoma"/>
            <family val="2"/>
          </rPr>
          <t xml:space="preserve">
p.252</t>
        </r>
      </text>
    </comment>
    <comment ref="AC154" authorId="0">
      <text>
        <r>
          <rPr>
            <b/>
            <sz val="9"/>
            <color indexed="81"/>
            <rFont val="Tahoma"/>
            <family val="2"/>
          </rPr>
          <t>Ingrid Malmgren:</t>
        </r>
        <r>
          <rPr>
            <sz val="9"/>
            <color indexed="81"/>
            <rFont val="Tahoma"/>
            <family val="2"/>
          </rPr>
          <t xml:space="preserve">
p.252</t>
        </r>
      </text>
    </comment>
    <comment ref="AJ154" authorId="0">
      <text>
        <r>
          <rPr>
            <b/>
            <sz val="9"/>
            <color indexed="81"/>
            <rFont val="Tahoma"/>
            <family val="2"/>
          </rPr>
          <t>Ingrid Malmgren:</t>
        </r>
        <r>
          <rPr>
            <sz val="9"/>
            <color indexed="81"/>
            <rFont val="Tahoma"/>
            <family val="2"/>
          </rPr>
          <t xml:space="preserve">
Not included in prescriptive
programs</t>
        </r>
      </text>
    </comment>
    <comment ref="AQ154" authorId="0">
      <text>
        <r>
          <rPr>
            <b/>
            <sz val="9"/>
            <color indexed="81"/>
            <rFont val="Tahoma"/>
            <family val="2"/>
          </rPr>
          <t>Ingrid Malmgren:</t>
        </r>
        <r>
          <rPr>
            <sz val="9"/>
            <color indexed="81"/>
            <rFont val="Tahoma"/>
            <family val="2"/>
          </rPr>
          <t xml:space="preserve">
p.252</t>
        </r>
      </text>
    </comment>
    <comment ref="AW15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55" authorId="0">
      <text>
        <r>
          <rPr>
            <b/>
            <sz val="9"/>
            <color indexed="81"/>
            <rFont val="Tahoma"/>
            <family val="2"/>
          </rPr>
          <t>Ingrid Malmgren:</t>
        </r>
        <r>
          <rPr>
            <sz val="9"/>
            <color indexed="81"/>
            <rFont val="Tahoma"/>
            <family val="2"/>
          </rPr>
          <t xml:space="preserve">
p.266
</t>
        </r>
      </text>
    </comment>
    <comment ref="Z155" authorId="0">
      <text>
        <r>
          <rPr>
            <b/>
            <sz val="9"/>
            <color indexed="81"/>
            <rFont val="Tahoma"/>
            <family val="2"/>
          </rPr>
          <t>Ingrid Malmgren:</t>
        </r>
        <r>
          <rPr>
            <sz val="9"/>
            <color indexed="81"/>
            <rFont val="Tahoma"/>
            <family val="2"/>
          </rPr>
          <t xml:space="preserve">
p.266
</t>
        </r>
      </text>
    </comment>
    <comment ref="AC155" authorId="0">
      <text>
        <r>
          <rPr>
            <b/>
            <sz val="9"/>
            <color indexed="81"/>
            <rFont val="Tahoma"/>
            <family val="2"/>
          </rPr>
          <t>Ingrid Malmgren:</t>
        </r>
        <r>
          <rPr>
            <sz val="9"/>
            <color indexed="81"/>
            <rFont val="Tahoma"/>
            <family val="2"/>
          </rPr>
          <t xml:space="preserve">
p.266
</t>
        </r>
      </text>
    </comment>
    <comment ref="AJ155" authorId="0">
      <text>
        <r>
          <rPr>
            <b/>
            <sz val="9"/>
            <color indexed="81"/>
            <rFont val="Tahoma"/>
            <family val="2"/>
          </rPr>
          <t>Ingrid Malmgren:</t>
        </r>
        <r>
          <rPr>
            <sz val="9"/>
            <color indexed="81"/>
            <rFont val="Tahoma"/>
            <family val="2"/>
          </rPr>
          <t xml:space="preserve">
Not included in prescriptive
programs</t>
        </r>
      </text>
    </comment>
    <comment ref="AQ155" authorId="0">
      <text>
        <r>
          <rPr>
            <b/>
            <sz val="9"/>
            <color indexed="81"/>
            <rFont val="Tahoma"/>
            <family val="2"/>
          </rPr>
          <t>Ingrid Malmgren:</t>
        </r>
        <r>
          <rPr>
            <sz val="9"/>
            <color indexed="81"/>
            <rFont val="Tahoma"/>
            <family val="2"/>
          </rPr>
          <t xml:space="preserve">
p.266
</t>
        </r>
      </text>
    </comment>
    <comment ref="AW15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56" authorId="0">
      <text>
        <r>
          <rPr>
            <b/>
            <sz val="9"/>
            <color indexed="81"/>
            <rFont val="Tahoma"/>
            <family val="2"/>
          </rPr>
          <t>Ingrid Malmgren:</t>
        </r>
        <r>
          <rPr>
            <sz val="9"/>
            <color indexed="81"/>
            <rFont val="Tahoma"/>
            <family val="2"/>
          </rPr>
          <t xml:space="preserve">
p.266
</t>
        </r>
      </text>
    </comment>
    <comment ref="Z156" authorId="0">
      <text>
        <r>
          <rPr>
            <b/>
            <sz val="9"/>
            <color indexed="81"/>
            <rFont val="Tahoma"/>
            <family val="2"/>
          </rPr>
          <t>Ingrid Malmgren:</t>
        </r>
        <r>
          <rPr>
            <sz val="9"/>
            <color indexed="81"/>
            <rFont val="Tahoma"/>
            <family val="2"/>
          </rPr>
          <t xml:space="preserve">
p.266
</t>
        </r>
      </text>
    </comment>
    <comment ref="AC156" authorId="0">
      <text>
        <r>
          <rPr>
            <b/>
            <sz val="9"/>
            <color indexed="81"/>
            <rFont val="Tahoma"/>
            <family val="2"/>
          </rPr>
          <t>Ingrid Malmgren:</t>
        </r>
        <r>
          <rPr>
            <sz val="9"/>
            <color indexed="81"/>
            <rFont val="Tahoma"/>
            <family val="2"/>
          </rPr>
          <t xml:space="preserve">
p.266
</t>
        </r>
      </text>
    </comment>
    <comment ref="AJ156" authorId="0">
      <text>
        <r>
          <rPr>
            <b/>
            <sz val="9"/>
            <color indexed="81"/>
            <rFont val="Tahoma"/>
            <family val="2"/>
          </rPr>
          <t>Ingrid Malmgren:</t>
        </r>
        <r>
          <rPr>
            <sz val="9"/>
            <color indexed="81"/>
            <rFont val="Tahoma"/>
            <family val="2"/>
          </rPr>
          <t xml:space="preserve">
Not included in prescriptive
programs</t>
        </r>
      </text>
    </comment>
    <comment ref="AQ156" authorId="0">
      <text>
        <r>
          <rPr>
            <b/>
            <sz val="9"/>
            <color indexed="81"/>
            <rFont val="Tahoma"/>
            <family val="2"/>
          </rPr>
          <t>Ingrid Malmgren:</t>
        </r>
        <r>
          <rPr>
            <sz val="9"/>
            <color indexed="81"/>
            <rFont val="Tahoma"/>
            <family val="2"/>
          </rPr>
          <t xml:space="preserve">
p.266
</t>
        </r>
      </text>
    </comment>
    <comment ref="AW15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57" authorId="0">
      <text>
        <r>
          <rPr>
            <b/>
            <sz val="9"/>
            <color indexed="81"/>
            <rFont val="Tahoma"/>
            <family val="2"/>
          </rPr>
          <t>Ingrid Malmgren:</t>
        </r>
        <r>
          <rPr>
            <sz val="9"/>
            <color indexed="81"/>
            <rFont val="Tahoma"/>
            <family val="2"/>
          </rPr>
          <t xml:space="preserve">
p.256</t>
        </r>
      </text>
    </comment>
    <comment ref="Z157" authorId="0">
      <text>
        <r>
          <rPr>
            <b/>
            <sz val="9"/>
            <color indexed="81"/>
            <rFont val="Tahoma"/>
            <family val="2"/>
          </rPr>
          <t>Ingrid Malmgren:</t>
        </r>
        <r>
          <rPr>
            <sz val="9"/>
            <color indexed="81"/>
            <rFont val="Tahoma"/>
            <family val="2"/>
          </rPr>
          <t xml:space="preserve">
p.256</t>
        </r>
      </text>
    </comment>
    <comment ref="AC157" authorId="0">
      <text>
        <r>
          <rPr>
            <b/>
            <sz val="9"/>
            <color indexed="81"/>
            <rFont val="Tahoma"/>
            <family val="2"/>
          </rPr>
          <t>Ingrid Malmgren:</t>
        </r>
        <r>
          <rPr>
            <sz val="9"/>
            <color indexed="81"/>
            <rFont val="Tahoma"/>
            <family val="2"/>
          </rPr>
          <t xml:space="preserve">
p.256</t>
        </r>
      </text>
    </comment>
    <comment ref="AJ157" authorId="0">
      <text>
        <r>
          <rPr>
            <b/>
            <sz val="9"/>
            <color indexed="81"/>
            <rFont val="Tahoma"/>
            <family val="2"/>
          </rPr>
          <t>Ingrid Malmgren:</t>
        </r>
        <r>
          <rPr>
            <sz val="9"/>
            <color indexed="81"/>
            <rFont val="Tahoma"/>
            <family val="2"/>
          </rPr>
          <t xml:space="preserve">
Not included in prescriptive
programs</t>
        </r>
      </text>
    </comment>
    <comment ref="AQ157" authorId="0">
      <text>
        <r>
          <rPr>
            <b/>
            <sz val="9"/>
            <color indexed="81"/>
            <rFont val="Tahoma"/>
            <family val="2"/>
          </rPr>
          <t>Ingrid Malmgren:</t>
        </r>
        <r>
          <rPr>
            <sz val="9"/>
            <color indexed="81"/>
            <rFont val="Tahoma"/>
            <family val="2"/>
          </rPr>
          <t xml:space="preserve">
p.256</t>
        </r>
      </text>
    </comment>
    <comment ref="AW15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58" authorId="0">
      <text>
        <r>
          <rPr>
            <b/>
            <sz val="9"/>
            <color indexed="81"/>
            <rFont val="Tahoma"/>
            <family val="2"/>
          </rPr>
          <t>Ingrid Malmgren:</t>
        </r>
        <r>
          <rPr>
            <sz val="9"/>
            <color indexed="81"/>
            <rFont val="Tahoma"/>
            <family val="2"/>
          </rPr>
          <t xml:space="preserve">
p.256</t>
        </r>
      </text>
    </comment>
    <comment ref="Z158" authorId="0">
      <text>
        <r>
          <rPr>
            <b/>
            <sz val="9"/>
            <color indexed="81"/>
            <rFont val="Tahoma"/>
            <family val="2"/>
          </rPr>
          <t>Ingrid Malmgren:</t>
        </r>
        <r>
          <rPr>
            <sz val="9"/>
            <color indexed="81"/>
            <rFont val="Tahoma"/>
            <family val="2"/>
          </rPr>
          <t xml:space="preserve">
p.256</t>
        </r>
      </text>
    </comment>
    <comment ref="AC158" authorId="0">
      <text>
        <r>
          <rPr>
            <b/>
            <sz val="9"/>
            <color indexed="81"/>
            <rFont val="Tahoma"/>
            <family val="2"/>
          </rPr>
          <t>Ingrid Malmgren:</t>
        </r>
        <r>
          <rPr>
            <sz val="9"/>
            <color indexed="81"/>
            <rFont val="Tahoma"/>
            <family val="2"/>
          </rPr>
          <t xml:space="preserve">
p.256</t>
        </r>
      </text>
    </comment>
    <comment ref="AJ158" authorId="0">
      <text>
        <r>
          <rPr>
            <b/>
            <sz val="9"/>
            <color indexed="81"/>
            <rFont val="Tahoma"/>
            <family val="2"/>
          </rPr>
          <t>Ingrid Malmgren:</t>
        </r>
        <r>
          <rPr>
            <sz val="9"/>
            <color indexed="81"/>
            <rFont val="Tahoma"/>
            <family val="2"/>
          </rPr>
          <t xml:space="preserve">
Not included in prescriptive
programs</t>
        </r>
      </text>
    </comment>
    <comment ref="AQ158" authorId="0">
      <text>
        <r>
          <rPr>
            <b/>
            <sz val="9"/>
            <color indexed="81"/>
            <rFont val="Tahoma"/>
            <family val="2"/>
          </rPr>
          <t>Ingrid Malmgren:</t>
        </r>
        <r>
          <rPr>
            <sz val="9"/>
            <color indexed="81"/>
            <rFont val="Tahoma"/>
            <family val="2"/>
          </rPr>
          <t xml:space="preserve">
p.256</t>
        </r>
      </text>
    </comment>
    <comment ref="AW15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5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5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59" authorId="0">
      <text>
        <r>
          <rPr>
            <b/>
            <sz val="9"/>
            <color indexed="81"/>
            <rFont val="Tahoma"/>
            <family val="2"/>
          </rPr>
          <t>Ingrid Malmgren:</t>
        </r>
        <r>
          <rPr>
            <sz val="9"/>
            <color indexed="81"/>
            <rFont val="Tahoma"/>
            <family val="2"/>
          </rPr>
          <t xml:space="preserve">
Not included in prescriptive
programs</t>
        </r>
      </text>
    </comment>
    <comment ref="AQ159"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59" authorId="0">
      <text>
        <r>
          <rPr>
            <b/>
            <sz val="9"/>
            <color indexed="81"/>
            <rFont val="Tahoma"/>
            <family val="2"/>
          </rPr>
          <t>Ingrid Malmgren:</t>
        </r>
        <r>
          <rPr>
            <sz val="9"/>
            <color indexed="81"/>
            <rFont val="Tahoma"/>
            <family val="2"/>
          </rPr>
          <t xml:space="preserve">
from Table 1-2</t>
        </r>
      </text>
    </comment>
    <comment ref="AU159" authorId="0">
      <text>
        <r>
          <rPr>
            <b/>
            <sz val="9"/>
            <color indexed="81"/>
            <rFont val="Tahoma"/>
            <family val="2"/>
          </rPr>
          <t xml:space="preserve">Ingrid Malmgren:
</t>
        </r>
        <r>
          <rPr>
            <sz val="9"/>
            <color indexed="81"/>
            <rFont val="Tahoma"/>
            <family val="2"/>
          </rPr>
          <t>Large retrofit prescriptive lighting NPV (annual savings X measure life X .027) RI TRM National Grid 2015 B-3</t>
        </r>
      </text>
    </comment>
    <comment ref="AW15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6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6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60" authorId="0">
      <text>
        <r>
          <rPr>
            <b/>
            <sz val="9"/>
            <color indexed="81"/>
            <rFont val="Tahoma"/>
            <family val="2"/>
          </rPr>
          <t>Ingrid Malmgren:</t>
        </r>
        <r>
          <rPr>
            <sz val="9"/>
            <color indexed="81"/>
            <rFont val="Tahoma"/>
            <family val="2"/>
          </rPr>
          <t xml:space="preserve">
Not included in prescriptive
programs</t>
        </r>
      </text>
    </comment>
    <comment ref="AQ160"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60" authorId="0">
      <text>
        <r>
          <rPr>
            <b/>
            <sz val="9"/>
            <color indexed="81"/>
            <rFont val="Tahoma"/>
            <family val="2"/>
          </rPr>
          <t>Ingrid Malmgren:</t>
        </r>
        <r>
          <rPr>
            <sz val="9"/>
            <color indexed="81"/>
            <rFont val="Tahoma"/>
            <family val="2"/>
          </rPr>
          <t xml:space="preserve">
from Table 1-2</t>
        </r>
      </text>
    </comment>
    <comment ref="AU160" authorId="0">
      <text>
        <r>
          <rPr>
            <b/>
            <sz val="9"/>
            <color indexed="81"/>
            <rFont val="Tahoma"/>
            <family val="2"/>
          </rPr>
          <t xml:space="preserve">Ingrid Malmgren:
</t>
        </r>
        <r>
          <rPr>
            <sz val="9"/>
            <color indexed="81"/>
            <rFont val="Tahoma"/>
            <family val="2"/>
          </rPr>
          <t>Large retrofit prescriptive lighting NPV (annual savings X measure life X .027) RI TRM National Grid 2015 B-3</t>
        </r>
      </text>
    </comment>
    <comment ref="AW16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6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6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61" authorId="0">
      <text>
        <r>
          <rPr>
            <b/>
            <sz val="9"/>
            <color indexed="81"/>
            <rFont val="Tahoma"/>
            <family val="2"/>
          </rPr>
          <t>Ingrid Malmgren:</t>
        </r>
        <r>
          <rPr>
            <sz val="9"/>
            <color indexed="81"/>
            <rFont val="Tahoma"/>
            <family val="2"/>
          </rPr>
          <t xml:space="preserve">
Not included in prescriptive
programs</t>
        </r>
      </text>
    </comment>
    <comment ref="AQ161"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61" authorId="0">
      <text>
        <r>
          <rPr>
            <b/>
            <sz val="9"/>
            <color indexed="81"/>
            <rFont val="Tahoma"/>
            <family val="2"/>
          </rPr>
          <t>Ingrid Malmgren:</t>
        </r>
        <r>
          <rPr>
            <sz val="9"/>
            <color indexed="81"/>
            <rFont val="Tahoma"/>
            <family val="2"/>
          </rPr>
          <t xml:space="preserve">
from Table 1-2</t>
        </r>
      </text>
    </comment>
    <comment ref="AU161" authorId="0">
      <text>
        <r>
          <rPr>
            <b/>
            <sz val="9"/>
            <color indexed="81"/>
            <rFont val="Tahoma"/>
            <family val="2"/>
          </rPr>
          <t xml:space="preserve">Ingrid Malmgren:
</t>
        </r>
        <r>
          <rPr>
            <sz val="9"/>
            <color indexed="81"/>
            <rFont val="Tahoma"/>
            <family val="2"/>
          </rPr>
          <t>Large retrofit prescriptive lighting NPV (annual savings X measure life X .027) RI TRM National Grid 2015 B-3</t>
        </r>
      </text>
    </comment>
    <comment ref="AW16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6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6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62" authorId="0">
      <text>
        <r>
          <rPr>
            <b/>
            <sz val="9"/>
            <color indexed="81"/>
            <rFont val="Tahoma"/>
            <family val="2"/>
          </rPr>
          <t>Ingrid Malmgren:</t>
        </r>
        <r>
          <rPr>
            <sz val="9"/>
            <color indexed="81"/>
            <rFont val="Tahoma"/>
            <family val="2"/>
          </rPr>
          <t xml:space="preserve">
Not included in prescriptive
programs</t>
        </r>
      </text>
    </comment>
    <comment ref="AQ162"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62" authorId="0">
      <text>
        <r>
          <rPr>
            <b/>
            <sz val="9"/>
            <color indexed="81"/>
            <rFont val="Tahoma"/>
            <family val="2"/>
          </rPr>
          <t>Ingrid Malmgren:</t>
        </r>
        <r>
          <rPr>
            <sz val="9"/>
            <color indexed="81"/>
            <rFont val="Tahoma"/>
            <family val="2"/>
          </rPr>
          <t xml:space="preserve">
from Table 1-2</t>
        </r>
      </text>
    </comment>
    <comment ref="AU162" authorId="0">
      <text>
        <r>
          <rPr>
            <b/>
            <sz val="9"/>
            <color indexed="81"/>
            <rFont val="Tahoma"/>
            <family val="2"/>
          </rPr>
          <t xml:space="preserve">Ingrid Malmgren:
</t>
        </r>
        <r>
          <rPr>
            <sz val="9"/>
            <color indexed="81"/>
            <rFont val="Tahoma"/>
            <family val="2"/>
          </rPr>
          <t>Large retrofit prescriptive lighting NPV (annual savings X measure life X .027) RI TRM National Grid 2015 B-3</t>
        </r>
      </text>
    </comment>
    <comment ref="AW16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6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6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63" authorId="0">
      <text>
        <r>
          <rPr>
            <b/>
            <sz val="9"/>
            <color indexed="81"/>
            <rFont val="Tahoma"/>
            <family val="2"/>
          </rPr>
          <t>Ingrid Malmgren:</t>
        </r>
        <r>
          <rPr>
            <sz val="9"/>
            <color indexed="81"/>
            <rFont val="Tahoma"/>
            <family val="2"/>
          </rPr>
          <t xml:space="preserve">
Not included in prescriptive
programs</t>
        </r>
      </text>
    </comment>
    <comment ref="AQ163"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63" authorId="0">
      <text>
        <r>
          <rPr>
            <b/>
            <sz val="9"/>
            <color indexed="81"/>
            <rFont val="Tahoma"/>
            <family val="2"/>
          </rPr>
          <t>Ingrid Malmgren:</t>
        </r>
        <r>
          <rPr>
            <sz val="9"/>
            <color indexed="81"/>
            <rFont val="Tahoma"/>
            <family val="2"/>
          </rPr>
          <t xml:space="preserve">
from Table 1-2</t>
        </r>
      </text>
    </comment>
    <comment ref="AU163" authorId="0">
      <text>
        <r>
          <rPr>
            <b/>
            <sz val="9"/>
            <color indexed="81"/>
            <rFont val="Tahoma"/>
            <family val="2"/>
          </rPr>
          <t xml:space="preserve">Ingrid Malmgren:
</t>
        </r>
        <r>
          <rPr>
            <sz val="9"/>
            <color indexed="81"/>
            <rFont val="Tahoma"/>
            <family val="2"/>
          </rPr>
          <t>Large retrofit prescriptive lighting NPV (annual savings X measure life X .027) RI TRM National Grid 2015 B-3</t>
        </r>
      </text>
    </comment>
    <comment ref="AW16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6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6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64" authorId="0">
      <text>
        <r>
          <rPr>
            <b/>
            <sz val="9"/>
            <color indexed="81"/>
            <rFont val="Tahoma"/>
            <family val="2"/>
          </rPr>
          <t>Ingrid Malmgren:</t>
        </r>
        <r>
          <rPr>
            <sz val="9"/>
            <color indexed="81"/>
            <rFont val="Tahoma"/>
            <family val="2"/>
          </rPr>
          <t xml:space="preserve">
Not included in prescriptive
programs</t>
        </r>
      </text>
    </comment>
    <comment ref="AQ164"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64" authorId="0">
      <text>
        <r>
          <rPr>
            <b/>
            <sz val="9"/>
            <color indexed="81"/>
            <rFont val="Tahoma"/>
            <family val="2"/>
          </rPr>
          <t>Ingrid Malmgren:</t>
        </r>
        <r>
          <rPr>
            <sz val="9"/>
            <color indexed="81"/>
            <rFont val="Tahoma"/>
            <family val="2"/>
          </rPr>
          <t xml:space="preserve">
from Table 1-2</t>
        </r>
      </text>
    </comment>
    <comment ref="AU164" authorId="0">
      <text>
        <r>
          <rPr>
            <b/>
            <sz val="9"/>
            <color indexed="81"/>
            <rFont val="Tahoma"/>
            <family val="2"/>
          </rPr>
          <t xml:space="preserve">Ingrid Malmgren:
</t>
        </r>
        <r>
          <rPr>
            <sz val="9"/>
            <color indexed="81"/>
            <rFont val="Tahoma"/>
            <family val="2"/>
          </rPr>
          <t>Large retrofit prescriptive lighting NPV (annual savings X measure life X .027) RI TRM National Grid 2015 B-3</t>
        </r>
      </text>
    </comment>
    <comment ref="AW16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164" authorId="0">
      <text>
        <r>
          <rPr>
            <b/>
            <sz val="9"/>
            <color indexed="81"/>
            <rFont val="Tahoma"/>
            <family val="2"/>
          </rPr>
          <t>Ingrid Malmgren:</t>
        </r>
        <r>
          <rPr>
            <sz val="9"/>
            <color indexed="81"/>
            <rFont val="Tahoma"/>
            <family val="2"/>
          </rPr>
          <t xml:space="preserve">
from spreadsheet from Joe Loper at ITRON 2017-2018 Medium Socket screw-in lamp LED (replacing halogen)</t>
        </r>
      </text>
    </comment>
    <comment ref="X16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6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65" authorId="0">
      <text>
        <r>
          <rPr>
            <b/>
            <sz val="9"/>
            <color indexed="81"/>
            <rFont val="Tahoma"/>
            <family val="2"/>
          </rPr>
          <t>Ingrid Malmgren:</t>
        </r>
        <r>
          <rPr>
            <sz val="9"/>
            <color indexed="81"/>
            <rFont val="Tahoma"/>
            <family val="2"/>
          </rPr>
          <t xml:space="preserve">
Not included in prescriptive
programs</t>
        </r>
      </text>
    </comment>
    <comment ref="AQ165"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65" authorId="0">
      <text>
        <r>
          <rPr>
            <b/>
            <sz val="9"/>
            <color indexed="81"/>
            <rFont val="Tahoma"/>
            <family val="2"/>
          </rPr>
          <t>Ingrid Malmgren:</t>
        </r>
        <r>
          <rPr>
            <sz val="9"/>
            <color indexed="81"/>
            <rFont val="Tahoma"/>
            <family val="2"/>
          </rPr>
          <t xml:space="preserve">
from Table 1-2</t>
        </r>
      </text>
    </comment>
    <comment ref="AU165" authorId="0">
      <text>
        <r>
          <rPr>
            <b/>
            <sz val="9"/>
            <color indexed="81"/>
            <rFont val="Tahoma"/>
            <family val="2"/>
          </rPr>
          <t xml:space="preserve">Ingrid Malmgren:
</t>
        </r>
        <r>
          <rPr>
            <sz val="9"/>
            <color indexed="81"/>
            <rFont val="Tahoma"/>
            <family val="2"/>
          </rPr>
          <t>Large retrofit prescriptive lighting NPV (annual savings X measure life X .027) RI TRM National Grid 2015 B-3</t>
        </r>
      </text>
    </comment>
    <comment ref="AW16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165" authorId="0">
      <text>
        <r>
          <rPr>
            <b/>
            <sz val="9"/>
            <color indexed="81"/>
            <rFont val="Tahoma"/>
            <family val="2"/>
          </rPr>
          <t>Ingrid Malmgren:</t>
        </r>
        <r>
          <rPr>
            <sz val="9"/>
            <color indexed="81"/>
            <rFont val="Tahoma"/>
            <family val="2"/>
          </rPr>
          <t xml:space="preserve">
from spreadsheet from Joe Loper at ITRON 2017-2018 Medium Socket screw-in lamp LED (replacing halogen)</t>
        </r>
      </text>
    </comment>
    <comment ref="X16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6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66" authorId="0">
      <text>
        <r>
          <rPr>
            <b/>
            <sz val="9"/>
            <color indexed="81"/>
            <rFont val="Tahoma"/>
            <family val="2"/>
          </rPr>
          <t>Ingrid Malmgren:</t>
        </r>
        <r>
          <rPr>
            <sz val="9"/>
            <color indexed="81"/>
            <rFont val="Tahoma"/>
            <family val="2"/>
          </rPr>
          <t xml:space="preserve">
Not included in prescriptive
programs</t>
        </r>
      </text>
    </comment>
    <comment ref="AQ166"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66" authorId="0">
      <text>
        <r>
          <rPr>
            <b/>
            <sz val="9"/>
            <color indexed="81"/>
            <rFont val="Tahoma"/>
            <family val="2"/>
          </rPr>
          <t>Ingrid Malmgren:</t>
        </r>
        <r>
          <rPr>
            <sz val="9"/>
            <color indexed="81"/>
            <rFont val="Tahoma"/>
            <family val="2"/>
          </rPr>
          <t xml:space="preserve">
from Table 1-2</t>
        </r>
      </text>
    </comment>
    <comment ref="AU166" authorId="0">
      <text>
        <r>
          <rPr>
            <b/>
            <sz val="9"/>
            <color indexed="81"/>
            <rFont val="Tahoma"/>
            <family val="2"/>
          </rPr>
          <t xml:space="preserve">Ingrid Malmgren:
</t>
        </r>
        <r>
          <rPr>
            <sz val="9"/>
            <color indexed="81"/>
            <rFont val="Tahoma"/>
            <family val="2"/>
          </rPr>
          <t>Large retrofit prescriptive lighting NPV (annual savings X measure life X .027) RI TRM National Grid 2015 B-3</t>
        </r>
      </text>
    </comment>
    <comment ref="AW16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166" authorId="0">
      <text>
        <r>
          <rPr>
            <b/>
            <sz val="9"/>
            <color indexed="81"/>
            <rFont val="Tahoma"/>
            <family val="2"/>
          </rPr>
          <t>Ingrid Malmgren:</t>
        </r>
        <r>
          <rPr>
            <sz val="9"/>
            <color indexed="81"/>
            <rFont val="Tahoma"/>
            <family val="2"/>
          </rPr>
          <t xml:space="preserve">
from spreadsheet from Joe Loper at ITRON 2017-2018 Medium Socket screw-in lamp LED (replacing halogen)</t>
        </r>
      </text>
    </comment>
    <comment ref="X16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C16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J167" authorId="0">
      <text>
        <r>
          <rPr>
            <b/>
            <sz val="9"/>
            <color indexed="81"/>
            <rFont val="Tahoma"/>
            <family val="2"/>
          </rPr>
          <t>Ingrid Malmgren:</t>
        </r>
        <r>
          <rPr>
            <sz val="9"/>
            <color indexed="81"/>
            <rFont val="Tahoma"/>
            <family val="2"/>
          </rPr>
          <t xml:space="preserve">
Not included in prescriptive
programs</t>
        </r>
      </text>
    </comment>
    <comment ref="AQ167" authorId="0">
      <text>
        <r>
          <rPr>
            <b/>
            <sz val="9"/>
            <color indexed="81"/>
            <rFont val="Tahoma"/>
            <family val="2"/>
          </rPr>
          <t>Ingrid Malmgren:</t>
        </r>
        <r>
          <rPr>
            <sz val="9"/>
            <color indexed="81"/>
            <rFont val="Tahoma"/>
            <family val="2"/>
          </rPr>
          <t xml:space="preserve">
p.418-prescriptive
includes admin costs, material handling, material movement, other costs, other labor costs, O&amp;M product spoilage, rent revenue, sales revenue and waste disposal.</t>
        </r>
      </text>
    </comment>
    <comment ref="AT167" authorId="0">
      <text>
        <r>
          <rPr>
            <b/>
            <sz val="9"/>
            <color indexed="81"/>
            <rFont val="Tahoma"/>
            <family val="2"/>
          </rPr>
          <t>Ingrid Malmgren:</t>
        </r>
        <r>
          <rPr>
            <sz val="9"/>
            <color indexed="81"/>
            <rFont val="Tahoma"/>
            <family val="2"/>
          </rPr>
          <t xml:space="preserve">
from Table 1-2</t>
        </r>
      </text>
    </comment>
    <comment ref="AU167" authorId="0">
      <text>
        <r>
          <rPr>
            <b/>
            <sz val="9"/>
            <color indexed="81"/>
            <rFont val="Tahoma"/>
            <family val="2"/>
          </rPr>
          <t xml:space="preserve">Ingrid Malmgren:
</t>
        </r>
        <r>
          <rPr>
            <sz val="9"/>
            <color indexed="81"/>
            <rFont val="Tahoma"/>
            <family val="2"/>
          </rPr>
          <t>Large retrofit prescriptive lighting NPV (annual savings X measure life X .027) RI TRM National Grid 2015 B-3</t>
        </r>
      </text>
    </comment>
    <comment ref="AW16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68" authorId="0">
      <text>
        <r>
          <rPr>
            <b/>
            <sz val="9"/>
            <color indexed="81"/>
            <rFont val="Tahoma"/>
            <family val="2"/>
          </rPr>
          <t>Ingrid Malmgren:</t>
        </r>
        <r>
          <rPr>
            <sz val="9"/>
            <color indexed="81"/>
            <rFont val="Tahoma"/>
            <family val="2"/>
          </rPr>
          <t xml:space="preserve">
from table 1-2 HVAC</t>
        </r>
      </text>
    </comment>
    <comment ref="Z168" authorId="0">
      <text>
        <r>
          <rPr>
            <b/>
            <sz val="9"/>
            <color indexed="81"/>
            <rFont val="Tahoma"/>
            <family val="2"/>
          </rPr>
          <t>Ingrid Malmgren:</t>
        </r>
        <r>
          <rPr>
            <sz val="9"/>
            <color indexed="81"/>
            <rFont val="Tahoma"/>
            <family val="2"/>
          </rPr>
          <t xml:space="preserve">
p.231
</t>
        </r>
      </text>
    </comment>
    <comment ref="AC168"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68" authorId="0">
      <text>
        <r>
          <rPr>
            <b/>
            <sz val="9"/>
            <color indexed="81"/>
            <rFont val="Tahoma"/>
            <family val="2"/>
          </rPr>
          <t>Ingrid Malmgren:</t>
        </r>
        <r>
          <rPr>
            <sz val="9"/>
            <color indexed="81"/>
            <rFont val="Tahoma"/>
            <family val="2"/>
          </rPr>
          <t xml:space="preserve">
Not included in prescriptive
programs</t>
        </r>
      </text>
    </comment>
    <comment ref="AQ168" authorId="0">
      <text>
        <r>
          <rPr>
            <b/>
            <sz val="9"/>
            <color indexed="81"/>
            <rFont val="Tahoma"/>
            <family val="2"/>
          </rPr>
          <t>Ingrid Malmgren:</t>
        </r>
        <r>
          <rPr>
            <sz val="9"/>
            <color indexed="81"/>
            <rFont val="Tahoma"/>
            <family val="2"/>
          </rPr>
          <t xml:space="preserve">
p.231
</t>
        </r>
      </text>
    </comment>
    <comment ref="AT168" authorId="0">
      <text>
        <r>
          <rPr>
            <b/>
            <sz val="9"/>
            <color indexed="81"/>
            <rFont val="Tahoma"/>
            <family val="2"/>
          </rPr>
          <t>Ingrid Malmgren:</t>
        </r>
        <r>
          <rPr>
            <sz val="9"/>
            <color indexed="81"/>
            <rFont val="Tahoma"/>
            <family val="2"/>
          </rPr>
          <t xml:space="preserve">
from table 1-2 HVAC</t>
        </r>
      </text>
    </comment>
    <comment ref="AU168" authorId="0">
      <text>
        <r>
          <rPr>
            <b/>
            <sz val="9"/>
            <color indexed="81"/>
            <rFont val="Tahoma"/>
            <family val="2"/>
          </rPr>
          <t>Ingrid Malmgren:</t>
        </r>
        <r>
          <rPr>
            <sz val="9"/>
            <color indexed="81"/>
            <rFont val="Tahoma"/>
            <family val="2"/>
          </rPr>
          <t xml:space="preserve">
large retrofit electric HVAC from B-3</t>
        </r>
      </text>
    </comment>
    <comment ref="AW16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69" authorId="0">
      <text>
        <r>
          <rPr>
            <b/>
            <sz val="9"/>
            <color indexed="81"/>
            <rFont val="Tahoma"/>
            <family val="2"/>
          </rPr>
          <t>Ingrid Malmgren:</t>
        </r>
        <r>
          <rPr>
            <sz val="9"/>
            <color indexed="81"/>
            <rFont val="Tahoma"/>
            <family val="2"/>
          </rPr>
          <t xml:space="preserve">
from table 1-2 HVAC</t>
        </r>
      </text>
    </comment>
    <comment ref="Z169" authorId="0">
      <text>
        <r>
          <rPr>
            <b/>
            <sz val="9"/>
            <color indexed="81"/>
            <rFont val="Tahoma"/>
            <family val="2"/>
          </rPr>
          <t>Ingrid Malmgren:</t>
        </r>
        <r>
          <rPr>
            <sz val="9"/>
            <color indexed="81"/>
            <rFont val="Tahoma"/>
            <family val="2"/>
          </rPr>
          <t xml:space="preserve">
p.231
</t>
        </r>
      </text>
    </comment>
    <comment ref="AC169"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69" authorId="0">
      <text>
        <r>
          <rPr>
            <b/>
            <sz val="9"/>
            <color indexed="81"/>
            <rFont val="Tahoma"/>
            <family val="2"/>
          </rPr>
          <t>Ingrid Malmgren:</t>
        </r>
        <r>
          <rPr>
            <sz val="9"/>
            <color indexed="81"/>
            <rFont val="Tahoma"/>
            <family val="2"/>
          </rPr>
          <t xml:space="preserve">
Not included in prescriptive
programs</t>
        </r>
      </text>
    </comment>
    <comment ref="AQ169" authorId="0">
      <text>
        <r>
          <rPr>
            <b/>
            <sz val="9"/>
            <color indexed="81"/>
            <rFont val="Tahoma"/>
            <family val="2"/>
          </rPr>
          <t>Ingrid Malmgren:</t>
        </r>
        <r>
          <rPr>
            <sz val="9"/>
            <color indexed="81"/>
            <rFont val="Tahoma"/>
            <family val="2"/>
          </rPr>
          <t xml:space="preserve">
p.231
</t>
        </r>
      </text>
    </comment>
    <comment ref="AT169" authorId="0">
      <text>
        <r>
          <rPr>
            <b/>
            <sz val="9"/>
            <color indexed="81"/>
            <rFont val="Tahoma"/>
            <family val="2"/>
          </rPr>
          <t>Ingrid Malmgren:</t>
        </r>
        <r>
          <rPr>
            <sz val="9"/>
            <color indexed="81"/>
            <rFont val="Tahoma"/>
            <family val="2"/>
          </rPr>
          <t xml:space="preserve">
from table 1-2 HVAC</t>
        </r>
      </text>
    </comment>
    <comment ref="AU169" authorId="0">
      <text>
        <r>
          <rPr>
            <b/>
            <sz val="9"/>
            <color indexed="81"/>
            <rFont val="Tahoma"/>
            <family val="2"/>
          </rPr>
          <t>Ingrid Malmgren:</t>
        </r>
        <r>
          <rPr>
            <sz val="9"/>
            <color indexed="81"/>
            <rFont val="Tahoma"/>
            <family val="2"/>
          </rPr>
          <t xml:space="preserve">
large retrofit electric HVAC from B-3</t>
        </r>
      </text>
    </comment>
    <comment ref="AW16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70" authorId="0">
      <text>
        <r>
          <rPr>
            <b/>
            <sz val="9"/>
            <color indexed="81"/>
            <rFont val="Tahoma"/>
            <family val="2"/>
          </rPr>
          <t>Ingrid Malmgren:</t>
        </r>
        <r>
          <rPr>
            <sz val="9"/>
            <color indexed="81"/>
            <rFont val="Tahoma"/>
            <family val="2"/>
          </rPr>
          <t xml:space="preserve">
from table 1-2 HVAC</t>
        </r>
      </text>
    </comment>
    <comment ref="Z170" authorId="0">
      <text>
        <r>
          <rPr>
            <b/>
            <sz val="9"/>
            <color indexed="81"/>
            <rFont val="Tahoma"/>
            <family val="2"/>
          </rPr>
          <t>Ingrid Malmgren:</t>
        </r>
        <r>
          <rPr>
            <sz val="9"/>
            <color indexed="81"/>
            <rFont val="Tahoma"/>
            <family val="2"/>
          </rPr>
          <t xml:space="preserve">
p.231
</t>
        </r>
      </text>
    </comment>
    <comment ref="AC170"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70" authorId="0">
      <text>
        <r>
          <rPr>
            <b/>
            <sz val="9"/>
            <color indexed="81"/>
            <rFont val="Tahoma"/>
            <family val="2"/>
          </rPr>
          <t>Ingrid Malmgren:</t>
        </r>
        <r>
          <rPr>
            <sz val="9"/>
            <color indexed="81"/>
            <rFont val="Tahoma"/>
            <family val="2"/>
          </rPr>
          <t xml:space="preserve">
Not included in prescriptive
programs</t>
        </r>
      </text>
    </comment>
    <comment ref="AQ170" authorId="0">
      <text>
        <r>
          <rPr>
            <b/>
            <sz val="9"/>
            <color indexed="81"/>
            <rFont val="Tahoma"/>
            <family val="2"/>
          </rPr>
          <t>Ingrid Malmgren:</t>
        </r>
        <r>
          <rPr>
            <sz val="9"/>
            <color indexed="81"/>
            <rFont val="Tahoma"/>
            <family val="2"/>
          </rPr>
          <t xml:space="preserve">
p.231
</t>
        </r>
      </text>
    </comment>
    <comment ref="AT170" authorId="0">
      <text>
        <r>
          <rPr>
            <b/>
            <sz val="9"/>
            <color indexed="81"/>
            <rFont val="Tahoma"/>
            <family val="2"/>
          </rPr>
          <t>Ingrid Malmgren:</t>
        </r>
        <r>
          <rPr>
            <sz val="9"/>
            <color indexed="81"/>
            <rFont val="Tahoma"/>
            <family val="2"/>
          </rPr>
          <t xml:space="preserve">
from table 1-2 HVAC</t>
        </r>
      </text>
    </comment>
    <comment ref="AU170" authorId="0">
      <text>
        <r>
          <rPr>
            <b/>
            <sz val="9"/>
            <color indexed="81"/>
            <rFont val="Tahoma"/>
            <family val="2"/>
          </rPr>
          <t>Ingrid Malmgren:</t>
        </r>
        <r>
          <rPr>
            <sz val="9"/>
            <color indexed="81"/>
            <rFont val="Tahoma"/>
            <family val="2"/>
          </rPr>
          <t xml:space="preserve">
large retrofit electric HVAC from B-3</t>
        </r>
      </text>
    </comment>
    <comment ref="AW17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71" authorId="0">
      <text>
        <r>
          <rPr>
            <b/>
            <sz val="9"/>
            <color indexed="81"/>
            <rFont val="Tahoma"/>
            <family val="2"/>
          </rPr>
          <t>Ingrid Malmgren:</t>
        </r>
        <r>
          <rPr>
            <sz val="9"/>
            <color indexed="81"/>
            <rFont val="Tahoma"/>
            <family val="2"/>
          </rPr>
          <t xml:space="preserve">
from table 1-2 HVAC</t>
        </r>
      </text>
    </comment>
    <comment ref="Z171" authorId="0">
      <text>
        <r>
          <rPr>
            <b/>
            <sz val="9"/>
            <color indexed="81"/>
            <rFont val="Tahoma"/>
            <family val="2"/>
          </rPr>
          <t>Ingrid Malmgren:</t>
        </r>
        <r>
          <rPr>
            <sz val="9"/>
            <color indexed="81"/>
            <rFont val="Tahoma"/>
            <family val="2"/>
          </rPr>
          <t xml:space="preserve">
p.231
</t>
        </r>
      </text>
    </comment>
    <comment ref="AC171"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71" authorId="0">
      <text>
        <r>
          <rPr>
            <b/>
            <sz val="9"/>
            <color indexed="81"/>
            <rFont val="Tahoma"/>
            <family val="2"/>
          </rPr>
          <t>Ingrid Malmgren:</t>
        </r>
        <r>
          <rPr>
            <sz val="9"/>
            <color indexed="81"/>
            <rFont val="Tahoma"/>
            <family val="2"/>
          </rPr>
          <t xml:space="preserve">
Not included in prescriptive
programs</t>
        </r>
      </text>
    </comment>
    <comment ref="AQ171" authorId="0">
      <text>
        <r>
          <rPr>
            <b/>
            <sz val="9"/>
            <color indexed="81"/>
            <rFont val="Tahoma"/>
            <family val="2"/>
          </rPr>
          <t>Ingrid Malmgren:</t>
        </r>
        <r>
          <rPr>
            <sz val="9"/>
            <color indexed="81"/>
            <rFont val="Tahoma"/>
            <family val="2"/>
          </rPr>
          <t xml:space="preserve">
p.231
</t>
        </r>
      </text>
    </comment>
    <comment ref="AT171" authorId="0">
      <text>
        <r>
          <rPr>
            <b/>
            <sz val="9"/>
            <color indexed="81"/>
            <rFont val="Tahoma"/>
            <family val="2"/>
          </rPr>
          <t>Ingrid Malmgren:</t>
        </r>
        <r>
          <rPr>
            <sz val="9"/>
            <color indexed="81"/>
            <rFont val="Tahoma"/>
            <family val="2"/>
          </rPr>
          <t xml:space="preserve">
from table 1-2 HVAC</t>
        </r>
      </text>
    </comment>
    <comment ref="AU171" authorId="0">
      <text>
        <r>
          <rPr>
            <b/>
            <sz val="9"/>
            <color indexed="81"/>
            <rFont val="Tahoma"/>
            <family val="2"/>
          </rPr>
          <t>Ingrid Malmgren:</t>
        </r>
        <r>
          <rPr>
            <sz val="9"/>
            <color indexed="81"/>
            <rFont val="Tahoma"/>
            <family val="2"/>
          </rPr>
          <t xml:space="preserve">
large retrofit electric HVAC from B-3</t>
        </r>
      </text>
    </comment>
    <comment ref="AW17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72" authorId="0">
      <text>
        <r>
          <rPr>
            <b/>
            <sz val="9"/>
            <color indexed="81"/>
            <rFont val="Tahoma"/>
            <family val="2"/>
          </rPr>
          <t>Ingrid Malmgren:</t>
        </r>
        <r>
          <rPr>
            <sz val="9"/>
            <color indexed="81"/>
            <rFont val="Tahoma"/>
            <family val="2"/>
          </rPr>
          <t xml:space="preserve">
from table 1-2 HVAC</t>
        </r>
      </text>
    </comment>
    <comment ref="Z172" authorId="0">
      <text>
        <r>
          <rPr>
            <b/>
            <sz val="9"/>
            <color indexed="81"/>
            <rFont val="Tahoma"/>
            <family val="2"/>
          </rPr>
          <t>Ingrid Malmgren:</t>
        </r>
        <r>
          <rPr>
            <sz val="9"/>
            <color indexed="81"/>
            <rFont val="Tahoma"/>
            <family val="2"/>
          </rPr>
          <t xml:space="preserve">
p.231
</t>
        </r>
      </text>
    </comment>
    <comment ref="AC172"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72" authorId="0">
      <text>
        <r>
          <rPr>
            <b/>
            <sz val="9"/>
            <color indexed="81"/>
            <rFont val="Tahoma"/>
            <family val="2"/>
          </rPr>
          <t>Ingrid Malmgren:</t>
        </r>
        <r>
          <rPr>
            <sz val="9"/>
            <color indexed="81"/>
            <rFont val="Tahoma"/>
            <family val="2"/>
          </rPr>
          <t xml:space="preserve">
Not included in prescriptive
programs</t>
        </r>
      </text>
    </comment>
    <comment ref="AQ172" authorId="0">
      <text>
        <r>
          <rPr>
            <b/>
            <sz val="9"/>
            <color indexed="81"/>
            <rFont val="Tahoma"/>
            <family val="2"/>
          </rPr>
          <t>Ingrid Malmgren:</t>
        </r>
        <r>
          <rPr>
            <sz val="9"/>
            <color indexed="81"/>
            <rFont val="Tahoma"/>
            <family val="2"/>
          </rPr>
          <t xml:space="preserve">
p.231
</t>
        </r>
      </text>
    </comment>
    <comment ref="AT172" authorId="0">
      <text>
        <r>
          <rPr>
            <b/>
            <sz val="9"/>
            <color indexed="81"/>
            <rFont val="Tahoma"/>
            <family val="2"/>
          </rPr>
          <t>Ingrid Malmgren:</t>
        </r>
        <r>
          <rPr>
            <sz val="9"/>
            <color indexed="81"/>
            <rFont val="Tahoma"/>
            <family val="2"/>
          </rPr>
          <t xml:space="preserve">
from table 1-2 HVAC</t>
        </r>
      </text>
    </comment>
    <comment ref="AU172" authorId="0">
      <text>
        <r>
          <rPr>
            <b/>
            <sz val="9"/>
            <color indexed="81"/>
            <rFont val="Tahoma"/>
            <family val="2"/>
          </rPr>
          <t>Ingrid Malmgren:</t>
        </r>
        <r>
          <rPr>
            <sz val="9"/>
            <color indexed="81"/>
            <rFont val="Tahoma"/>
            <family val="2"/>
          </rPr>
          <t xml:space="preserve">
large retrofit electric HVAC from B-3</t>
        </r>
      </text>
    </comment>
    <comment ref="AW17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73" authorId="0">
      <text>
        <r>
          <rPr>
            <b/>
            <sz val="9"/>
            <color indexed="81"/>
            <rFont val="Tahoma"/>
            <family val="2"/>
          </rPr>
          <t>Ingrid Malmgren:</t>
        </r>
        <r>
          <rPr>
            <sz val="9"/>
            <color indexed="81"/>
            <rFont val="Tahoma"/>
            <family val="2"/>
          </rPr>
          <t xml:space="preserve">
from table 1-2 HVAC</t>
        </r>
      </text>
    </comment>
    <comment ref="Z173" authorId="0">
      <text>
        <r>
          <rPr>
            <b/>
            <sz val="9"/>
            <color indexed="81"/>
            <rFont val="Tahoma"/>
            <family val="2"/>
          </rPr>
          <t>Ingrid Malmgren:</t>
        </r>
        <r>
          <rPr>
            <sz val="9"/>
            <color indexed="81"/>
            <rFont val="Tahoma"/>
            <family val="2"/>
          </rPr>
          <t xml:space="preserve">
p.231
</t>
        </r>
      </text>
    </comment>
    <comment ref="AC173"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73" authorId="0">
      <text>
        <r>
          <rPr>
            <b/>
            <sz val="9"/>
            <color indexed="81"/>
            <rFont val="Tahoma"/>
            <family val="2"/>
          </rPr>
          <t>Ingrid Malmgren:</t>
        </r>
        <r>
          <rPr>
            <sz val="9"/>
            <color indexed="81"/>
            <rFont val="Tahoma"/>
            <family val="2"/>
          </rPr>
          <t xml:space="preserve">
Not included in prescriptive
programs</t>
        </r>
      </text>
    </comment>
    <comment ref="AQ173" authorId="0">
      <text>
        <r>
          <rPr>
            <b/>
            <sz val="9"/>
            <color indexed="81"/>
            <rFont val="Tahoma"/>
            <family val="2"/>
          </rPr>
          <t>Ingrid Malmgren:</t>
        </r>
        <r>
          <rPr>
            <sz val="9"/>
            <color indexed="81"/>
            <rFont val="Tahoma"/>
            <family val="2"/>
          </rPr>
          <t xml:space="preserve">
p.231
</t>
        </r>
      </text>
    </comment>
    <comment ref="AT173" authorId="0">
      <text>
        <r>
          <rPr>
            <b/>
            <sz val="9"/>
            <color indexed="81"/>
            <rFont val="Tahoma"/>
            <family val="2"/>
          </rPr>
          <t>Ingrid Malmgren:</t>
        </r>
        <r>
          <rPr>
            <sz val="9"/>
            <color indexed="81"/>
            <rFont val="Tahoma"/>
            <family val="2"/>
          </rPr>
          <t xml:space="preserve">
from table 1-2 HVAC</t>
        </r>
      </text>
    </comment>
    <comment ref="AU173" authorId="0">
      <text>
        <r>
          <rPr>
            <b/>
            <sz val="9"/>
            <color indexed="81"/>
            <rFont val="Tahoma"/>
            <family val="2"/>
          </rPr>
          <t>Ingrid Malmgren:</t>
        </r>
        <r>
          <rPr>
            <sz val="9"/>
            <color indexed="81"/>
            <rFont val="Tahoma"/>
            <family val="2"/>
          </rPr>
          <t xml:space="preserve">
large retrofit electric HVAC from B-3</t>
        </r>
      </text>
    </comment>
    <comment ref="AW17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74" authorId="0">
      <text>
        <r>
          <rPr>
            <b/>
            <sz val="9"/>
            <color indexed="81"/>
            <rFont val="Tahoma"/>
            <family val="2"/>
          </rPr>
          <t>Ingrid Malmgren:</t>
        </r>
        <r>
          <rPr>
            <sz val="9"/>
            <color indexed="81"/>
            <rFont val="Tahoma"/>
            <family val="2"/>
          </rPr>
          <t xml:space="preserve">
from table 1-2 HVAC</t>
        </r>
      </text>
    </comment>
    <comment ref="Z174" authorId="0">
      <text>
        <r>
          <rPr>
            <b/>
            <sz val="9"/>
            <color indexed="81"/>
            <rFont val="Tahoma"/>
            <family val="2"/>
          </rPr>
          <t>Ingrid Malmgren:</t>
        </r>
        <r>
          <rPr>
            <sz val="9"/>
            <color indexed="81"/>
            <rFont val="Tahoma"/>
            <family val="2"/>
          </rPr>
          <t xml:space="preserve">
p.231
</t>
        </r>
      </text>
    </comment>
    <comment ref="AC174"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74" authorId="0">
      <text>
        <r>
          <rPr>
            <b/>
            <sz val="9"/>
            <color indexed="81"/>
            <rFont val="Tahoma"/>
            <family val="2"/>
          </rPr>
          <t>Ingrid Malmgren:</t>
        </r>
        <r>
          <rPr>
            <sz val="9"/>
            <color indexed="81"/>
            <rFont val="Tahoma"/>
            <family val="2"/>
          </rPr>
          <t xml:space="preserve">
Not included in prescriptive
programs</t>
        </r>
      </text>
    </comment>
    <comment ref="AQ174" authorId="0">
      <text>
        <r>
          <rPr>
            <b/>
            <sz val="9"/>
            <color indexed="81"/>
            <rFont val="Tahoma"/>
            <family val="2"/>
          </rPr>
          <t>Ingrid Malmgren:</t>
        </r>
        <r>
          <rPr>
            <sz val="9"/>
            <color indexed="81"/>
            <rFont val="Tahoma"/>
            <family val="2"/>
          </rPr>
          <t xml:space="preserve">
p.231
</t>
        </r>
      </text>
    </comment>
    <comment ref="AT174" authorId="0">
      <text>
        <r>
          <rPr>
            <b/>
            <sz val="9"/>
            <color indexed="81"/>
            <rFont val="Tahoma"/>
            <family val="2"/>
          </rPr>
          <t>Ingrid Malmgren:</t>
        </r>
        <r>
          <rPr>
            <sz val="9"/>
            <color indexed="81"/>
            <rFont val="Tahoma"/>
            <family val="2"/>
          </rPr>
          <t xml:space="preserve">
from table 1-2 HVAC</t>
        </r>
      </text>
    </comment>
    <comment ref="AU174" authorId="0">
      <text>
        <r>
          <rPr>
            <b/>
            <sz val="9"/>
            <color indexed="81"/>
            <rFont val="Tahoma"/>
            <family val="2"/>
          </rPr>
          <t>Ingrid Malmgren:</t>
        </r>
        <r>
          <rPr>
            <sz val="9"/>
            <color indexed="81"/>
            <rFont val="Tahoma"/>
            <family val="2"/>
          </rPr>
          <t xml:space="preserve">
large retrofit electric HVAC from B-3</t>
        </r>
      </text>
    </comment>
    <comment ref="AW17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75" authorId="0">
      <text>
        <r>
          <rPr>
            <b/>
            <sz val="9"/>
            <color indexed="81"/>
            <rFont val="Tahoma"/>
            <family val="2"/>
          </rPr>
          <t>Ingrid Malmgren:</t>
        </r>
        <r>
          <rPr>
            <sz val="9"/>
            <color indexed="81"/>
            <rFont val="Tahoma"/>
            <family val="2"/>
          </rPr>
          <t xml:space="preserve">
from table 1-2 HVAC</t>
        </r>
      </text>
    </comment>
    <comment ref="Z175" authorId="0">
      <text>
        <r>
          <rPr>
            <b/>
            <sz val="9"/>
            <color indexed="81"/>
            <rFont val="Tahoma"/>
            <family val="2"/>
          </rPr>
          <t>Ingrid Malmgren:</t>
        </r>
        <r>
          <rPr>
            <sz val="9"/>
            <color indexed="81"/>
            <rFont val="Tahoma"/>
            <family val="2"/>
          </rPr>
          <t xml:space="preserve">
p.231
</t>
        </r>
      </text>
    </comment>
    <comment ref="AC175"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75" authorId="0">
      <text>
        <r>
          <rPr>
            <b/>
            <sz val="9"/>
            <color indexed="81"/>
            <rFont val="Tahoma"/>
            <family val="2"/>
          </rPr>
          <t>Ingrid Malmgren:</t>
        </r>
        <r>
          <rPr>
            <sz val="9"/>
            <color indexed="81"/>
            <rFont val="Tahoma"/>
            <family val="2"/>
          </rPr>
          <t xml:space="preserve">
Not included in prescriptive
programs</t>
        </r>
      </text>
    </comment>
    <comment ref="AQ175" authorId="0">
      <text>
        <r>
          <rPr>
            <b/>
            <sz val="9"/>
            <color indexed="81"/>
            <rFont val="Tahoma"/>
            <family val="2"/>
          </rPr>
          <t>Ingrid Malmgren:</t>
        </r>
        <r>
          <rPr>
            <sz val="9"/>
            <color indexed="81"/>
            <rFont val="Tahoma"/>
            <family val="2"/>
          </rPr>
          <t xml:space="preserve">
p.231
</t>
        </r>
      </text>
    </comment>
    <comment ref="AT175" authorId="0">
      <text>
        <r>
          <rPr>
            <b/>
            <sz val="9"/>
            <color indexed="81"/>
            <rFont val="Tahoma"/>
            <family val="2"/>
          </rPr>
          <t>Ingrid Malmgren:</t>
        </r>
        <r>
          <rPr>
            <sz val="9"/>
            <color indexed="81"/>
            <rFont val="Tahoma"/>
            <family val="2"/>
          </rPr>
          <t xml:space="preserve">
from table 1-2 HVAC</t>
        </r>
      </text>
    </comment>
    <comment ref="AU175" authorId="0">
      <text>
        <r>
          <rPr>
            <b/>
            <sz val="9"/>
            <color indexed="81"/>
            <rFont val="Tahoma"/>
            <family val="2"/>
          </rPr>
          <t>Ingrid Malmgren:</t>
        </r>
        <r>
          <rPr>
            <sz val="9"/>
            <color indexed="81"/>
            <rFont val="Tahoma"/>
            <family val="2"/>
          </rPr>
          <t xml:space="preserve">
large retrofit electric HVAC from B-3</t>
        </r>
      </text>
    </comment>
    <comment ref="AW17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76" authorId="0">
      <text>
        <r>
          <rPr>
            <b/>
            <sz val="9"/>
            <color indexed="81"/>
            <rFont val="Tahoma"/>
            <family val="2"/>
          </rPr>
          <t>Ingrid Malmgren:</t>
        </r>
        <r>
          <rPr>
            <sz val="9"/>
            <color indexed="81"/>
            <rFont val="Tahoma"/>
            <family val="2"/>
          </rPr>
          <t xml:space="preserve">
from table 1-2 HVAC</t>
        </r>
      </text>
    </comment>
    <comment ref="Z176" authorId="0">
      <text>
        <r>
          <rPr>
            <b/>
            <sz val="9"/>
            <color indexed="81"/>
            <rFont val="Tahoma"/>
            <family val="2"/>
          </rPr>
          <t>Ingrid Malmgren:</t>
        </r>
        <r>
          <rPr>
            <sz val="9"/>
            <color indexed="81"/>
            <rFont val="Tahoma"/>
            <family val="2"/>
          </rPr>
          <t xml:space="preserve">
p.231
</t>
        </r>
      </text>
    </comment>
    <comment ref="AC176"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76" authorId="0">
      <text>
        <r>
          <rPr>
            <b/>
            <sz val="9"/>
            <color indexed="81"/>
            <rFont val="Tahoma"/>
            <family val="2"/>
          </rPr>
          <t>Ingrid Malmgren:</t>
        </r>
        <r>
          <rPr>
            <sz val="9"/>
            <color indexed="81"/>
            <rFont val="Tahoma"/>
            <family val="2"/>
          </rPr>
          <t xml:space="preserve">
Not included in prescriptive
programs</t>
        </r>
      </text>
    </comment>
    <comment ref="AQ176" authorId="0">
      <text>
        <r>
          <rPr>
            <b/>
            <sz val="9"/>
            <color indexed="81"/>
            <rFont val="Tahoma"/>
            <family val="2"/>
          </rPr>
          <t>Ingrid Malmgren:</t>
        </r>
        <r>
          <rPr>
            <sz val="9"/>
            <color indexed="81"/>
            <rFont val="Tahoma"/>
            <family val="2"/>
          </rPr>
          <t xml:space="preserve">
p.231
</t>
        </r>
      </text>
    </comment>
    <comment ref="AT176" authorId="0">
      <text>
        <r>
          <rPr>
            <b/>
            <sz val="9"/>
            <color indexed="81"/>
            <rFont val="Tahoma"/>
            <family val="2"/>
          </rPr>
          <t>Ingrid Malmgren:</t>
        </r>
        <r>
          <rPr>
            <sz val="9"/>
            <color indexed="81"/>
            <rFont val="Tahoma"/>
            <family val="2"/>
          </rPr>
          <t xml:space="preserve">
from table 1-2 HVAC</t>
        </r>
      </text>
    </comment>
    <comment ref="AU176" authorId="0">
      <text>
        <r>
          <rPr>
            <b/>
            <sz val="9"/>
            <color indexed="81"/>
            <rFont val="Tahoma"/>
            <family val="2"/>
          </rPr>
          <t>Ingrid Malmgren:</t>
        </r>
        <r>
          <rPr>
            <sz val="9"/>
            <color indexed="81"/>
            <rFont val="Tahoma"/>
            <family val="2"/>
          </rPr>
          <t xml:space="preserve">
large retrofit electric HVAC from B-3</t>
        </r>
      </text>
    </comment>
    <comment ref="AW17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77" authorId="0">
      <text>
        <r>
          <rPr>
            <b/>
            <sz val="9"/>
            <color indexed="81"/>
            <rFont val="Tahoma"/>
            <family val="2"/>
          </rPr>
          <t>Ingrid Malmgren:</t>
        </r>
        <r>
          <rPr>
            <sz val="9"/>
            <color indexed="81"/>
            <rFont val="Tahoma"/>
            <family val="2"/>
          </rPr>
          <t xml:space="preserve">
from table 1-2 HVAC</t>
        </r>
      </text>
    </comment>
    <comment ref="Z177" authorId="0">
      <text>
        <r>
          <rPr>
            <b/>
            <sz val="9"/>
            <color indexed="81"/>
            <rFont val="Tahoma"/>
            <family val="2"/>
          </rPr>
          <t>Ingrid Malmgren:</t>
        </r>
        <r>
          <rPr>
            <sz val="9"/>
            <color indexed="81"/>
            <rFont val="Tahoma"/>
            <family val="2"/>
          </rPr>
          <t xml:space="preserve">
p.231
</t>
        </r>
      </text>
    </comment>
    <comment ref="AC177"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77" authorId="0">
      <text>
        <r>
          <rPr>
            <b/>
            <sz val="9"/>
            <color indexed="81"/>
            <rFont val="Tahoma"/>
            <family val="2"/>
          </rPr>
          <t>Ingrid Malmgren:</t>
        </r>
        <r>
          <rPr>
            <sz val="9"/>
            <color indexed="81"/>
            <rFont val="Tahoma"/>
            <family val="2"/>
          </rPr>
          <t xml:space="preserve">
Not included in prescriptive
programs</t>
        </r>
      </text>
    </comment>
    <comment ref="AQ177" authorId="0">
      <text>
        <r>
          <rPr>
            <b/>
            <sz val="9"/>
            <color indexed="81"/>
            <rFont val="Tahoma"/>
            <family val="2"/>
          </rPr>
          <t>Ingrid Malmgren:</t>
        </r>
        <r>
          <rPr>
            <sz val="9"/>
            <color indexed="81"/>
            <rFont val="Tahoma"/>
            <family val="2"/>
          </rPr>
          <t xml:space="preserve">
p.231
</t>
        </r>
      </text>
    </comment>
    <comment ref="AT177" authorId="0">
      <text>
        <r>
          <rPr>
            <b/>
            <sz val="9"/>
            <color indexed="81"/>
            <rFont val="Tahoma"/>
            <family val="2"/>
          </rPr>
          <t>Ingrid Malmgren:</t>
        </r>
        <r>
          <rPr>
            <sz val="9"/>
            <color indexed="81"/>
            <rFont val="Tahoma"/>
            <family val="2"/>
          </rPr>
          <t xml:space="preserve">
from table 1-2 HVAC</t>
        </r>
      </text>
    </comment>
    <comment ref="AU177" authorId="0">
      <text>
        <r>
          <rPr>
            <b/>
            <sz val="9"/>
            <color indexed="81"/>
            <rFont val="Tahoma"/>
            <family val="2"/>
          </rPr>
          <t>Ingrid Malmgren:</t>
        </r>
        <r>
          <rPr>
            <sz val="9"/>
            <color indexed="81"/>
            <rFont val="Tahoma"/>
            <family val="2"/>
          </rPr>
          <t xml:space="preserve">
large retrofit electric HVAC from B-3</t>
        </r>
      </text>
    </comment>
    <comment ref="AW17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78" authorId="0">
      <text>
        <r>
          <rPr>
            <b/>
            <sz val="9"/>
            <color indexed="81"/>
            <rFont val="Tahoma"/>
            <family val="2"/>
          </rPr>
          <t>Ingrid Malmgren:</t>
        </r>
        <r>
          <rPr>
            <sz val="9"/>
            <color indexed="81"/>
            <rFont val="Tahoma"/>
            <family val="2"/>
          </rPr>
          <t xml:space="preserve">
from table 1-2 HVAC</t>
        </r>
      </text>
    </comment>
    <comment ref="Z178" authorId="0">
      <text>
        <r>
          <rPr>
            <b/>
            <sz val="9"/>
            <color indexed="81"/>
            <rFont val="Tahoma"/>
            <family val="2"/>
          </rPr>
          <t>Ingrid Malmgren:</t>
        </r>
        <r>
          <rPr>
            <sz val="9"/>
            <color indexed="81"/>
            <rFont val="Tahoma"/>
            <family val="2"/>
          </rPr>
          <t xml:space="preserve">
p.231
</t>
        </r>
      </text>
    </comment>
    <comment ref="AC178"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78" authorId="0">
      <text>
        <r>
          <rPr>
            <b/>
            <sz val="9"/>
            <color indexed="81"/>
            <rFont val="Tahoma"/>
            <family val="2"/>
          </rPr>
          <t>Ingrid Malmgren:</t>
        </r>
        <r>
          <rPr>
            <sz val="9"/>
            <color indexed="81"/>
            <rFont val="Tahoma"/>
            <family val="2"/>
          </rPr>
          <t xml:space="preserve">
Not included in prescriptive
programs</t>
        </r>
      </text>
    </comment>
    <comment ref="AQ178" authorId="0">
      <text>
        <r>
          <rPr>
            <b/>
            <sz val="9"/>
            <color indexed="81"/>
            <rFont val="Tahoma"/>
            <family val="2"/>
          </rPr>
          <t>Ingrid Malmgren:</t>
        </r>
        <r>
          <rPr>
            <sz val="9"/>
            <color indexed="81"/>
            <rFont val="Tahoma"/>
            <family val="2"/>
          </rPr>
          <t xml:space="preserve">
p.231
</t>
        </r>
      </text>
    </comment>
    <comment ref="AT178" authorId="0">
      <text>
        <r>
          <rPr>
            <b/>
            <sz val="9"/>
            <color indexed="81"/>
            <rFont val="Tahoma"/>
            <family val="2"/>
          </rPr>
          <t>Ingrid Malmgren:</t>
        </r>
        <r>
          <rPr>
            <sz val="9"/>
            <color indexed="81"/>
            <rFont val="Tahoma"/>
            <family val="2"/>
          </rPr>
          <t xml:space="preserve">
from table 1-2 HVAC</t>
        </r>
      </text>
    </comment>
    <comment ref="AU178" authorId="0">
      <text>
        <r>
          <rPr>
            <b/>
            <sz val="9"/>
            <color indexed="81"/>
            <rFont val="Tahoma"/>
            <family val="2"/>
          </rPr>
          <t>Ingrid Malmgren:</t>
        </r>
        <r>
          <rPr>
            <sz val="9"/>
            <color indexed="81"/>
            <rFont val="Tahoma"/>
            <family val="2"/>
          </rPr>
          <t xml:space="preserve">
large retrofit electric HVAC from B-3</t>
        </r>
      </text>
    </comment>
    <comment ref="AW17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79" authorId="0">
      <text>
        <r>
          <rPr>
            <b/>
            <sz val="9"/>
            <color indexed="81"/>
            <rFont val="Tahoma"/>
            <family val="2"/>
          </rPr>
          <t>Ingrid Malmgren:</t>
        </r>
        <r>
          <rPr>
            <sz val="9"/>
            <color indexed="81"/>
            <rFont val="Tahoma"/>
            <family val="2"/>
          </rPr>
          <t xml:space="preserve">
from table 1-2 HVAC</t>
        </r>
      </text>
    </comment>
    <comment ref="Z179" authorId="0">
      <text>
        <r>
          <rPr>
            <b/>
            <sz val="9"/>
            <color indexed="81"/>
            <rFont val="Tahoma"/>
            <family val="2"/>
          </rPr>
          <t>Ingrid Malmgren:</t>
        </r>
        <r>
          <rPr>
            <sz val="9"/>
            <color indexed="81"/>
            <rFont val="Tahoma"/>
            <family val="2"/>
          </rPr>
          <t xml:space="preserve">
p.231
</t>
        </r>
      </text>
    </comment>
    <comment ref="AC179"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79" authorId="0">
      <text>
        <r>
          <rPr>
            <b/>
            <sz val="9"/>
            <color indexed="81"/>
            <rFont val="Tahoma"/>
            <family val="2"/>
          </rPr>
          <t>Ingrid Malmgren:</t>
        </r>
        <r>
          <rPr>
            <sz val="9"/>
            <color indexed="81"/>
            <rFont val="Tahoma"/>
            <family val="2"/>
          </rPr>
          <t xml:space="preserve">
Not included in prescriptive
programs</t>
        </r>
      </text>
    </comment>
    <comment ref="AQ179" authorId="0">
      <text>
        <r>
          <rPr>
            <b/>
            <sz val="9"/>
            <color indexed="81"/>
            <rFont val="Tahoma"/>
            <family val="2"/>
          </rPr>
          <t>Ingrid Malmgren:</t>
        </r>
        <r>
          <rPr>
            <sz val="9"/>
            <color indexed="81"/>
            <rFont val="Tahoma"/>
            <family val="2"/>
          </rPr>
          <t xml:space="preserve">
p.231
</t>
        </r>
      </text>
    </comment>
    <comment ref="AT179" authorId="0">
      <text>
        <r>
          <rPr>
            <b/>
            <sz val="9"/>
            <color indexed="81"/>
            <rFont val="Tahoma"/>
            <family val="2"/>
          </rPr>
          <t>Ingrid Malmgren:</t>
        </r>
        <r>
          <rPr>
            <sz val="9"/>
            <color indexed="81"/>
            <rFont val="Tahoma"/>
            <family val="2"/>
          </rPr>
          <t xml:space="preserve">
from table 1-2 HVAC</t>
        </r>
      </text>
    </comment>
    <comment ref="AU179" authorId="0">
      <text>
        <r>
          <rPr>
            <b/>
            <sz val="9"/>
            <color indexed="81"/>
            <rFont val="Tahoma"/>
            <family val="2"/>
          </rPr>
          <t>Ingrid Malmgren:</t>
        </r>
        <r>
          <rPr>
            <sz val="9"/>
            <color indexed="81"/>
            <rFont val="Tahoma"/>
            <family val="2"/>
          </rPr>
          <t xml:space="preserve">
large retrofit electric HVAC from B-3</t>
        </r>
      </text>
    </comment>
    <comment ref="AW17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80" authorId="0">
      <text>
        <r>
          <rPr>
            <b/>
            <sz val="9"/>
            <color indexed="81"/>
            <rFont val="Tahoma"/>
            <family val="2"/>
          </rPr>
          <t>Ingrid Malmgren:</t>
        </r>
        <r>
          <rPr>
            <sz val="9"/>
            <color indexed="81"/>
            <rFont val="Tahoma"/>
            <family val="2"/>
          </rPr>
          <t xml:space="preserve">
from table 1-2 HVAC</t>
        </r>
      </text>
    </comment>
    <comment ref="Z180" authorId="0">
      <text>
        <r>
          <rPr>
            <b/>
            <sz val="9"/>
            <color indexed="81"/>
            <rFont val="Tahoma"/>
            <family val="2"/>
          </rPr>
          <t>Ingrid Malmgren:</t>
        </r>
        <r>
          <rPr>
            <sz val="9"/>
            <color indexed="81"/>
            <rFont val="Tahoma"/>
            <family val="2"/>
          </rPr>
          <t xml:space="preserve">
p.231
</t>
        </r>
      </text>
    </comment>
    <comment ref="AC180"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80" authorId="0">
      <text>
        <r>
          <rPr>
            <b/>
            <sz val="9"/>
            <color indexed="81"/>
            <rFont val="Tahoma"/>
            <family val="2"/>
          </rPr>
          <t>Ingrid Malmgren:</t>
        </r>
        <r>
          <rPr>
            <sz val="9"/>
            <color indexed="81"/>
            <rFont val="Tahoma"/>
            <family val="2"/>
          </rPr>
          <t xml:space="preserve">
Not included in prescriptive
programs</t>
        </r>
      </text>
    </comment>
    <comment ref="AQ180" authorId="0">
      <text>
        <r>
          <rPr>
            <b/>
            <sz val="9"/>
            <color indexed="81"/>
            <rFont val="Tahoma"/>
            <family val="2"/>
          </rPr>
          <t>Ingrid Malmgren:</t>
        </r>
        <r>
          <rPr>
            <sz val="9"/>
            <color indexed="81"/>
            <rFont val="Tahoma"/>
            <family val="2"/>
          </rPr>
          <t xml:space="preserve">
p.231
</t>
        </r>
      </text>
    </comment>
    <comment ref="AT180" authorId="0">
      <text>
        <r>
          <rPr>
            <b/>
            <sz val="9"/>
            <color indexed="81"/>
            <rFont val="Tahoma"/>
            <family val="2"/>
          </rPr>
          <t>Ingrid Malmgren:</t>
        </r>
        <r>
          <rPr>
            <sz val="9"/>
            <color indexed="81"/>
            <rFont val="Tahoma"/>
            <family val="2"/>
          </rPr>
          <t xml:space="preserve">
from table 1-2 HVAC</t>
        </r>
      </text>
    </comment>
    <comment ref="AU180" authorId="0">
      <text>
        <r>
          <rPr>
            <b/>
            <sz val="9"/>
            <color indexed="81"/>
            <rFont val="Tahoma"/>
            <family val="2"/>
          </rPr>
          <t>Ingrid Malmgren:</t>
        </r>
        <r>
          <rPr>
            <sz val="9"/>
            <color indexed="81"/>
            <rFont val="Tahoma"/>
            <family val="2"/>
          </rPr>
          <t xml:space="preserve">
large retrofit electric HVAC from B-3</t>
        </r>
      </text>
    </comment>
    <comment ref="AW18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81" authorId="0">
      <text>
        <r>
          <rPr>
            <b/>
            <sz val="9"/>
            <color indexed="81"/>
            <rFont val="Tahoma"/>
            <family val="2"/>
          </rPr>
          <t>Ingrid Malmgren:</t>
        </r>
        <r>
          <rPr>
            <sz val="9"/>
            <color indexed="81"/>
            <rFont val="Tahoma"/>
            <family val="2"/>
          </rPr>
          <t xml:space="preserve">
from table 1-2 HVAC</t>
        </r>
      </text>
    </comment>
    <comment ref="Z181" authorId="0">
      <text>
        <r>
          <rPr>
            <b/>
            <sz val="9"/>
            <color indexed="81"/>
            <rFont val="Tahoma"/>
            <family val="2"/>
          </rPr>
          <t>Ingrid Malmgren:</t>
        </r>
        <r>
          <rPr>
            <sz val="9"/>
            <color indexed="81"/>
            <rFont val="Tahoma"/>
            <family val="2"/>
          </rPr>
          <t xml:space="preserve">
p.231
</t>
        </r>
      </text>
    </comment>
    <comment ref="AC181"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81" authorId="0">
      <text>
        <r>
          <rPr>
            <b/>
            <sz val="9"/>
            <color indexed="81"/>
            <rFont val="Tahoma"/>
            <family val="2"/>
          </rPr>
          <t>Ingrid Malmgren:</t>
        </r>
        <r>
          <rPr>
            <sz val="9"/>
            <color indexed="81"/>
            <rFont val="Tahoma"/>
            <family val="2"/>
          </rPr>
          <t xml:space="preserve">
Not included in prescriptive
programs</t>
        </r>
      </text>
    </comment>
    <comment ref="AQ181" authorId="0">
      <text>
        <r>
          <rPr>
            <b/>
            <sz val="9"/>
            <color indexed="81"/>
            <rFont val="Tahoma"/>
            <family val="2"/>
          </rPr>
          <t>Ingrid Malmgren:</t>
        </r>
        <r>
          <rPr>
            <sz val="9"/>
            <color indexed="81"/>
            <rFont val="Tahoma"/>
            <family val="2"/>
          </rPr>
          <t xml:space="preserve">
p.231
</t>
        </r>
      </text>
    </comment>
    <comment ref="AT181" authorId="0">
      <text>
        <r>
          <rPr>
            <b/>
            <sz val="9"/>
            <color indexed="81"/>
            <rFont val="Tahoma"/>
            <family val="2"/>
          </rPr>
          <t>Ingrid Malmgren:</t>
        </r>
        <r>
          <rPr>
            <sz val="9"/>
            <color indexed="81"/>
            <rFont val="Tahoma"/>
            <family val="2"/>
          </rPr>
          <t xml:space="preserve">
from table 1-2 HVAC</t>
        </r>
      </text>
    </comment>
    <comment ref="AU181" authorId="0">
      <text>
        <r>
          <rPr>
            <b/>
            <sz val="9"/>
            <color indexed="81"/>
            <rFont val="Tahoma"/>
            <family val="2"/>
          </rPr>
          <t>Ingrid Malmgren:</t>
        </r>
        <r>
          <rPr>
            <sz val="9"/>
            <color indexed="81"/>
            <rFont val="Tahoma"/>
            <family val="2"/>
          </rPr>
          <t xml:space="preserve">
large retrofit electric HVAC from B-3</t>
        </r>
      </text>
    </comment>
    <comment ref="AW18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82" authorId="0">
      <text>
        <r>
          <rPr>
            <b/>
            <sz val="9"/>
            <color indexed="81"/>
            <rFont val="Tahoma"/>
            <family val="2"/>
          </rPr>
          <t>Ingrid Malmgren:</t>
        </r>
        <r>
          <rPr>
            <sz val="9"/>
            <color indexed="81"/>
            <rFont val="Tahoma"/>
            <family val="2"/>
          </rPr>
          <t xml:space="preserve">
from table 1-2 HVAC</t>
        </r>
      </text>
    </comment>
    <comment ref="Z182" authorId="0">
      <text>
        <r>
          <rPr>
            <b/>
            <sz val="9"/>
            <color indexed="81"/>
            <rFont val="Tahoma"/>
            <family val="2"/>
          </rPr>
          <t>Ingrid Malmgren:</t>
        </r>
        <r>
          <rPr>
            <sz val="9"/>
            <color indexed="81"/>
            <rFont val="Tahoma"/>
            <family val="2"/>
          </rPr>
          <t xml:space="preserve">
p.231
</t>
        </r>
      </text>
    </comment>
    <comment ref="AC182"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82" authorId="0">
      <text>
        <r>
          <rPr>
            <b/>
            <sz val="9"/>
            <color indexed="81"/>
            <rFont val="Tahoma"/>
            <family val="2"/>
          </rPr>
          <t>Ingrid Malmgren:</t>
        </r>
        <r>
          <rPr>
            <sz val="9"/>
            <color indexed="81"/>
            <rFont val="Tahoma"/>
            <family val="2"/>
          </rPr>
          <t xml:space="preserve">
Not included in prescriptive
programs</t>
        </r>
      </text>
    </comment>
    <comment ref="AQ182" authorId="0">
      <text>
        <r>
          <rPr>
            <b/>
            <sz val="9"/>
            <color indexed="81"/>
            <rFont val="Tahoma"/>
            <family val="2"/>
          </rPr>
          <t>Ingrid Malmgren:</t>
        </r>
        <r>
          <rPr>
            <sz val="9"/>
            <color indexed="81"/>
            <rFont val="Tahoma"/>
            <family val="2"/>
          </rPr>
          <t xml:space="preserve">
p.231
</t>
        </r>
      </text>
    </comment>
    <comment ref="AT182" authorId="0">
      <text>
        <r>
          <rPr>
            <b/>
            <sz val="9"/>
            <color indexed="81"/>
            <rFont val="Tahoma"/>
            <family val="2"/>
          </rPr>
          <t>Ingrid Malmgren:</t>
        </r>
        <r>
          <rPr>
            <sz val="9"/>
            <color indexed="81"/>
            <rFont val="Tahoma"/>
            <family val="2"/>
          </rPr>
          <t xml:space="preserve">
from table 1-2 HVAC</t>
        </r>
      </text>
    </comment>
    <comment ref="AU182" authorId="0">
      <text>
        <r>
          <rPr>
            <b/>
            <sz val="9"/>
            <color indexed="81"/>
            <rFont val="Tahoma"/>
            <family val="2"/>
          </rPr>
          <t>Ingrid Malmgren:</t>
        </r>
        <r>
          <rPr>
            <sz val="9"/>
            <color indexed="81"/>
            <rFont val="Tahoma"/>
            <family val="2"/>
          </rPr>
          <t xml:space="preserve">
large retrofit electric HVAC from B-3</t>
        </r>
      </text>
    </comment>
    <comment ref="AW18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83" authorId="0">
      <text>
        <r>
          <rPr>
            <b/>
            <sz val="9"/>
            <color indexed="81"/>
            <rFont val="Tahoma"/>
            <family val="2"/>
          </rPr>
          <t>Ingrid Malmgren:</t>
        </r>
        <r>
          <rPr>
            <sz val="9"/>
            <color indexed="81"/>
            <rFont val="Tahoma"/>
            <family val="2"/>
          </rPr>
          <t xml:space="preserve">
from table 1-2 HVAC</t>
        </r>
      </text>
    </comment>
    <comment ref="Z183" authorId="0">
      <text>
        <r>
          <rPr>
            <b/>
            <sz val="9"/>
            <color indexed="81"/>
            <rFont val="Tahoma"/>
            <family val="2"/>
          </rPr>
          <t>Ingrid Malmgren:</t>
        </r>
        <r>
          <rPr>
            <sz val="9"/>
            <color indexed="81"/>
            <rFont val="Tahoma"/>
            <family val="2"/>
          </rPr>
          <t xml:space="preserve">
p.231
</t>
        </r>
      </text>
    </comment>
    <comment ref="AC183" authorId="0">
      <text>
        <r>
          <rPr>
            <b/>
            <sz val="9"/>
            <color indexed="81"/>
            <rFont val="Tahoma"/>
            <family val="2"/>
          </rPr>
          <t>Ingrid Malmgren:</t>
        </r>
        <r>
          <rPr>
            <sz val="9"/>
            <color indexed="81"/>
            <rFont val="Tahoma"/>
            <family val="2"/>
          </rPr>
          <t xml:space="preserve">
from 2012 Mass Program Administrator's C&amp;I NEI Study Table 1-2 HVAC NEI/kWH .0966</t>
        </r>
      </text>
    </comment>
    <comment ref="AJ183" authorId="0">
      <text>
        <r>
          <rPr>
            <b/>
            <sz val="9"/>
            <color indexed="81"/>
            <rFont val="Tahoma"/>
            <family val="2"/>
          </rPr>
          <t>Ingrid Malmgren:</t>
        </r>
        <r>
          <rPr>
            <sz val="9"/>
            <color indexed="81"/>
            <rFont val="Tahoma"/>
            <family val="2"/>
          </rPr>
          <t xml:space="preserve">
Not included in prescriptive
programs</t>
        </r>
      </text>
    </comment>
    <comment ref="AQ183" authorId="0">
      <text>
        <r>
          <rPr>
            <b/>
            <sz val="9"/>
            <color indexed="81"/>
            <rFont val="Tahoma"/>
            <family val="2"/>
          </rPr>
          <t>Ingrid Malmgren:</t>
        </r>
        <r>
          <rPr>
            <sz val="9"/>
            <color indexed="81"/>
            <rFont val="Tahoma"/>
            <family val="2"/>
          </rPr>
          <t xml:space="preserve">
p.231
</t>
        </r>
      </text>
    </comment>
    <comment ref="AT183" authorId="0">
      <text>
        <r>
          <rPr>
            <b/>
            <sz val="9"/>
            <color indexed="81"/>
            <rFont val="Tahoma"/>
            <family val="2"/>
          </rPr>
          <t>Ingrid Malmgren:</t>
        </r>
        <r>
          <rPr>
            <sz val="9"/>
            <color indexed="81"/>
            <rFont val="Tahoma"/>
            <family val="2"/>
          </rPr>
          <t xml:space="preserve">
from table 1-2 HVAC</t>
        </r>
      </text>
    </comment>
    <comment ref="AU183" authorId="0">
      <text>
        <r>
          <rPr>
            <b/>
            <sz val="9"/>
            <color indexed="81"/>
            <rFont val="Tahoma"/>
            <family val="2"/>
          </rPr>
          <t>Ingrid Malmgren:</t>
        </r>
        <r>
          <rPr>
            <sz val="9"/>
            <color indexed="81"/>
            <rFont val="Tahoma"/>
            <family val="2"/>
          </rPr>
          <t xml:space="preserve">
large retrofit electric HVAC from B-3</t>
        </r>
      </text>
    </comment>
    <comment ref="AW18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84" authorId="0">
      <text>
        <r>
          <rPr>
            <b/>
            <sz val="9"/>
            <color indexed="81"/>
            <rFont val="Tahoma"/>
            <family val="2"/>
          </rPr>
          <t>Ingrid Malmgren:</t>
        </r>
        <r>
          <rPr>
            <sz val="9"/>
            <color indexed="81"/>
            <rFont val="Tahoma"/>
            <family val="2"/>
          </rPr>
          <t xml:space="preserve">
p.365
</t>
        </r>
      </text>
    </comment>
    <comment ref="Z184" authorId="0">
      <text>
        <r>
          <rPr>
            <b/>
            <sz val="9"/>
            <color indexed="81"/>
            <rFont val="Tahoma"/>
            <family val="2"/>
          </rPr>
          <t>Ingrid Malmgren:</t>
        </r>
        <r>
          <rPr>
            <sz val="9"/>
            <color indexed="81"/>
            <rFont val="Tahoma"/>
            <family val="2"/>
          </rPr>
          <t xml:space="preserve">
p.365
</t>
        </r>
      </text>
    </comment>
    <comment ref="AA184" authorId="0">
      <text>
        <r>
          <rPr>
            <b/>
            <sz val="9"/>
            <color indexed="81"/>
            <rFont val="Tahoma"/>
            <family val="2"/>
          </rPr>
          <t>Ingrid Malmgren:</t>
        </r>
        <r>
          <rPr>
            <sz val="9"/>
            <color indexed="81"/>
            <rFont val="Tahoma"/>
            <family val="2"/>
          </rPr>
          <t xml:space="preserve">
from MA TRM page 366 converted to cubic meters</t>
        </r>
      </text>
    </comment>
    <comment ref="AC184" authorId="0">
      <text>
        <r>
          <rPr>
            <b/>
            <sz val="9"/>
            <color indexed="81"/>
            <rFont val="Tahoma"/>
            <family val="2"/>
          </rPr>
          <t>Ingrid Malmgren:</t>
        </r>
        <r>
          <rPr>
            <sz val="9"/>
            <color indexed="81"/>
            <rFont val="Tahoma"/>
            <family val="2"/>
          </rPr>
          <t xml:space="preserve">
from MA TRM page 366 converted to cubic meters</t>
        </r>
      </text>
    </comment>
    <comment ref="AJ184" authorId="0">
      <text>
        <r>
          <rPr>
            <b/>
            <sz val="9"/>
            <color indexed="81"/>
            <rFont val="Tahoma"/>
            <family val="2"/>
          </rPr>
          <t>Ingrid Malmgren:</t>
        </r>
        <r>
          <rPr>
            <sz val="9"/>
            <color indexed="81"/>
            <rFont val="Tahoma"/>
            <family val="2"/>
          </rPr>
          <t xml:space="preserve">
Not included in prescriptive
programs</t>
        </r>
      </text>
    </comment>
    <comment ref="AQ184" authorId="0">
      <text>
        <r>
          <rPr>
            <b/>
            <sz val="9"/>
            <color indexed="81"/>
            <rFont val="Tahoma"/>
            <family val="2"/>
          </rPr>
          <t>Ingrid Malmgren:</t>
        </r>
        <r>
          <rPr>
            <sz val="9"/>
            <color indexed="81"/>
            <rFont val="Tahoma"/>
            <family val="2"/>
          </rPr>
          <t xml:space="preserve">
p.365
</t>
        </r>
      </text>
    </comment>
    <comment ref="AW18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85" authorId="0">
      <text>
        <r>
          <rPr>
            <b/>
            <sz val="9"/>
            <color indexed="81"/>
            <rFont val="Tahoma"/>
            <family val="2"/>
          </rPr>
          <t>Ingrid Malmgren:</t>
        </r>
        <r>
          <rPr>
            <sz val="9"/>
            <color indexed="81"/>
            <rFont val="Tahoma"/>
            <family val="2"/>
          </rPr>
          <t xml:space="preserve">
p.365
</t>
        </r>
      </text>
    </comment>
    <comment ref="Z185" authorId="0">
      <text>
        <r>
          <rPr>
            <b/>
            <sz val="9"/>
            <color indexed="81"/>
            <rFont val="Tahoma"/>
            <family val="2"/>
          </rPr>
          <t>Ingrid Malmgren:</t>
        </r>
        <r>
          <rPr>
            <sz val="9"/>
            <color indexed="81"/>
            <rFont val="Tahoma"/>
            <family val="2"/>
          </rPr>
          <t xml:space="preserve">
p.365
</t>
        </r>
      </text>
    </comment>
    <comment ref="AA185" authorId="0">
      <text>
        <r>
          <rPr>
            <b/>
            <sz val="9"/>
            <color indexed="81"/>
            <rFont val="Tahoma"/>
            <family val="2"/>
          </rPr>
          <t>Ingrid Malmgren:</t>
        </r>
        <r>
          <rPr>
            <sz val="9"/>
            <color indexed="81"/>
            <rFont val="Tahoma"/>
            <family val="2"/>
          </rPr>
          <t xml:space="preserve">
from MA TRM page 366 converted to cubic meters</t>
        </r>
      </text>
    </comment>
    <comment ref="AC185" authorId="0">
      <text>
        <r>
          <rPr>
            <b/>
            <sz val="9"/>
            <color indexed="81"/>
            <rFont val="Tahoma"/>
            <family val="2"/>
          </rPr>
          <t>Ingrid Malmgren:</t>
        </r>
        <r>
          <rPr>
            <sz val="9"/>
            <color indexed="81"/>
            <rFont val="Tahoma"/>
            <family val="2"/>
          </rPr>
          <t xml:space="preserve">
from MA TRM page 366 converted to cubic meters</t>
        </r>
      </text>
    </comment>
    <comment ref="AJ185" authorId="0">
      <text>
        <r>
          <rPr>
            <b/>
            <sz val="9"/>
            <color indexed="81"/>
            <rFont val="Tahoma"/>
            <family val="2"/>
          </rPr>
          <t>Ingrid Malmgren:</t>
        </r>
        <r>
          <rPr>
            <sz val="9"/>
            <color indexed="81"/>
            <rFont val="Tahoma"/>
            <family val="2"/>
          </rPr>
          <t xml:space="preserve">
Not included in prescriptive
programs</t>
        </r>
      </text>
    </comment>
    <comment ref="AQ185" authorId="0">
      <text>
        <r>
          <rPr>
            <b/>
            <sz val="9"/>
            <color indexed="81"/>
            <rFont val="Tahoma"/>
            <family val="2"/>
          </rPr>
          <t>Ingrid Malmgren:</t>
        </r>
        <r>
          <rPr>
            <sz val="9"/>
            <color indexed="81"/>
            <rFont val="Tahoma"/>
            <family val="2"/>
          </rPr>
          <t xml:space="preserve">
p.365
</t>
        </r>
      </text>
    </comment>
    <comment ref="AW18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86" authorId="0">
      <text>
        <r>
          <rPr>
            <b/>
            <sz val="9"/>
            <color indexed="81"/>
            <rFont val="Tahoma"/>
            <family val="2"/>
          </rPr>
          <t>Ingrid Malmgren:</t>
        </r>
        <r>
          <rPr>
            <sz val="9"/>
            <color indexed="81"/>
            <rFont val="Tahoma"/>
            <family val="2"/>
          </rPr>
          <t xml:space="preserve">
p.365
</t>
        </r>
      </text>
    </comment>
    <comment ref="Z186" authorId="0">
      <text>
        <r>
          <rPr>
            <b/>
            <sz val="9"/>
            <color indexed="81"/>
            <rFont val="Tahoma"/>
            <family val="2"/>
          </rPr>
          <t>Ingrid Malmgren:</t>
        </r>
        <r>
          <rPr>
            <sz val="9"/>
            <color indexed="81"/>
            <rFont val="Tahoma"/>
            <family val="2"/>
          </rPr>
          <t xml:space="preserve">
p.365
</t>
        </r>
      </text>
    </comment>
    <comment ref="AA186" authorId="0">
      <text>
        <r>
          <rPr>
            <b/>
            <sz val="9"/>
            <color indexed="81"/>
            <rFont val="Tahoma"/>
            <family val="2"/>
          </rPr>
          <t>Ingrid Malmgren:</t>
        </r>
        <r>
          <rPr>
            <sz val="9"/>
            <color indexed="81"/>
            <rFont val="Tahoma"/>
            <family val="2"/>
          </rPr>
          <t xml:space="preserve">
from MA TRM page 366 converted to cubic meters</t>
        </r>
      </text>
    </comment>
    <comment ref="AC186" authorId="0">
      <text>
        <r>
          <rPr>
            <b/>
            <sz val="9"/>
            <color indexed="81"/>
            <rFont val="Tahoma"/>
            <family val="2"/>
          </rPr>
          <t>Ingrid Malmgren:</t>
        </r>
        <r>
          <rPr>
            <sz val="9"/>
            <color indexed="81"/>
            <rFont val="Tahoma"/>
            <family val="2"/>
          </rPr>
          <t xml:space="preserve">
from MA TRM page 366 converted to cubic meters</t>
        </r>
      </text>
    </comment>
    <comment ref="AJ186" authorId="0">
      <text>
        <r>
          <rPr>
            <b/>
            <sz val="9"/>
            <color indexed="81"/>
            <rFont val="Tahoma"/>
            <family val="2"/>
          </rPr>
          <t>Ingrid Malmgren:</t>
        </r>
        <r>
          <rPr>
            <sz val="9"/>
            <color indexed="81"/>
            <rFont val="Tahoma"/>
            <family val="2"/>
          </rPr>
          <t xml:space="preserve">
Not included in prescriptive
programs</t>
        </r>
      </text>
    </comment>
    <comment ref="AQ186" authorId="0">
      <text>
        <r>
          <rPr>
            <b/>
            <sz val="9"/>
            <color indexed="81"/>
            <rFont val="Tahoma"/>
            <family val="2"/>
          </rPr>
          <t>Ingrid Malmgren:</t>
        </r>
        <r>
          <rPr>
            <sz val="9"/>
            <color indexed="81"/>
            <rFont val="Tahoma"/>
            <family val="2"/>
          </rPr>
          <t xml:space="preserve">
p.365
</t>
        </r>
      </text>
    </comment>
    <comment ref="AW18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87" authorId="0">
      <text>
        <r>
          <rPr>
            <b/>
            <sz val="9"/>
            <color indexed="81"/>
            <rFont val="Tahoma"/>
            <family val="2"/>
          </rPr>
          <t>Ingrid Malmgren:</t>
        </r>
        <r>
          <rPr>
            <sz val="9"/>
            <color indexed="81"/>
            <rFont val="Tahoma"/>
            <family val="2"/>
          </rPr>
          <t xml:space="preserve">
p.420
C&amp;I small business</t>
        </r>
      </text>
    </comment>
    <comment ref="Z187" authorId="0">
      <text>
        <r>
          <rPr>
            <b/>
            <sz val="9"/>
            <color indexed="81"/>
            <rFont val="Tahoma"/>
            <family val="2"/>
          </rPr>
          <t>Ingrid Malmgren:</t>
        </r>
        <r>
          <rPr>
            <sz val="9"/>
            <color indexed="81"/>
            <rFont val="Tahoma"/>
            <family val="2"/>
          </rPr>
          <t xml:space="preserve">
changed to kWh</t>
        </r>
      </text>
    </comment>
    <comment ref="AC187" authorId="0">
      <text>
        <r>
          <rPr>
            <b/>
            <sz val="9"/>
            <color indexed="81"/>
            <rFont val="Tahoma"/>
            <family val="2"/>
          </rPr>
          <t>Ingrid Malmgren:</t>
        </r>
        <r>
          <rPr>
            <sz val="9"/>
            <color indexed="81"/>
            <rFont val="Tahoma"/>
            <family val="2"/>
          </rPr>
          <t xml:space="preserve">
p.420
C&amp;I small business
changed to kWh</t>
        </r>
      </text>
    </comment>
    <comment ref="AJ187" authorId="0">
      <text>
        <r>
          <rPr>
            <b/>
            <sz val="9"/>
            <color indexed="81"/>
            <rFont val="Tahoma"/>
            <family val="2"/>
          </rPr>
          <t>Ingrid Malmgren:</t>
        </r>
        <r>
          <rPr>
            <sz val="9"/>
            <color indexed="81"/>
            <rFont val="Tahoma"/>
            <family val="2"/>
          </rPr>
          <t xml:space="preserve">
Not included in prescriptive
programs</t>
        </r>
      </text>
    </comment>
    <comment ref="AW18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88" authorId="0">
      <text>
        <r>
          <rPr>
            <b/>
            <sz val="9"/>
            <color indexed="81"/>
            <rFont val="Tahoma"/>
            <family val="2"/>
          </rPr>
          <t>Ingrid Malmgren:</t>
        </r>
        <r>
          <rPr>
            <sz val="9"/>
            <color indexed="81"/>
            <rFont val="Tahoma"/>
            <family val="2"/>
          </rPr>
          <t xml:space="preserve">
p.420
C&amp;I small business</t>
        </r>
      </text>
    </comment>
    <comment ref="Z188" authorId="0">
      <text>
        <r>
          <rPr>
            <b/>
            <sz val="9"/>
            <color indexed="81"/>
            <rFont val="Tahoma"/>
            <family val="2"/>
          </rPr>
          <t>Ingrid Malmgren:</t>
        </r>
        <r>
          <rPr>
            <sz val="9"/>
            <color indexed="81"/>
            <rFont val="Tahoma"/>
            <family val="2"/>
          </rPr>
          <t xml:space="preserve">
changed to kWh</t>
        </r>
      </text>
    </comment>
    <comment ref="AC188" authorId="0">
      <text>
        <r>
          <rPr>
            <b/>
            <sz val="9"/>
            <color indexed="81"/>
            <rFont val="Tahoma"/>
            <family val="2"/>
          </rPr>
          <t>Ingrid Malmgren:</t>
        </r>
        <r>
          <rPr>
            <sz val="9"/>
            <color indexed="81"/>
            <rFont val="Tahoma"/>
            <family val="2"/>
          </rPr>
          <t xml:space="preserve">
p.420
C&amp;I small business
changed to kWh</t>
        </r>
      </text>
    </comment>
    <comment ref="AJ188" authorId="0">
      <text>
        <r>
          <rPr>
            <b/>
            <sz val="9"/>
            <color indexed="81"/>
            <rFont val="Tahoma"/>
            <family val="2"/>
          </rPr>
          <t>Ingrid Malmgren:</t>
        </r>
        <r>
          <rPr>
            <sz val="9"/>
            <color indexed="81"/>
            <rFont val="Tahoma"/>
            <family val="2"/>
          </rPr>
          <t xml:space="preserve">
Not included in prescriptive
programs</t>
        </r>
      </text>
    </comment>
    <comment ref="AW18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89" authorId="0">
      <text>
        <r>
          <rPr>
            <b/>
            <sz val="9"/>
            <color indexed="81"/>
            <rFont val="Tahoma"/>
            <family val="2"/>
          </rPr>
          <t>Ingrid Malmgren:</t>
        </r>
        <r>
          <rPr>
            <sz val="9"/>
            <color indexed="81"/>
            <rFont val="Tahoma"/>
            <family val="2"/>
          </rPr>
          <t xml:space="preserve">
p.420
C&amp;I small business</t>
        </r>
      </text>
    </comment>
    <comment ref="Z189" authorId="0">
      <text>
        <r>
          <rPr>
            <b/>
            <sz val="9"/>
            <color indexed="81"/>
            <rFont val="Tahoma"/>
            <family val="2"/>
          </rPr>
          <t>Ingrid Malmgren:</t>
        </r>
        <r>
          <rPr>
            <sz val="9"/>
            <color indexed="81"/>
            <rFont val="Tahoma"/>
            <family val="2"/>
          </rPr>
          <t xml:space="preserve">
changed to kWh</t>
        </r>
      </text>
    </comment>
    <comment ref="AC189" authorId="0">
      <text>
        <r>
          <rPr>
            <b/>
            <sz val="9"/>
            <color indexed="81"/>
            <rFont val="Tahoma"/>
            <family val="2"/>
          </rPr>
          <t>Ingrid Malmgren:</t>
        </r>
        <r>
          <rPr>
            <sz val="9"/>
            <color indexed="81"/>
            <rFont val="Tahoma"/>
            <family val="2"/>
          </rPr>
          <t xml:space="preserve">
p.420
C&amp;I small business
changed to kWh</t>
        </r>
      </text>
    </comment>
    <comment ref="AJ189" authorId="0">
      <text>
        <r>
          <rPr>
            <b/>
            <sz val="9"/>
            <color indexed="81"/>
            <rFont val="Tahoma"/>
            <family val="2"/>
          </rPr>
          <t>Ingrid Malmgren:</t>
        </r>
        <r>
          <rPr>
            <sz val="9"/>
            <color indexed="81"/>
            <rFont val="Tahoma"/>
            <family val="2"/>
          </rPr>
          <t xml:space="preserve">
Not included in prescriptive
programs</t>
        </r>
      </text>
    </comment>
    <comment ref="AQ189" authorId="0">
      <text>
        <r>
          <rPr>
            <b/>
            <sz val="9"/>
            <color indexed="81"/>
            <rFont val="Tahoma"/>
            <family val="2"/>
          </rPr>
          <t>Ingrid Malmgren:</t>
        </r>
        <r>
          <rPr>
            <sz val="9"/>
            <color indexed="81"/>
            <rFont val="Tahoma"/>
            <family val="2"/>
          </rPr>
          <t xml:space="preserve">
p.420
C&amp;I small business</t>
        </r>
      </text>
    </comment>
    <comment ref="AW18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90" authorId="0">
      <text>
        <r>
          <rPr>
            <b/>
            <sz val="9"/>
            <color indexed="81"/>
            <rFont val="Tahoma"/>
            <family val="2"/>
          </rPr>
          <t>Ingrid Malmgren:</t>
        </r>
        <r>
          <rPr>
            <sz val="9"/>
            <color indexed="81"/>
            <rFont val="Tahoma"/>
            <family val="2"/>
          </rPr>
          <t xml:space="preserve">
p.420
C&amp;I small business</t>
        </r>
      </text>
    </comment>
    <comment ref="Z190" authorId="0">
      <text>
        <r>
          <rPr>
            <b/>
            <sz val="9"/>
            <color indexed="81"/>
            <rFont val="Tahoma"/>
            <family val="2"/>
          </rPr>
          <t>Ingrid Malmgren:</t>
        </r>
        <r>
          <rPr>
            <sz val="9"/>
            <color indexed="81"/>
            <rFont val="Tahoma"/>
            <family val="2"/>
          </rPr>
          <t xml:space="preserve">
changed to kWh</t>
        </r>
      </text>
    </comment>
    <comment ref="AC190" authorId="0">
      <text>
        <r>
          <rPr>
            <b/>
            <sz val="9"/>
            <color indexed="81"/>
            <rFont val="Tahoma"/>
            <family val="2"/>
          </rPr>
          <t>Ingrid Malmgren:</t>
        </r>
        <r>
          <rPr>
            <sz val="9"/>
            <color indexed="81"/>
            <rFont val="Tahoma"/>
            <family val="2"/>
          </rPr>
          <t xml:space="preserve">
p.420
C&amp;I small business
changed to kWh</t>
        </r>
      </text>
    </comment>
    <comment ref="AJ190" authorId="0">
      <text>
        <r>
          <rPr>
            <b/>
            <sz val="9"/>
            <color indexed="81"/>
            <rFont val="Tahoma"/>
            <family val="2"/>
          </rPr>
          <t>Ingrid Malmgren:</t>
        </r>
        <r>
          <rPr>
            <sz val="9"/>
            <color indexed="81"/>
            <rFont val="Tahoma"/>
            <family val="2"/>
          </rPr>
          <t xml:space="preserve">
Not included in prescriptive
programs</t>
        </r>
      </text>
    </comment>
    <comment ref="AQ190" authorId="0">
      <text>
        <r>
          <rPr>
            <b/>
            <sz val="9"/>
            <color indexed="81"/>
            <rFont val="Tahoma"/>
            <family val="2"/>
          </rPr>
          <t>Ingrid Malmgren:</t>
        </r>
        <r>
          <rPr>
            <sz val="9"/>
            <color indexed="81"/>
            <rFont val="Tahoma"/>
            <family val="2"/>
          </rPr>
          <t xml:space="preserve">
p.420
C&amp;I small business</t>
        </r>
      </text>
    </comment>
    <comment ref="AW19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91" authorId="0">
      <text>
        <r>
          <rPr>
            <b/>
            <sz val="9"/>
            <color indexed="81"/>
            <rFont val="Tahoma"/>
            <family val="2"/>
          </rPr>
          <t>Ingrid Malmgren:</t>
        </r>
        <r>
          <rPr>
            <sz val="9"/>
            <color indexed="81"/>
            <rFont val="Tahoma"/>
            <family val="2"/>
          </rPr>
          <t xml:space="preserve">
p.365
</t>
        </r>
      </text>
    </comment>
    <comment ref="Z191" authorId="0">
      <text>
        <r>
          <rPr>
            <b/>
            <sz val="9"/>
            <color indexed="81"/>
            <rFont val="Tahoma"/>
            <family val="2"/>
          </rPr>
          <t>Ingrid Malmgren:</t>
        </r>
        <r>
          <rPr>
            <sz val="9"/>
            <color indexed="81"/>
            <rFont val="Tahoma"/>
            <family val="2"/>
          </rPr>
          <t xml:space="preserve">
p.365
</t>
        </r>
      </text>
    </comment>
    <comment ref="AA191" authorId="0">
      <text>
        <r>
          <rPr>
            <b/>
            <sz val="9"/>
            <color indexed="81"/>
            <rFont val="Tahoma"/>
            <family val="2"/>
          </rPr>
          <t>Ingrid Malmgren:</t>
        </r>
        <r>
          <rPr>
            <sz val="9"/>
            <color indexed="81"/>
            <rFont val="Tahoma"/>
            <family val="2"/>
          </rPr>
          <t xml:space="preserve">
Ingrid Malmgren:
from MA TRM page 279 converted to cubic meters</t>
        </r>
      </text>
    </comment>
    <comment ref="AC191" authorId="0">
      <text>
        <r>
          <rPr>
            <b/>
            <sz val="9"/>
            <color indexed="81"/>
            <rFont val="Tahoma"/>
            <family val="2"/>
          </rPr>
          <t>Ingrid Malmgren:</t>
        </r>
        <r>
          <rPr>
            <sz val="9"/>
            <color indexed="81"/>
            <rFont val="Tahoma"/>
            <family val="2"/>
          </rPr>
          <t xml:space="preserve">
MA TRM page 365 water and sewer savings converted to cubic meters</t>
        </r>
      </text>
    </comment>
    <comment ref="AJ191" authorId="0">
      <text>
        <r>
          <rPr>
            <b/>
            <sz val="9"/>
            <color indexed="81"/>
            <rFont val="Tahoma"/>
            <family val="2"/>
          </rPr>
          <t>Ingrid Malmgren:</t>
        </r>
        <r>
          <rPr>
            <sz val="9"/>
            <color indexed="81"/>
            <rFont val="Tahoma"/>
            <family val="2"/>
          </rPr>
          <t xml:space="preserve">
Not included in prescriptive
programs</t>
        </r>
      </text>
    </comment>
    <comment ref="AW19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199" authorId="0">
      <text>
        <r>
          <rPr>
            <b/>
            <sz val="9"/>
            <color indexed="81"/>
            <rFont val="Tahoma"/>
            <family val="2"/>
          </rPr>
          <t>Ingrid Malmgren:</t>
        </r>
        <r>
          <rPr>
            <sz val="9"/>
            <color indexed="81"/>
            <rFont val="Tahoma"/>
            <family val="2"/>
          </rPr>
          <t xml:space="preserve">
Total Custom NEI from 2012 C&amp;I Study table 1-2</t>
        </r>
      </text>
    </comment>
    <comment ref="AC199" authorId="0">
      <text>
        <r>
          <rPr>
            <b/>
            <sz val="9"/>
            <color indexed="81"/>
            <rFont val="Tahoma"/>
            <family val="2"/>
          </rPr>
          <t>Ingrid Malmgren:</t>
        </r>
        <r>
          <rPr>
            <sz val="9"/>
            <color indexed="81"/>
            <rFont val="Tahoma"/>
            <family val="2"/>
          </rPr>
          <t xml:space="preserve">
Total Custom NEI from 2012 C&amp;I Study table 1-2</t>
        </r>
      </text>
    </comment>
    <comment ref="AQ199" authorId="0">
      <text>
        <r>
          <rPr>
            <b/>
            <sz val="9"/>
            <color indexed="81"/>
            <rFont val="Tahoma"/>
            <family val="2"/>
          </rPr>
          <t>Ingrid Malmgren:</t>
        </r>
        <r>
          <rPr>
            <sz val="9"/>
            <color indexed="81"/>
            <rFont val="Tahoma"/>
            <family val="2"/>
          </rPr>
          <t xml:space="preserve">
p.310</t>
        </r>
      </text>
    </comment>
    <comment ref="AU199" authorId="0">
      <text>
        <r>
          <rPr>
            <b/>
            <sz val="9"/>
            <color indexed="81"/>
            <rFont val="Tahoma"/>
            <family val="2"/>
          </rPr>
          <t>Ingrid Malmgren:</t>
        </r>
        <r>
          <rPr>
            <sz val="9"/>
            <color indexed="81"/>
            <rFont val="Tahoma"/>
            <family val="2"/>
          </rPr>
          <t xml:space="preserve">
.037 net KWh saved </t>
        </r>
      </text>
    </comment>
    <comment ref="AW19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00" authorId="0">
      <text>
        <r>
          <rPr>
            <b/>
            <sz val="9"/>
            <color indexed="81"/>
            <rFont val="Tahoma"/>
            <family val="2"/>
          </rPr>
          <t>Ingrid Malmgren:</t>
        </r>
        <r>
          <rPr>
            <sz val="9"/>
            <color indexed="81"/>
            <rFont val="Tahoma"/>
            <family val="2"/>
          </rPr>
          <t xml:space="preserve">
Total Custom NEI from 2012 C&amp;I Study table 1-2</t>
        </r>
      </text>
    </comment>
    <comment ref="AC200" authorId="0">
      <text>
        <r>
          <rPr>
            <b/>
            <sz val="9"/>
            <color indexed="81"/>
            <rFont val="Tahoma"/>
            <family val="2"/>
          </rPr>
          <t>Ingrid Malmgren:</t>
        </r>
        <r>
          <rPr>
            <sz val="9"/>
            <color indexed="81"/>
            <rFont val="Tahoma"/>
            <family val="2"/>
          </rPr>
          <t xml:space="preserve">
Total Custom NEI from 2012 C&amp;I Study table 1-2</t>
        </r>
      </text>
    </comment>
    <comment ref="AQ200" authorId="0">
      <text>
        <r>
          <rPr>
            <b/>
            <sz val="9"/>
            <color indexed="81"/>
            <rFont val="Tahoma"/>
            <family val="2"/>
          </rPr>
          <t>Ingrid Malmgren:</t>
        </r>
        <r>
          <rPr>
            <sz val="9"/>
            <color indexed="81"/>
            <rFont val="Tahoma"/>
            <family val="2"/>
          </rPr>
          <t xml:space="preserve">
p.310</t>
        </r>
      </text>
    </comment>
    <comment ref="AU200" authorId="0">
      <text>
        <r>
          <rPr>
            <b/>
            <sz val="9"/>
            <color indexed="81"/>
            <rFont val="Tahoma"/>
            <family val="2"/>
          </rPr>
          <t>Ingrid Malmgren:</t>
        </r>
        <r>
          <rPr>
            <sz val="9"/>
            <color indexed="81"/>
            <rFont val="Tahoma"/>
            <family val="2"/>
          </rPr>
          <t xml:space="preserve">
.037 net KWh saved </t>
        </r>
      </text>
    </comment>
    <comment ref="AW20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01" authorId="0">
      <text>
        <r>
          <rPr>
            <b/>
            <sz val="9"/>
            <color indexed="81"/>
            <rFont val="Tahoma"/>
            <family val="2"/>
          </rPr>
          <t>Ingrid Malmgren:</t>
        </r>
        <r>
          <rPr>
            <sz val="9"/>
            <color indexed="81"/>
            <rFont val="Tahoma"/>
            <family val="2"/>
          </rPr>
          <t xml:space="preserve">
p. 418 MA TRM</t>
        </r>
      </text>
    </comment>
    <comment ref="X202" authorId="0">
      <text>
        <r>
          <rPr>
            <b/>
            <sz val="9"/>
            <color indexed="81"/>
            <rFont val="Tahoma"/>
            <family val="2"/>
          </rPr>
          <t>Ingrid Malmgren:</t>
        </r>
        <r>
          <rPr>
            <sz val="9"/>
            <color indexed="81"/>
            <rFont val="Tahoma"/>
            <family val="2"/>
          </rPr>
          <t xml:space="preserve">
p. 418 MA TRM</t>
        </r>
      </text>
    </comment>
    <comment ref="X203" authorId="0">
      <text>
        <r>
          <rPr>
            <b/>
            <sz val="9"/>
            <color indexed="81"/>
            <rFont val="Tahoma"/>
            <family val="2"/>
          </rPr>
          <t>Ingrid Malmgren:</t>
        </r>
        <r>
          <rPr>
            <sz val="9"/>
            <color indexed="81"/>
            <rFont val="Tahoma"/>
            <family val="2"/>
          </rPr>
          <t xml:space="preserve">
p. 418 MA TRM</t>
        </r>
      </text>
    </comment>
    <comment ref="X204" authorId="0">
      <text>
        <r>
          <rPr>
            <b/>
            <sz val="9"/>
            <color indexed="81"/>
            <rFont val="Tahoma"/>
            <family val="2"/>
          </rPr>
          <t>Ingrid Malmgren:</t>
        </r>
        <r>
          <rPr>
            <sz val="9"/>
            <color indexed="81"/>
            <rFont val="Tahoma"/>
            <family val="2"/>
          </rPr>
          <t xml:space="preserve">
p. 418 MA TRM</t>
        </r>
      </text>
    </comment>
    <comment ref="X205" authorId="0">
      <text>
        <r>
          <rPr>
            <b/>
            <sz val="9"/>
            <color indexed="81"/>
            <rFont val="Tahoma"/>
            <family val="2"/>
          </rPr>
          <t>Ingrid Malmgren:</t>
        </r>
        <r>
          <rPr>
            <sz val="9"/>
            <color indexed="81"/>
            <rFont val="Tahoma"/>
            <family val="2"/>
          </rPr>
          <t xml:space="preserve">
p. 418 MA TRM
</t>
        </r>
      </text>
    </comment>
    <comment ref="X207" authorId="0">
      <text>
        <r>
          <rPr>
            <b/>
            <sz val="9"/>
            <color indexed="81"/>
            <rFont val="Tahoma"/>
            <family val="2"/>
          </rPr>
          <t xml:space="preserve">Ingrid Malmgren:
</t>
        </r>
        <r>
          <rPr>
            <sz val="9"/>
            <color indexed="81"/>
            <rFont val="Tahoma"/>
            <family val="2"/>
          </rPr>
          <t>from 2016 New Construction Study
Table 2: Value for custome electric overall-page 8</t>
        </r>
      </text>
    </comment>
    <comment ref="AC207" authorId="0">
      <text>
        <r>
          <rPr>
            <b/>
            <sz val="9"/>
            <color indexed="81"/>
            <rFont val="Tahoma"/>
            <family val="2"/>
          </rPr>
          <t>Ingrid Malmgren:</t>
        </r>
        <r>
          <rPr>
            <sz val="9"/>
            <color indexed="81"/>
            <rFont val="Tahoma"/>
            <family val="2"/>
          </rPr>
          <t xml:space="preserve">
from 2016 New Construction Study
Table 2: Value for custom electric overall-page 8</t>
        </r>
      </text>
    </comment>
    <comment ref="AQ207" authorId="0">
      <text>
        <r>
          <rPr>
            <b/>
            <sz val="9"/>
            <color indexed="81"/>
            <rFont val="Tahoma"/>
            <family val="2"/>
          </rPr>
          <t>Ingrid Malmgren:</t>
        </r>
        <r>
          <rPr>
            <sz val="9"/>
            <color indexed="81"/>
            <rFont val="Tahoma"/>
            <family val="2"/>
          </rPr>
          <t xml:space="preserve">
p.310</t>
        </r>
      </text>
    </comment>
    <comment ref="AU207" authorId="0">
      <text>
        <r>
          <rPr>
            <b/>
            <sz val="9"/>
            <color indexed="81"/>
            <rFont val="Tahoma"/>
            <family val="2"/>
          </rPr>
          <t>Ingrid Malmgren:</t>
        </r>
        <r>
          <rPr>
            <sz val="9"/>
            <color indexed="81"/>
            <rFont val="Tahoma"/>
            <family val="2"/>
          </rPr>
          <t xml:space="preserve">
.037 net KWh saved </t>
        </r>
      </text>
    </comment>
    <comment ref="AW20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08" authorId="0">
      <text>
        <r>
          <rPr>
            <b/>
            <sz val="9"/>
            <color indexed="81"/>
            <rFont val="Tahoma"/>
            <family val="2"/>
          </rPr>
          <t>Ingrid Malmgren:</t>
        </r>
        <r>
          <rPr>
            <sz val="9"/>
            <color indexed="81"/>
            <rFont val="Tahoma"/>
            <family val="2"/>
          </rPr>
          <t xml:space="preserve">
from 2016 New Construction Study
Table 2: Value for custome electric overall-page 8
</t>
        </r>
      </text>
    </comment>
    <comment ref="Z208" authorId="0">
      <text>
        <r>
          <rPr>
            <b/>
            <sz val="9"/>
            <color indexed="81"/>
            <rFont val="Tahoma"/>
            <family val="2"/>
          </rPr>
          <t>Ingrid Malmgren:</t>
        </r>
        <r>
          <rPr>
            <sz val="9"/>
            <color indexed="81"/>
            <rFont val="Tahoma"/>
            <family val="2"/>
          </rPr>
          <t xml:space="preserve">
Organized by measure in TRM, Source research indicates that custom overall electric NEI/kWh are .006 </t>
        </r>
      </text>
    </comment>
    <comment ref="AC208" authorId="0">
      <text>
        <r>
          <rPr>
            <b/>
            <sz val="9"/>
            <color indexed="81"/>
            <rFont val="Tahoma"/>
            <family val="2"/>
          </rPr>
          <t>Ingrid Malmgren:</t>
        </r>
        <r>
          <rPr>
            <sz val="9"/>
            <color indexed="81"/>
            <rFont val="Tahoma"/>
            <family val="2"/>
          </rPr>
          <t xml:space="preserve">
from 2016 New Construction Study
Table 2: Value for custom electric overall-page 8</t>
        </r>
      </text>
    </comment>
    <comment ref="AQ208" authorId="0">
      <text>
        <r>
          <rPr>
            <b/>
            <sz val="9"/>
            <color indexed="81"/>
            <rFont val="Tahoma"/>
            <family val="2"/>
          </rPr>
          <t>Ingrid Malmgren:</t>
        </r>
        <r>
          <rPr>
            <sz val="9"/>
            <color indexed="81"/>
            <rFont val="Tahoma"/>
            <family val="2"/>
          </rPr>
          <t xml:space="preserve">
p.310</t>
        </r>
      </text>
    </comment>
    <comment ref="AU208" authorId="0">
      <text>
        <r>
          <rPr>
            <b/>
            <sz val="9"/>
            <color indexed="81"/>
            <rFont val="Tahoma"/>
            <family val="2"/>
          </rPr>
          <t>Ingrid Malmgren:</t>
        </r>
        <r>
          <rPr>
            <sz val="9"/>
            <color indexed="81"/>
            <rFont val="Tahoma"/>
            <family val="2"/>
          </rPr>
          <t xml:space="preserve">
.037 net KWh saved </t>
        </r>
      </text>
    </comment>
    <comment ref="AW20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B216" authorId="0">
      <text>
        <r>
          <rPr>
            <b/>
            <sz val="9"/>
            <color indexed="81"/>
            <rFont val="Tahoma"/>
            <family val="2"/>
          </rPr>
          <t>Ingrid Malmgren:</t>
        </r>
        <r>
          <rPr>
            <sz val="9"/>
            <color indexed="81"/>
            <rFont val="Tahoma"/>
            <family val="2"/>
          </rPr>
          <t xml:space="preserve">
refrigerator retrofit in MA</t>
        </r>
      </text>
    </comment>
    <comment ref="X216" authorId="0">
      <text>
        <r>
          <rPr>
            <b/>
            <sz val="9"/>
            <color indexed="81"/>
            <rFont val="Tahoma"/>
            <family val="2"/>
          </rPr>
          <t>Ingrid Malmgren:</t>
        </r>
        <r>
          <rPr>
            <sz val="9"/>
            <color indexed="81"/>
            <rFont val="Tahoma"/>
            <family val="2"/>
          </rPr>
          <t xml:space="preserve">
from MA TRM one time property value -additional benefits for multi-family and loe-income (not included here) p.410
 </t>
        </r>
      </text>
    </comment>
    <comment ref="AB216" authorId="0">
      <text>
        <r>
          <rPr>
            <b/>
            <sz val="9"/>
            <color indexed="81"/>
            <rFont val="Tahoma"/>
            <family val="2"/>
          </rPr>
          <t>Ingrid Malmgren:
from MA TRM one time property value -additional benefits for multi-family and loe-income (not included here) p.410</t>
        </r>
        <r>
          <rPr>
            <sz val="9"/>
            <color indexed="81"/>
            <rFont val="Tahoma"/>
            <family val="2"/>
          </rPr>
          <t xml:space="preserve">
prorated for property value difference
</t>
        </r>
      </text>
    </comment>
    <comment ref="AP216" authorId="0">
      <text>
        <r>
          <rPr>
            <b/>
            <sz val="9"/>
            <color indexed="81"/>
            <rFont val="Tahoma"/>
            <family val="2"/>
          </rPr>
          <t>Ingrid Malmgren:</t>
        </r>
        <r>
          <rPr>
            <sz val="9"/>
            <color indexed="81"/>
            <rFont val="Tahoma"/>
            <family val="2"/>
          </rPr>
          <t xml:space="preserve">
Appendix B-1 from RI TRM 2015 National Grid</t>
        </r>
      </text>
    </comment>
    <comment ref="AQ216" authorId="0">
      <text>
        <r>
          <rPr>
            <b/>
            <sz val="9"/>
            <color indexed="81"/>
            <rFont val="Tahoma"/>
            <family val="2"/>
          </rPr>
          <t>Ingrid Malmgren:</t>
        </r>
        <r>
          <rPr>
            <sz val="9"/>
            <color indexed="81"/>
            <rFont val="Tahoma"/>
            <family val="2"/>
          </rPr>
          <t xml:space="preserve">
residential multi-family retrofit per unit
</t>
        </r>
        <r>
          <rPr>
            <b/>
            <sz val="9"/>
            <color indexed="81"/>
            <rFont val="Tahoma"/>
            <family val="2"/>
          </rPr>
          <t>p.33
p.140 Appliance recycling</t>
        </r>
      </text>
    </comment>
    <comment ref="AU216" authorId="0">
      <text>
        <r>
          <rPr>
            <b/>
            <sz val="9"/>
            <color indexed="81"/>
            <rFont val="Tahoma"/>
            <family val="2"/>
          </rPr>
          <t>Ingrid Malmgren:</t>
        </r>
        <r>
          <rPr>
            <sz val="9"/>
            <color indexed="81"/>
            <rFont val="Tahoma"/>
            <family val="2"/>
          </rPr>
          <t xml:space="preserve">
per measure one time 
this is for recycling - includes avoided landfill space, recycling of plastics and glass and incineration of insulating foam.</t>
        </r>
      </text>
    </comment>
    <comment ref="AW21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17" authorId="0">
      <text>
        <r>
          <rPr>
            <b/>
            <sz val="9"/>
            <color indexed="81"/>
            <rFont val="Tahoma"/>
            <family val="2"/>
          </rPr>
          <t>Ingrid Malmgren:</t>
        </r>
        <r>
          <rPr>
            <sz val="9"/>
            <color indexed="81"/>
            <rFont val="Tahoma"/>
            <family val="2"/>
          </rPr>
          <t xml:space="preserve">
from MA TRM one time property value -additional benefits for multi-family and loe-income (not included here) p.410
 </t>
        </r>
      </text>
    </comment>
    <comment ref="AB217" authorId="0">
      <text>
        <r>
          <rPr>
            <b/>
            <sz val="9"/>
            <color indexed="81"/>
            <rFont val="Tahoma"/>
            <family val="2"/>
          </rPr>
          <t>Ingrid Malmgren:</t>
        </r>
        <r>
          <rPr>
            <sz val="9"/>
            <color indexed="81"/>
            <rFont val="Tahoma"/>
            <family val="2"/>
          </rPr>
          <t xml:space="preserve">
from MA TRM one time property value -additional benefits for multi-family and loe-income (not included here) p.410
prorated for property value difference
</t>
        </r>
      </text>
    </comment>
    <comment ref="AP217" authorId="0">
      <text>
        <r>
          <rPr>
            <b/>
            <sz val="9"/>
            <color indexed="81"/>
            <rFont val="Tahoma"/>
            <family val="2"/>
          </rPr>
          <t>Ingrid Malmgren:</t>
        </r>
        <r>
          <rPr>
            <sz val="9"/>
            <color indexed="81"/>
            <rFont val="Tahoma"/>
            <family val="2"/>
          </rPr>
          <t xml:space="preserve">
Appendix B-1 from RI TRM 2015 National Grid</t>
        </r>
      </text>
    </comment>
    <comment ref="AQ217" authorId="0">
      <text>
        <r>
          <rPr>
            <b/>
            <sz val="9"/>
            <color indexed="81"/>
            <rFont val="Tahoma"/>
            <family val="2"/>
          </rPr>
          <t>Ingrid Malmgren:</t>
        </r>
        <r>
          <rPr>
            <sz val="9"/>
            <color indexed="81"/>
            <rFont val="Tahoma"/>
            <family val="2"/>
          </rPr>
          <t xml:space="preserve">
residential multi-family retrofit per unit
</t>
        </r>
        <r>
          <rPr>
            <b/>
            <sz val="9"/>
            <color indexed="81"/>
            <rFont val="Tahoma"/>
            <family val="2"/>
          </rPr>
          <t>p.33
p.140 Appliance recycling</t>
        </r>
      </text>
    </comment>
    <comment ref="AU217" authorId="0">
      <text>
        <r>
          <rPr>
            <b/>
            <sz val="9"/>
            <color indexed="81"/>
            <rFont val="Tahoma"/>
            <family val="2"/>
          </rPr>
          <t>Ingrid Malmgren:</t>
        </r>
        <r>
          <rPr>
            <sz val="9"/>
            <color indexed="81"/>
            <rFont val="Tahoma"/>
            <family val="2"/>
          </rPr>
          <t xml:space="preserve">
per measure one time 
this is for recycling - includes avoided landfill space, recycling of plastics and glass and incineration of insulating foam.</t>
        </r>
      </text>
    </comment>
    <comment ref="AW21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B218" authorId="0">
      <text>
        <r>
          <rPr>
            <b/>
            <sz val="9"/>
            <color indexed="81"/>
            <rFont val="Tahoma"/>
            <family val="2"/>
          </rPr>
          <t>Ingrid Malmgren:</t>
        </r>
        <r>
          <rPr>
            <sz val="9"/>
            <color indexed="81"/>
            <rFont val="Tahoma"/>
            <family val="2"/>
          </rPr>
          <t xml:space="preserve">
page 67
</t>
        </r>
      </text>
    </comment>
    <comment ref="X218" authorId="0">
      <text>
        <r>
          <rPr>
            <b/>
            <sz val="9"/>
            <color indexed="81"/>
            <rFont val="Tahoma"/>
            <family val="2"/>
          </rPr>
          <t>Ingrid Malmgren:</t>
        </r>
        <r>
          <rPr>
            <sz val="9"/>
            <color indexed="81"/>
            <rFont val="Tahoma"/>
            <family val="2"/>
          </rPr>
          <t xml:space="preserve">
from RI B-1 $49.50 per measure/year "Non-energy benefits associated with installing a new room air conditioner."</t>
        </r>
      </text>
    </comment>
    <comment ref="Z218" authorId="0">
      <text>
        <r>
          <rPr>
            <b/>
            <sz val="9"/>
            <color indexed="81"/>
            <rFont val="Tahoma"/>
            <family val="2"/>
          </rPr>
          <t>Ingrid Malmgren:</t>
        </r>
        <r>
          <rPr>
            <sz val="9"/>
            <color indexed="81"/>
            <rFont val="Tahoma"/>
            <family val="2"/>
          </rPr>
          <t xml:space="preserve">
MA TRM p 410 no room air conditioner, used RI TRM, but MA TRM has mini-split which is comparable.</t>
        </r>
      </text>
    </comment>
    <comment ref="AC218" authorId="0">
      <text>
        <r>
          <rPr>
            <b/>
            <sz val="9"/>
            <color indexed="81"/>
            <rFont val="Tahoma"/>
            <family val="2"/>
          </rPr>
          <t>Ingrid Malmgren:</t>
        </r>
        <r>
          <rPr>
            <sz val="9"/>
            <color indexed="81"/>
            <rFont val="Tahoma"/>
            <family val="2"/>
          </rPr>
          <t xml:space="preserve">
MA TRM p 410 no room air conditioner, used RI TRM, but MA TRM has mini-split which is comparable.</t>
        </r>
      </text>
    </comment>
    <comment ref="AQ218" authorId="0">
      <text>
        <r>
          <rPr>
            <b/>
            <sz val="9"/>
            <color indexed="81"/>
            <rFont val="Tahoma"/>
            <family val="2"/>
          </rPr>
          <t>Ingrid Malmgren:</t>
        </r>
        <r>
          <rPr>
            <sz val="9"/>
            <color indexed="81"/>
            <rFont val="Tahoma"/>
            <family val="2"/>
          </rPr>
          <t xml:space="preserve">
p. 410 mini split</t>
        </r>
      </text>
    </comment>
    <comment ref="AU218" authorId="0">
      <text>
        <r>
          <rPr>
            <b/>
            <sz val="9"/>
            <color indexed="81"/>
            <rFont val="Tahoma"/>
            <family val="2"/>
          </rPr>
          <t>Ingrid Malmgren:</t>
        </r>
        <r>
          <rPr>
            <sz val="9"/>
            <color indexed="81"/>
            <rFont val="Tahoma"/>
            <family val="2"/>
          </rPr>
          <t xml:space="preserve">
from RI B-1 $49.50 per measure/year "Non-energy benefits associated with installing a new room air conditioner."</t>
        </r>
      </text>
    </comment>
    <comment ref="AW21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19" authorId="0">
      <text>
        <r>
          <rPr>
            <b/>
            <sz val="9"/>
            <color indexed="81"/>
            <rFont val="Tahoma"/>
            <family val="2"/>
          </rPr>
          <t>Ingrid Malmgren:</t>
        </r>
        <r>
          <rPr>
            <sz val="9"/>
            <color indexed="81"/>
            <rFont val="Tahoma"/>
            <family val="2"/>
          </rPr>
          <t xml:space="preserve">
see appendix C across single and multi-family programs</t>
        </r>
      </text>
    </comment>
    <comment ref="AB219" authorId="0">
      <text>
        <r>
          <rPr>
            <b/>
            <sz val="9"/>
            <color indexed="81"/>
            <rFont val="Tahoma"/>
            <family val="2"/>
          </rPr>
          <t>Ingrid Malmgren:</t>
        </r>
        <r>
          <rPr>
            <sz val="9"/>
            <color indexed="81"/>
            <rFont val="Tahoma"/>
            <family val="2"/>
          </rPr>
          <t xml:space="preserve">
Appendix C MA TRM  p.410 for RES</t>
        </r>
      </text>
    </comment>
    <comment ref="AQ219" authorId="0">
      <text>
        <r>
          <rPr>
            <b/>
            <sz val="9"/>
            <color indexed="81"/>
            <rFont val="Tahoma"/>
            <family val="2"/>
          </rPr>
          <t>Ingrid Malmgren:</t>
        </r>
        <r>
          <rPr>
            <sz val="9"/>
            <color indexed="81"/>
            <rFont val="Tahoma"/>
            <family val="2"/>
          </rPr>
          <t xml:space="preserve">
see appendix C across single and multi-family programs</t>
        </r>
      </text>
    </comment>
    <comment ref="AU219" authorId="0">
      <text>
        <r>
          <rPr>
            <b/>
            <sz val="9"/>
            <color indexed="81"/>
            <rFont val="Tahoma"/>
            <family val="2"/>
          </rPr>
          <t>Ingrid Malmgren:</t>
        </r>
        <r>
          <rPr>
            <sz val="9"/>
            <color indexed="81"/>
            <rFont val="Tahoma"/>
            <family val="2"/>
          </rPr>
          <t xml:space="preserve">
one time per measure 2015 National Grid TRM B-1</t>
        </r>
      </text>
    </comment>
    <comment ref="AW21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20" authorId="0">
      <text>
        <r>
          <rPr>
            <b/>
            <sz val="9"/>
            <color indexed="81"/>
            <rFont val="Tahoma"/>
            <family val="2"/>
          </rPr>
          <t>Ingrid Malmgren:</t>
        </r>
        <r>
          <rPr>
            <sz val="9"/>
            <color indexed="81"/>
            <rFont val="Tahoma"/>
            <family val="2"/>
          </rPr>
          <t xml:space="preserve">
p.221</t>
        </r>
      </text>
    </comment>
    <comment ref="AB220" authorId="0">
      <text>
        <r>
          <rPr>
            <b/>
            <sz val="9"/>
            <color indexed="81"/>
            <rFont val="Tahoma"/>
            <family val="2"/>
          </rPr>
          <t>Ingrid Malmgren:</t>
        </r>
        <r>
          <rPr>
            <sz val="9"/>
            <color indexed="81"/>
            <rFont val="Tahoma"/>
            <family val="2"/>
          </rPr>
          <t xml:space="preserve">
Appendix C MA TRM  p.410 for RES</t>
        </r>
      </text>
    </comment>
    <comment ref="AQ220" authorId="0">
      <text>
        <r>
          <rPr>
            <b/>
            <sz val="9"/>
            <color indexed="81"/>
            <rFont val="Tahoma"/>
            <family val="2"/>
          </rPr>
          <t>Ingrid Malmgren:</t>
        </r>
        <r>
          <rPr>
            <sz val="9"/>
            <color indexed="81"/>
            <rFont val="Tahoma"/>
            <family val="2"/>
          </rPr>
          <t xml:space="preserve">
p. 410 fixture as proxy</t>
        </r>
      </text>
    </comment>
    <comment ref="AU220" authorId="0">
      <text>
        <r>
          <rPr>
            <b/>
            <sz val="9"/>
            <color indexed="81"/>
            <rFont val="Tahoma"/>
            <family val="2"/>
          </rPr>
          <t>Ingrid Malmgren:</t>
        </r>
        <r>
          <rPr>
            <sz val="9"/>
            <color indexed="81"/>
            <rFont val="Tahoma"/>
            <family val="2"/>
          </rPr>
          <t xml:space="preserve">
O&amp;M saving due to more efficiency fixtures (one time-per measure) RI TRM National Grid OCT 2015</t>
        </r>
      </text>
    </comment>
    <comment ref="AW22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21" authorId="0">
      <text>
        <r>
          <rPr>
            <b/>
            <sz val="9"/>
            <color indexed="81"/>
            <rFont val="Tahoma"/>
            <family val="2"/>
          </rPr>
          <t>Ingrid Malmgren:</t>
        </r>
        <r>
          <rPr>
            <sz val="9"/>
            <color indexed="81"/>
            <rFont val="Tahoma"/>
            <family val="2"/>
          </rPr>
          <t xml:space="preserve">
p.155</t>
        </r>
      </text>
    </comment>
    <comment ref="AB221" authorId="0">
      <text>
        <r>
          <rPr>
            <b/>
            <sz val="9"/>
            <color indexed="81"/>
            <rFont val="Tahoma"/>
            <family val="2"/>
          </rPr>
          <t>Ingrid Malmgren:</t>
        </r>
        <r>
          <rPr>
            <sz val="9"/>
            <color indexed="81"/>
            <rFont val="Tahoma"/>
            <family val="2"/>
          </rPr>
          <t xml:space="preserve">
Appendix C MA TRM  p.410 for RES</t>
        </r>
      </text>
    </comment>
    <comment ref="AQ221" authorId="0">
      <text>
        <r>
          <rPr>
            <b/>
            <sz val="9"/>
            <color indexed="81"/>
            <rFont val="Tahoma"/>
            <family val="2"/>
          </rPr>
          <t>Ingrid Malmgren:</t>
        </r>
        <r>
          <rPr>
            <sz val="9"/>
            <color indexed="81"/>
            <rFont val="Tahoma"/>
            <family val="2"/>
          </rPr>
          <t xml:space="preserve">
p.155 points to p. 410 fixture as proxy</t>
        </r>
      </text>
    </comment>
    <comment ref="AU221" authorId="0">
      <text>
        <r>
          <rPr>
            <b/>
            <sz val="9"/>
            <color indexed="81"/>
            <rFont val="Tahoma"/>
            <family val="2"/>
          </rPr>
          <t>Ingrid Malmgren:</t>
        </r>
        <r>
          <rPr>
            <sz val="9"/>
            <color indexed="81"/>
            <rFont val="Tahoma"/>
            <family val="2"/>
          </rPr>
          <t xml:space="preserve">
O&amp;M saving due to more efficiency fixtures (one time-per measure) RI TRM National Grid OCT 2015</t>
        </r>
      </text>
    </comment>
    <comment ref="AW22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22" authorId="0">
      <text>
        <r>
          <rPr>
            <b/>
            <sz val="9"/>
            <color indexed="81"/>
            <rFont val="Tahoma"/>
            <family val="2"/>
          </rPr>
          <t>Ingrid Malmgren:</t>
        </r>
        <r>
          <rPr>
            <sz val="9"/>
            <color indexed="81"/>
            <rFont val="Tahoma"/>
            <family val="2"/>
          </rPr>
          <t xml:space="preserve">
p.155</t>
        </r>
      </text>
    </comment>
    <comment ref="AB222" authorId="0">
      <text>
        <r>
          <rPr>
            <b/>
            <sz val="9"/>
            <color indexed="81"/>
            <rFont val="Tahoma"/>
            <family val="2"/>
          </rPr>
          <t>Ingrid Malmgren:</t>
        </r>
        <r>
          <rPr>
            <sz val="9"/>
            <color indexed="81"/>
            <rFont val="Tahoma"/>
            <family val="2"/>
          </rPr>
          <t xml:space="preserve">
Appendix C MA TRM  p.410 for RES</t>
        </r>
      </text>
    </comment>
    <comment ref="AQ222" authorId="0">
      <text>
        <r>
          <rPr>
            <b/>
            <sz val="9"/>
            <color indexed="81"/>
            <rFont val="Tahoma"/>
            <family val="2"/>
          </rPr>
          <t>Ingrid Malmgren:</t>
        </r>
        <r>
          <rPr>
            <sz val="9"/>
            <color indexed="81"/>
            <rFont val="Tahoma"/>
            <family val="2"/>
          </rPr>
          <t xml:space="preserve">
p.155p.155 points to p. 410 fixture as proxy
</t>
        </r>
      </text>
    </comment>
    <comment ref="AU222" authorId="0">
      <text>
        <r>
          <rPr>
            <b/>
            <sz val="9"/>
            <color indexed="81"/>
            <rFont val="Tahoma"/>
            <family val="2"/>
          </rPr>
          <t>Ingrid Malmgren:</t>
        </r>
        <r>
          <rPr>
            <sz val="9"/>
            <color indexed="81"/>
            <rFont val="Tahoma"/>
            <family val="2"/>
          </rPr>
          <t xml:space="preserve">
O&amp;M saving due to more efficiency fixtures (one time-per measure) RI TRM National Grid OCT 2015</t>
        </r>
      </text>
    </comment>
    <comment ref="AW22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23" authorId="0">
      <text>
        <r>
          <rPr>
            <b/>
            <sz val="9"/>
            <color indexed="81"/>
            <rFont val="Tahoma"/>
            <family val="2"/>
          </rPr>
          <t>Ingrid Malmgren:</t>
        </r>
        <r>
          <rPr>
            <sz val="9"/>
            <color indexed="81"/>
            <rFont val="Tahoma"/>
            <family val="2"/>
          </rPr>
          <t xml:space="preserve">
p. 162</t>
        </r>
      </text>
    </comment>
    <comment ref="Z223" authorId="0">
      <text>
        <r>
          <rPr>
            <b/>
            <sz val="9"/>
            <color indexed="81"/>
            <rFont val="Tahoma"/>
            <family val="2"/>
          </rPr>
          <t>Ingrid Malmgren:</t>
        </r>
        <r>
          <rPr>
            <sz val="9"/>
            <color indexed="81"/>
            <rFont val="Tahoma"/>
            <family val="2"/>
          </rPr>
          <t xml:space="preserve">
p. 162</t>
        </r>
      </text>
    </comment>
    <comment ref="AC223" authorId="0">
      <text>
        <r>
          <rPr>
            <b/>
            <sz val="9"/>
            <color indexed="81"/>
            <rFont val="Tahoma"/>
            <family val="2"/>
          </rPr>
          <t>Ingrid Malmgren:</t>
        </r>
        <r>
          <rPr>
            <sz val="9"/>
            <color indexed="81"/>
            <rFont val="Tahoma"/>
            <family val="2"/>
          </rPr>
          <t xml:space="preserve">
p. 162</t>
        </r>
      </text>
    </comment>
    <comment ref="AW22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24" authorId="0">
      <text>
        <r>
          <rPr>
            <b/>
            <sz val="9"/>
            <color indexed="81"/>
            <rFont val="Tahoma"/>
            <family val="2"/>
          </rPr>
          <t>Ingrid Malmgren:</t>
        </r>
        <r>
          <rPr>
            <sz val="9"/>
            <color indexed="81"/>
            <rFont val="Tahoma"/>
            <family val="2"/>
          </rPr>
          <t xml:space="preserve">
p 162
</t>
        </r>
      </text>
    </comment>
    <comment ref="Z224" authorId="0">
      <text>
        <r>
          <rPr>
            <b/>
            <sz val="9"/>
            <color indexed="81"/>
            <rFont val="Tahoma"/>
            <family val="2"/>
          </rPr>
          <t>Ingrid Malmgren:</t>
        </r>
        <r>
          <rPr>
            <sz val="9"/>
            <color indexed="81"/>
            <rFont val="Tahoma"/>
            <family val="2"/>
          </rPr>
          <t xml:space="preserve">
p 162
</t>
        </r>
      </text>
    </comment>
    <comment ref="AC224" authorId="0">
      <text>
        <r>
          <rPr>
            <b/>
            <sz val="9"/>
            <color indexed="81"/>
            <rFont val="Tahoma"/>
            <family val="2"/>
          </rPr>
          <t>Ingrid Malmgren:</t>
        </r>
        <r>
          <rPr>
            <sz val="9"/>
            <color indexed="81"/>
            <rFont val="Tahoma"/>
            <family val="2"/>
          </rPr>
          <t xml:space="preserve">
p 162
</t>
        </r>
      </text>
    </comment>
    <comment ref="AQ224" authorId="0">
      <text>
        <r>
          <rPr>
            <b/>
            <sz val="9"/>
            <color indexed="81"/>
            <rFont val="Tahoma"/>
            <family val="2"/>
          </rPr>
          <t>Ingrid Malmgren:</t>
        </r>
        <r>
          <rPr>
            <sz val="9"/>
            <color indexed="81"/>
            <rFont val="Tahoma"/>
            <family val="2"/>
          </rPr>
          <t xml:space="preserve">
p 162
</t>
        </r>
      </text>
    </comment>
    <comment ref="AW22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25" authorId="0">
      <text>
        <r>
          <rPr>
            <b/>
            <sz val="9"/>
            <color indexed="81"/>
            <rFont val="Tahoma"/>
            <family val="2"/>
          </rPr>
          <t>Ingrid Malmgren:</t>
        </r>
        <r>
          <rPr>
            <sz val="9"/>
            <color indexed="81"/>
            <rFont val="Tahoma"/>
            <family val="2"/>
          </rPr>
          <t xml:space="preserve">
p.155</t>
        </r>
      </text>
    </comment>
    <comment ref="AB225" authorId="0">
      <text>
        <r>
          <rPr>
            <b/>
            <sz val="9"/>
            <color indexed="81"/>
            <rFont val="Tahoma"/>
            <family val="2"/>
          </rPr>
          <t>Ingrid Malmgren:</t>
        </r>
        <r>
          <rPr>
            <sz val="9"/>
            <color indexed="81"/>
            <rFont val="Tahoma"/>
            <family val="2"/>
          </rPr>
          <t xml:space="preserve">
One time per unit
Appendix C MA TRM  p.409 for MF</t>
        </r>
      </text>
    </comment>
    <comment ref="AW22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26" authorId="0">
      <text>
        <r>
          <rPr>
            <b/>
            <sz val="9"/>
            <color indexed="81"/>
            <rFont val="Tahoma"/>
            <family val="2"/>
          </rPr>
          <t>Ingrid Malmgren:</t>
        </r>
        <r>
          <rPr>
            <sz val="9"/>
            <color indexed="81"/>
            <rFont val="Tahoma"/>
            <family val="2"/>
          </rPr>
          <t xml:space="preserve">
p.164
</t>
        </r>
      </text>
    </comment>
    <comment ref="Z226" authorId="0">
      <text>
        <r>
          <rPr>
            <b/>
            <sz val="9"/>
            <color indexed="81"/>
            <rFont val="Tahoma"/>
            <family val="2"/>
          </rPr>
          <t>Ingrid Malmgren:</t>
        </r>
        <r>
          <rPr>
            <sz val="9"/>
            <color indexed="81"/>
            <rFont val="Tahoma"/>
            <family val="2"/>
          </rPr>
          <t xml:space="preserve">
p.164
</t>
        </r>
      </text>
    </comment>
    <comment ref="AC226" authorId="0">
      <text>
        <r>
          <rPr>
            <b/>
            <sz val="9"/>
            <color indexed="81"/>
            <rFont val="Tahoma"/>
            <family val="2"/>
          </rPr>
          <t>Ingrid Malmgren:</t>
        </r>
        <r>
          <rPr>
            <sz val="9"/>
            <color indexed="81"/>
            <rFont val="Tahoma"/>
            <family val="2"/>
          </rPr>
          <t xml:space="preserve">
p.164
</t>
        </r>
      </text>
    </comment>
    <comment ref="AQ226" authorId="0">
      <text>
        <r>
          <rPr>
            <b/>
            <sz val="9"/>
            <color indexed="81"/>
            <rFont val="Tahoma"/>
            <family val="2"/>
          </rPr>
          <t>Ingrid Malmgren:</t>
        </r>
        <r>
          <rPr>
            <sz val="9"/>
            <color indexed="81"/>
            <rFont val="Tahoma"/>
            <family val="2"/>
          </rPr>
          <t xml:space="preserve">
p.164
</t>
        </r>
      </text>
    </comment>
    <comment ref="AW22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27" authorId="0">
      <text>
        <r>
          <rPr>
            <b/>
            <sz val="9"/>
            <color indexed="81"/>
            <rFont val="Tahoma"/>
            <family val="2"/>
          </rPr>
          <t>Ingrid Malmgren:</t>
        </r>
        <r>
          <rPr>
            <sz val="9"/>
            <color indexed="81"/>
            <rFont val="Tahoma"/>
            <family val="2"/>
          </rPr>
          <t xml:space="preserve">
p.168
only for L.I.
</t>
        </r>
      </text>
    </comment>
    <comment ref="Z227" authorId="0">
      <text>
        <r>
          <rPr>
            <b/>
            <sz val="9"/>
            <color indexed="81"/>
            <rFont val="Tahoma"/>
            <family val="2"/>
          </rPr>
          <t>Ingrid Malmgren:</t>
        </r>
        <r>
          <rPr>
            <sz val="9"/>
            <color indexed="81"/>
            <rFont val="Tahoma"/>
            <family val="2"/>
          </rPr>
          <t xml:space="preserve">
p.168
only for L.I.
</t>
        </r>
      </text>
    </comment>
    <comment ref="AC227" authorId="0">
      <text>
        <r>
          <rPr>
            <b/>
            <sz val="9"/>
            <color indexed="81"/>
            <rFont val="Tahoma"/>
            <family val="2"/>
          </rPr>
          <t>Ingrid Malmgren:</t>
        </r>
        <r>
          <rPr>
            <sz val="9"/>
            <color indexed="81"/>
            <rFont val="Tahoma"/>
            <family val="2"/>
          </rPr>
          <t xml:space="preserve">
p.168
only for L.I.
</t>
        </r>
      </text>
    </comment>
    <comment ref="AQ227" authorId="0">
      <text>
        <r>
          <rPr>
            <b/>
            <sz val="9"/>
            <color indexed="81"/>
            <rFont val="Tahoma"/>
            <family val="2"/>
          </rPr>
          <t>Ingrid Malmgren:</t>
        </r>
        <r>
          <rPr>
            <sz val="9"/>
            <color indexed="81"/>
            <rFont val="Tahoma"/>
            <family val="2"/>
          </rPr>
          <t xml:space="preserve">
p.168
only for L.I.
</t>
        </r>
      </text>
    </comment>
    <comment ref="AW22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35" authorId="0">
      <text>
        <r>
          <rPr>
            <b/>
            <sz val="9"/>
            <color indexed="81"/>
            <rFont val="Tahoma"/>
            <family val="2"/>
          </rPr>
          <t>Ingrid Malmgren:</t>
        </r>
        <r>
          <rPr>
            <sz val="9"/>
            <color indexed="81"/>
            <rFont val="Tahoma"/>
            <family val="2"/>
          </rPr>
          <t xml:space="preserve">
p.409 multi-family p.410 res HES
p.412 res lighting</t>
        </r>
      </text>
    </comment>
    <comment ref="AB235" authorId="0">
      <text>
        <r>
          <rPr>
            <b/>
            <sz val="9"/>
            <color indexed="81"/>
            <rFont val="Tahoma"/>
            <family val="2"/>
          </rPr>
          <t>Ingrid Malmgren:</t>
        </r>
        <r>
          <rPr>
            <sz val="9"/>
            <color indexed="81"/>
            <rFont val="Tahoma"/>
            <family val="2"/>
          </rPr>
          <t xml:space="preserve">
p.409 multi-family p.410 res HES
p.412 res lighting</t>
        </r>
      </text>
    </comment>
    <comment ref="AQ235" authorId="0">
      <text>
        <r>
          <rPr>
            <b/>
            <sz val="9"/>
            <color indexed="81"/>
            <rFont val="Tahoma"/>
            <family val="2"/>
          </rPr>
          <t>Ingrid Malmgren:</t>
        </r>
        <r>
          <rPr>
            <sz val="9"/>
            <color indexed="81"/>
            <rFont val="Tahoma"/>
            <family val="2"/>
          </rPr>
          <t xml:space="preserve">
p.409 multi-family p.410 res HES
p.412 res lighting</t>
        </r>
      </text>
    </comment>
    <comment ref="AU235" authorId="0">
      <text>
        <r>
          <rPr>
            <b/>
            <sz val="9"/>
            <color indexed="81"/>
            <rFont val="Tahoma"/>
            <family val="2"/>
          </rPr>
          <t>Ingrid Malmgren:</t>
        </r>
        <r>
          <rPr>
            <sz val="9"/>
            <color indexed="81"/>
            <rFont val="Tahoma"/>
            <family val="2"/>
          </rPr>
          <t xml:space="preserve">
O&amp;M savings due to more efficient bulbs Appendix B, B-1</t>
        </r>
      </text>
    </comment>
    <comment ref="AW23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235" authorId="0">
      <text>
        <r>
          <rPr>
            <b/>
            <sz val="9"/>
            <color indexed="81"/>
            <rFont val="Tahoma"/>
            <family val="2"/>
          </rPr>
          <t>Ingrid Malmgren:</t>
        </r>
        <r>
          <rPr>
            <sz val="9"/>
            <color indexed="81"/>
            <rFont val="Tahoma"/>
            <family val="2"/>
          </rPr>
          <t xml:space="preserve">
from spreadsheet from Joe Loper at ITRON 2017-2018 Medium Socket screw-in lamp LED (replacing halogen)
</t>
        </r>
      </text>
    </comment>
    <comment ref="X236" authorId="0">
      <text>
        <r>
          <rPr>
            <b/>
            <sz val="9"/>
            <color indexed="81"/>
            <rFont val="Tahoma"/>
            <family val="2"/>
          </rPr>
          <t>Ingrid Malmgren:</t>
        </r>
        <r>
          <rPr>
            <sz val="9"/>
            <color indexed="81"/>
            <rFont val="Tahoma"/>
            <family val="2"/>
          </rPr>
          <t xml:space="preserve">
p.409 multi-family p.410 res HES
p.412 res lighting</t>
        </r>
      </text>
    </comment>
    <comment ref="AB236" authorId="0">
      <text>
        <r>
          <rPr>
            <b/>
            <sz val="9"/>
            <color indexed="81"/>
            <rFont val="Tahoma"/>
            <family val="2"/>
          </rPr>
          <t>Ingrid Malmgren:</t>
        </r>
        <r>
          <rPr>
            <sz val="9"/>
            <color indexed="81"/>
            <rFont val="Tahoma"/>
            <family val="2"/>
          </rPr>
          <t xml:space="preserve">
p.409 multi-family p.410 res HES
p.412 res lighting</t>
        </r>
      </text>
    </comment>
    <comment ref="AQ236" authorId="0">
      <text>
        <r>
          <rPr>
            <b/>
            <sz val="9"/>
            <color indexed="81"/>
            <rFont val="Tahoma"/>
            <family val="2"/>
          </rPr>
          <t>Ingrid Malmgren:</t>
        </r>
        <r>
          <rPr>
            <sz val="9"/>
            <color indexed="81"/>
            <rFont val="Tahoma"/>
            <family val="2"/>
          </rPr>
          <t xml:space="preserve">
p.409 multi-family p.410 res HES
p.412 res lighting</t>
        </r>
      </text>
    </comment>
    <comment ref="AU236" authorId="0">
      <text>
        <r>
          <rPr>
            <b/>
            <sz val="9"/>
            <color indexed="81"/>
            <rFont val="Tahoma"/>
            <family val="2"/>
          </rPr>
          <t>Ingrid Malmgren:</t>
        </r>
        <r>
          <rPr>
            <sz val="9"/>
            <color indexed="81"/>
            <rFont val="Tahoma"/>
            <family val="2"/>
          </rPr>
          <t xml:space="preserve">
O&amp;M savings due to more efficient bulbs Appendix B, B-1</t>
        </r>
      </text>
    </comment>
    <comment ref="AW23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236" authorId="0">
      <text>
        <r>
          <rPr>
            <b/>
            <sz val="9"/>
            <color indexed="81"/>
            <rFont val="Tahoma"/>
            <family val="2"/>
          </rPr>
          <t>Ingrid Malmgren:</t>
        </r>
        <r>
          <rPr>
            <sz val="9"/>
            <color indexed="81"/>
            <rFont val="Tahoma"/>
            <family val="2"/>
          </rPr>
          <t xml:space="preserve">
from spreadsheet from Joe Loper at ITRON 2017-2018 Medium Socket screw-in lamp LED (replacing halogen)
</t>
        </r>
      </text>
    </comment>
    <comment ref="X237" authorId="0">
      <text>
        <r>
          <rPr>
            <b/>
            <sz val="9"/>
            <color indexed="81"/>
            <rFont val="Tahoma"/>
            <family val="2"/>
          </rPr>
          <t>Ingrid Malmgren:</t>
        </r>
        <r>
          <rPr>
            <sz val="9"/>
            <color indexed="81"/>
            <rFont val="Tahoma"/>
            <family val="2"/>
          </rPr>
          <t xml:space="preserve">
p.409 multi-family p.410 res HES
p.412 res lighting</t>
        </r>
      </text>
    </comment>
    <comment ref="AB237" authorId="0">
      <text>
        <r>
          <rPr>
            <b/>
            <sz val="9"/>
            <color indexed="81"/>
            <rFont val="Tahoma"/>
            <family val="2"/>
          </rPr>
          <t>Ingrid Malmgren:</t>
        </r>
        <r>
          <rPr>
            <sz val="9"/>
            <color indexed="81"/>
            <rFont val="Tahoma"/>
            <family val="2"/>
          </rPr>
          <t xml:space="preserve">
p.409 multi-family p.410 res HES
p.412 res lighting</t>
        </r>
      </text>
    </comment>
    <comment ref="AQ237" authorId="0">
      <text>
        <r>
          <rPr>
            <b/>
            <sz val="9"/>
            <color indexed="81"/>
            <rFont val="Tahoma"/>
            <family val="2"/>
          </rPr>
          <t>Ingrid Malmgren:</t>
        </r>
        <r>
          <rPr>
            <sz val="9"/>
            <color indexed="81"/>
            <rFont val="Tahoma"/>
            <family val="2"/>
          </rPr>
          <t xml:space="preserve">
p.409 multi-family p.410 res HES
p.412 res lighting</t>
        </r>
      </text>
    </comment>
    <comment ref="AU237" authorId="0">
      <text>
        <r>
          <rPr>
            <b/>
            <sz val="9"/>
            <color indexed="81"/>
            <rFont val="Tahoma"/>
            <family val="2"/>
          </rPr>
          <t>Ingrid Malmgren:</t>
        </r>
        <r>
          <rPr>
            <sz val="9"/>
            <color indexed="81"/>
            <rFont val="Tahoma"/>
            <family val="2"/>
          </rPr>
          <t xml:space="preserve">
O&amp;M savings due to more efficient bulbs Appendix B, B-1</t>
        </r>
      </text>
    </comment>
    <comment ref="AW23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237" authorId="0">
      <text>
        <r>
          <rPr>
            <b/>
            <sz val="9"/>
            <color indexed="81"/>
            <rFont val="Tahoma"/>
            <family val="2"/>
          </rPr>
          <t>Ingrid Malmgren:</t>
        </r>
        <r>
          <rPr>
            <sz val="9"/>
            <color indexed="81"/>
            <rFont val="Tahoma"/>
            <family val="2"/>
          </rPr>
          <t xml:space="preserve">
from spreadsheet from Joe Loper at ITRON 2017-2018 Medium Socket screw-in lamp LED (replacing halogen)
</t>
        </r>
      </text>
    </comment>
    <comment ref="X238" authorId="0">
      <text>
        <r>
          <rPr>
            <b/>
            <sz val="9"/>
            <color indexed="81"/>
            <rFont val="Tahoma"/>
            <family val="2"/>
          </rPr>
          <t>Ingrid Malmgren:</t>
        </r>
        <r>
          <rPr>
            <sz val="9"/>
            <color indexed="81"/>
            <rFont val="Tahoma"/>
            <family val="2"/>
          </rPr>
          <t xml:space="preserve">
p.409 multi-family p.410 res HES
p.412 res lighting</t>
        </r>
      </text>
    </comment>
    <comment ref="AB238" authorId="0">
      <text>
        <r>
          <rPr>
            <b/>
            <sz val="9"/>
            <color indexed="81"/>
            <rFont val="Tahoma"/>
            <family val="2"/>
          </rPr>
          <t>Ingrid Malmgren:</t>
        </r>
        <r>
          <rPr>
            <sz val="9"/>
            <color indexed="81"/>
            <rFont val="Tahoma"/>
            <family val="2"/>
          </rPr>
          <t xml:space="preserve">
p.409 multi-family p.410 res HES
p.412 res lighting</t>
        </r>
      </text>
    </comment>
    <comment ref="AQ238" authorId="0">
      <text>
        <r>
          <rPr>
            <b/>
            <sz val="9"/>
            <color indexed="81"/>
            <rFont val="Tahoma"/>
            <family val="2"/>
          </rPr>
          <t>Ingrid Malmgren:</t>
        </r>
        <r>
          <rPr>
            <sz val="9"/>
            <color indexed="81"/>
            <rFont val="Tahoma"/>
            <family val="2"/>
          </rPr>
          <t xml:space="preserve">
p.409 multi-family p.410 res HES
p.412 res lighting</t>
        </r>
      </text>
    </comment>
    <comment ref="AU238" authorId="0">
      <text>
        <r>
          <rPr>
            <b/>
            <sz val="9"/>
            <color indexed="81"/>
            <rFont val="Tahoma"/>
            <family val="2"/>
          </rPr>
          <t>Ingrid Malmgren:</t>
        </r>
        <r>
          <rPr>
            <sz val="9"/>
            <color indexed="81"/>
            <rFont val="Tahoma"/>
            <family val="2"/>
          </rPr>
          <t xml:space="preserve">
O&amp;M savings due to more efficient bulbs Appendix B, B-1</t>
        </r>
      </text>
    </comment>
    <comment ref="AW23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238" authorId="0">
      <text>
        <r>
          <rPr>
            <b/>
            <sz val="9"/>
            <color indexed="81"/>
            <rFont val="Tahoma"/>
            <family val="2"/>
          </rPr>
          <t>Ingrid Malmgren:</t>
        </r>
        <r>
          <rPr>
            <sz val="9"/>
            <color indexed="81"/>
            <rFont val="Tahoma"/>
            <family val="2"/>
          </rPr>
          <t xml:space="preserve">
from spreadsheet from Joe Loper at ITRON 2017-2018 Medium Socket screw-in lamp LED (replacing halogen)
</t>
        </r>
      </text>
    </comment>
    <comment ref="X239" authorId="0">
      <text>
        <r>
          <rPr>
            <b/>
            <sz val="9"/>
            <color indexed="81"/>
            <rFont val="Tahoma"/>
            <family val="2"/>
          </rPr>
          <t>Ingrid Malmgren:</t>
        </r>
        <r>
          <rPr>
            <sz val="9"/>
            <color indexed="81"/>
            <rFont val="Tahoma"/>
            <family val="2"/>
          </rPr>
          <t xml:space="preserve">
p.409 multi-family p.410 res HES
p.412 res lighting</t>
        </r>
      </text>
    </comment>
    <comment ref="AB239" authorId="0">
      <text>
        <r>
          <rPr>
            <b/>
            <sz val="9"/>
            <color indexed="81"/>
            <rFont val="Tahoma"/>
            <family val="2"/>
          </rPr>
          <t>Ingrid Malmgren:</t>
        </r>
        <r>
          <rPr>
            <sz val="9"/>
            <color indexed="81"/>
            <rFont val="Tahoma"/>
            <family val="2"/>
          </rPr>
          <t xml:space="preserve">
p.409 multi-family p.410 res HES
p.412 res lighting</t>
        </r>
      </text>
    </comment>
    <comment ref="AQ239" authorId="0">
      <text>
        <r>
          <rPr>
            <b/>
            <sz val="9"/>
            <color indexed="81"/>
            <rFont val="Tahoma"/>
            <family val="2"/>
          </rPr>
          <t>Ingrid Malmgren:</t>
        </r>
        <r>
          <rPr>
            <sz val="9"/>
            <color indexed="81"/>
            <rFont val="Tahoma"/>
            <family val="2"/>
          </rPr>
          <t xml:space="preserve">
p.409 multi-family p.410 res HES
p.412 res lighting</t>
        </r>
      </text>
    </comment>
    <comment ref="AU239" authorId="0">
      <text>
        <r>
          <rPr>
            <b/>
            <sz val="9"/>
            <color indexed="81"/>
            <rFont val="Tahoma"/>
            <family val="2"/>
          </rPr>
          <t>Ingrid Malmgren:</t>
        </r>
        <r>
          <rPr>
            <sz val="9"/>
            <color indexed="81"/>
            <rFont val="Tahoma"/>
            <family val="2"/>
          </rPr>
          <t xml:space="preserve">
O&amp;M savings due to more efficient bulbs Appendix B, B-1</t>
        </r>
      </text>
    </comment>
    <comment ref="AW23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Y239" authorId="0">
      <text>
        <r>
          <rPr>
            <b/>
            <sz val="9"/>
            <color indexed="81"/>
            <rFont val="Tahoma"/>
            <family val="2"/>
          </rPr>
          <t>Ingrid Malmgren:</t>
        </r>
        <r>
          <rPr>
            <sz val="9"/>
            <color indexed="81"/>
            <rFont val="Tahoma"/>
            <family val="2"/>
          </rPr>
          <t xml:space="preserve">
from spreadsheet from Joe Loper at ITRON 2017-2018 Medium Socket screw-in lamp LED (replacing halogen)
</t>
        </r>
      </text>
    </comment>
    <comment ref="X240" authorId="0">
      <text>
        <r>
          <rPr>
            <b/>
            <sz val="9"/>
            <color indexed="81"/>
            <rFont val="Tahoma"/>
            <family val="2"/>
          </rPr>
          <t>Ingrid Malmgren:</t>
        </r>
        <r>
          <rPr>
            <sz val="9"/>
            <color indexed="81"/>
            <rFont val="Tahoma"/>
            <family val="2"/>
          </rPr>
          <t xml:space="preserve">
p.409 multi-family p.410 res HES
p.412 res lighting</t>
        </r>
      </text>
    </comment>
    <comment ref="AB240" authorId="0">
      <text>
        <r>
          <rPr>
            <b/>
            <sz val="9"/>
            <color indexed="81"/>
            <rFont val="Tahoma"/>
            <family val="2"/>
          </rPr>
          <t>Ingrid Malmgren:</t>
        </r>
        <r>
          <rPr>
            <sz val="9"/>
            <color indexed="81"/>
            <rFont val="Tahoma"/>
            <family val="2"/>
          </rPr>
          <t xml:space="preserve">
p.409 multi-family p.410 res HES
p.412 res lighting</t>
        </r>
      </text>
    </comment>
    <comment ref="AQ240" authorId="0">
      <text>
        <r>
          <rPr>
            <b/>
            <sz val="9"/>
            <color indexed="81"/>
            <rFont val="Tahoma"/>
            <family val="2"/>
          </rPr>
          <t>Ingrid Malmgren:</t>
        </r>
        <r>
          <rPr>
            <sz val="9"/>
            <color indexed="81"/>
            <rFont val="Tahoma"/>
            <family val="2"/>
          </rPr>
          <t xml:space="preserve">
p.409 multi-family p.410 res HES
p.412 res lighting</t>
        </r>
      </text>
    </comment>
    <comment ref="AU240" authorId="0">
      <text>
        <r>
          <rPr>
            <b/>
            <sz val="9"/>
            <color indexed="81"/>
            <rFont val="Tahoma"/>
            <family val="2"/>
          </rPr>
          <t>Ingrid Malmgren:</t>
        </r>
        <r>
          <rPr>
            <sz val="9"/>
            <color indexed="81"/>
            <rFont val="Tahoma"/>
            <family val="2"/>
          </rPr>
          <t xml:space="preserve">
O&amp;M savings due to more efficient bulbs Appendix B, B-1</t>
        </r>
      </text>
    </comment>
    <comment ref="AW24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41" authorId="0">
      <text>
        <r>
          <rPr>
            <b/>
            <sz val="9"/>
            <color indexed="81"/>
            <rFont val="Tahoma"/>
            <family val="2"/>
          </rPr>
          <t>Ingrid Malmgren:</t>
        </r>
        <r>
          <rPr>
            <sz val="9"/>
            <color indexed="81"/>
            <rFont val="Tahoma"/>
            <family val="2"/>
          </rPr>
          <t xml:space="preserve">
p.409 multi-family p.410 res HES
p.412 res lighting</t>
        </r>
      </text>
    </comment>
    <comment ref="AB241" authorId="0">
      <text>
        <r>
          <rPr>
            <b/>
            <sz val="9"/>
            <color indexed="81"/>
            <rFont val="Tahoma"/>
            <family val="2"/>
          </rPr>
          <t>Ingrid Malmgren:</t>
        </r>
        <r>
          <rPr>
            <sz val="9"/>
            <color indexed="81"/>
            <rFont val="Tahoma"/>
            <family val="2"/>
          </rPr>
          <t xml:space="preserve">
p.409 multi-family p.410 res HES
p.412 res lighting</t>
        </r>
      </text>
    </comment>
    <comment ref="AQ241" authorId="0">
      <text>
        <r>
          <rPr>
            <b/>
            <sz val="9"/>
            <color indexed="81"/>
            <rFont val="Tahoma"/>
            <family val="2"/>
          </rPr>
          <t>Ingrid Malmgren:</t>
        </r>
        <r>
          <rPr>
            <sz val="9"/>
            <color indexed="81"/>
            <rFont val="Tahoma"/>
            <family val="2"/>
          </rPr>
          <t xml:space="preserve">
p.409 multi-family p.410 res HES
p.412 res lighting</t>
        </r>
      </text>
    </comment>
    <comment ref="AU241" authorId="0">
      <text>
        <r>
          <rPr>
            <b/>
            <sz val="9"/>
            <color indexed="81"/>
            <rFont val="Tahoma"/>
            <family val="2"/>
          </rPr>
          <t>Ingrid Malmgren:</t>
        </r>
        <r>
          <rPr>
            <sz val="9"/>
            <color indexed="81"/>
            <rFont val="Tahoma"/>
            <family val="2"/>
          </rPr>
          <t xml:space="preserve">
O&amp;M savings due to more efficient bulbs Appendix B, B-1</t>
        </r>
      </text>
    </comment>
    <comment ref="AW24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42" authorId="0">
      <text>
        <r>
          <rPr>
            <b/>
            <sz val="9"/>
            <color indexed="81"/>
            <rFont val="Tahoma"/>
            <family val="2"/>
          </rPr>
          <t>Ingrid Malmgren:</t>
        </r>
        <r>
          <rPr>
            <sz val="9"/>
            <color indexed="81"/>
            <rFont val="Tahoma"/>
            <family val="2"/>
          </rPr>
          <t xml:space="preserve">
p.409 multi-family p.410 res HES
p.412 res lighting</t>
        </r>
      </text>
    </comment>
    <comment ref="AB242" authorId="0">
      <text>
        <r>
          <rPr>
            <b/>
            <sz val="9"/>
            <color indexed="81"/>
            <rFont val="Tahoma"/>
            <family val="2"/>
          </rPr>
          <t>Ingrid Malmgren:</t>
        </r>
        <r>
          <rPr>
            <sz val="9"/>
            <color indexed="81"/>
            <rFont val="Tahoma"/>
            <family val="2"/>
          </rPr>
          <t xml:space="preserve">
p.409 multi-family p.410 res HES
p.412 res lighting</t>
        </r>
      </text>
    </comment>
    <comment ref="AQ242" authorId="0">
      <text>
        <r>
          <rPr>
            <b/>
            <sz val="9"/>
            <color indexed="81"/>
            <rFont val="Tahoma"/>
            <family val="2"/>
          </rPr>
          <t>Ingrid Malmgren:</t>
        </r>
        <r>
          <rPr>
            <sz val="9"/>
            <color indexed="81"/>
            <rFont val="Tahoma"/>
            <family val="2"/>
          </rPr>
          <t xml:space="preserve">
p.409 multi-family p.410 res HES
p.412 res lighting</t>
        </r>
      </text>
    </comment>
    <comment ref="AU242" authorId="0">
      <text>
        <r>
          <rPr>
            <b/>
            <sz val="9"/>
            <color indexed="81"/>
            <rFont val="Tahoma"/>
            <family val="2"/>
          </rPr>
          <t>Ingrid Malmgren:</t>
        </r>
        <r>
          <rPr>
            <sz val="9"/>
            <color indexed="81"/>
            <rFont val="Tahoma"/>
            <family val="2"/>
          </rPr>
          <t xml:space="preserve">
O&amp;M savings due to more efficient bulbs Appendix B, B-1</t>
        </r>
      </text>
    </comment>
    <comment ref="AW24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43" authorId="0">
      <text>
        <r>
          <rPr>
            <b/>
            <sz val="9"/>
            <color indexed="81"/>
            <rFont val="Tahoma"/>
            <family val="2"/>
          </rPr>
          <t>Ingrid Malmgren:</t>
        </r>
        <r>
          <rPr>
            <sz val="9"/>
            <color indexed="81"/>
            <rFont val="Tahoma"/>
            <family val="2"/>
          </rPr>
          <t xml:space="preserve">
p.176</t>
        </r>
      </text>
    </comment>
    <comment ref="AA243" authorId="0">
      <text>
        <r>
          <rPr>
            <b/>
            <sz val="9"/>
            <color indexed="81"/>
            <rFont val="Tahoma"/>
            <family val="2"/>
          </rPr>
          <t>Ingrid Malmgren:</t>
        </r>
        <r>
          <rPr>
            <sz val="9"/>
            <color indexed="81"/>
            <rFont val="Tahoma"/>
            <family val="2"/>
          </rPr>
          <t xml:space="preserve">
Water savings on page 177 MA TRM</t>
        </r>
      </text>
    </comment>
    <comment ref="AC243" authorId="0">
      <text>
        <r>
          <rPr>
            <b/>
            <sz val="9"/>
            <color indexed="81"/>
            <rFont val="Tahoma"/>
            <family val="2"/>
          </rPr>
          <t>Ingrid Malmgren:</t>
        </r>
        <r>
          <rPr>
            <sz val="9"/>
            <color indexed="81"/>
            <rFont val="Tahoma"/>
            <family val="2"/>
          </rPr>
          <t xml:space="preserve">
</t>
        </r>
      </text>
    </comment>
    <comment ref="AP243" authorId="0">
      <text>
        <r>
          <rPr>
            <b/>
            <sz val="9"/>
            <color indexed="81"/>
            <rFont val="Tahoma"/>
            <family val="2"/>
          </rPr>
          <t>Ingrid Malmgren:</t>
        </r>
        <r>
          <rPr>
            <sz val="9"/>
            <color indexed="81"/>
            <rFont val="Tahoma"/>
            <family val="2"/>
          </rPr>
          <t xml:space="preserve">
p.177 MA TRM</t>
        </r>
      </text>
    </comment>
    <comment ref="AQ243" authorId="0">
      <text>
        <r>
          <rPr>
            <b/>
            <sz val="9"/>
            <color indexed="81"/>
            <rFont val="Tahoma"/>
            <family val="2"/>
          </rPr>
          <t>Ingrid Malmgren:</t>
        </r>
        <r>
          <rPr>
            <sz val="9"/>
            <color indexed="81"/>
            <rFont val="Tahoma"/>
            <family val="2"/>
          </rPr>
          <t xml:space="preserve">
p.176</t>
        </r>
      </text>
    </comment>
    <comment ref="AW24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44" authorId="0">
      <text>
        <r>
          <rPr>
            <b/>
            <sz val="9"/>
            <color indexed="81"/>
            <rFont val="Tahoma"/>
            <family val="2"/>
          </rPr>
          <t>Ingrid Malmgren:</t>
        </r>
        <r>
          <rPr>
            <sz val="9"/>
            <color indexed="81"/>
            <rFont val="Tahoma"/>
            <family val="2"/>
          </rPr>
          <t xml:space="preserve">
p.176</t>
        </r>
      </text>
    </comment>
    <comment ref="AA244" authorId="0">
      <text>
        <r>
          <rPr>
            <b/>
            <sz val="9"/>
            <color indexed="81"/>
            <rFont val="Tahoma"/>
            <family val="2"/>
          </rPr>
          <t>Ingrid Malmgren:</t>
        </r>
        <r>
          <rPr>
            <sz val="9"/>
            <color indexed="81"/>
            <rFont val="Tahoma"/>
            <family val="2"/>
          </rPr>
          <t xml:space="preserve">
Water savings on page 177 MA TRM</t>
        </r>
      </text>
    </comment>
    <comment ref="AC244" authorId="0">
      <text>
        <r>
          <rPr>
            <b/>
            <sz val="9"/>
            <color indexed="81"/>
            <rFont val="Tahoma"/>
            <family val="2"/>
          </rPr>
          <t>Ingrid Malmgren:</t>
        </r>
        <r>
          <rPr>
            <sz val="9"/>
            <color indexed="81"/>
            <rFont val="Tahoma"/>
            <family val="2"/>
          </rPr>
          <t xml:space="preserve">
backed out existing modeled water savings per E1 email 9.15.2017
</t>
        </r>
      </text>
    </comment>
    <comment ref="AP244" authorId="0">
      <text>
        <r>
          <rPr>
            <b/>
            <sz val="9"/>
            <color indexed="81"/>
            <rFont val="Tahoma"/>
            <family val="2"/>
          </rPr>
          <t>Ingrid Malmgren:</t>
        </r>
        <r>
          <rPr>
            <sz val="9"/>
            <color indexed="81"/>
            <rFont val="Tahoma"/>
            <family val="2"/>
          </rPr>
          <t xml:space="preserve">
p.177 MA TRM</t>
        </r>
      </text>
    </comment>
    <comment ref="AQ244" authorId="0">
      <text>
        <r>
          <rPr>
            <b/>
            <sz val="9"/>
            <color indexed="81"/>
            <rFont val="Tahoma"/>
            <family val="2"/>
          </rPr>
          <t>Ingrid Malmgren:</t>
        </r>
        <r>
          <rPr>
            <sz val="9"/>
            <color indexed="81"/>
            <rFont val="Tahoma"/>
            <family val="2"/>
          </rPr>
          <t xml:space="preserve">
p.176</t>
        </r>
      </text>
    </comment>
    <comment ref="AW24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45" authorId="0">
      <text>
        <r>
          <rPr>
            <b/>
            <sz val="9"/>
            <color indexed="81"/>
            <rFont val="Tahoma"/>
            <family val="2"/>
          </rPr>
          <t>Ingrid Malmgren:</t>
        </r>
        <r>
          <rPr>
            <sz val="9"/>
            <color indexed="81"/>
            <rFont val="Tahoma"/>
            <family val="2"/>
          </rPr>
          <t xml:space="preserve">
p.176</t>
        </r>
      </text>
    </comment>
    <comment ref="AA245" authorId="0">
      <text>
        <r>
          <rPr>
            <b/>
            <sz val="9"/>
            <color indexed="81"/>
            <rFont val="Tahoma"/>
            <family val="2"/>
          </rPr>
          <t>Ingrid Malmgren:</t>
        </r>
        <r>
          <rPr>
            <sz val="9"/>
            <color indexed="81"/>
            <rFont val="Tahoma"/>
            <family val="2"/>
          </rPr>
          <t xml:space="preserve">
Water savings on page 174 MA TRM</t>
        </r>
      </text>
    </comment>
    <comment ref="AB245" authorId="0">
      <text>
        <r>
          <rPr>
            <b/>
            <sz val="9"/>
            <color indexed="81"/>
            <rFont val="Tahoma"/>
            <family val="2"/>
          </rPr>
          <t>Ingrid Malmgren:</t>
        </r>
        <r>
          <rPr>
            <sz val="9"/>
            <color indexed="81"/>
            <rFont val="Tahoma"/>
            <family val="2"/>
          </rPr>
          <t xml:space="preserve">
one time pro-rated property value increase</t>
        </r>
      </text>
    </comment>
    <comment ref="AC245" authorId="0">
      <text>
        <r>
          <rPr>
            <b/>
            <sz val="9"/>
            <color indexed="81"/>
            <rFont val="Tahoma"/>
            <family val="2"/>
          </rPr>
          <t>Ingrid Malmgren:</t>
        </r>
        <r>
          <rPr>
            <sz val="9"/>
            <color indexed="81"/>
            <rFont val="Tahoma"/>
            <family val="2"/>
          </rPr>
          <t xml:space="preserve">
backed out existing modeled water savings per E1 email 9.15.2017</t>
        </r>
      </text>
    </comment>
    <comment ref="AQ245" authorId="0">
      <text>
        <r>
          <rPr>
            <b/>
            <sz val="9"/>
            <color indexed="81"/>
            <rFont val="Tahoma"/>
            <family val="2"/>
          </rPr>
          <t>Ingrid Malmgren:</t>
        </r>
        <r>
          <rPr>
            <sz val="9"/>
            <color indexed="81"/>
            <rFont val="Tahoma"/>
            <family val="2"/>
          </rPr>
          <t xml:space="preserve">
p.408 multi-family
p.410 HES
for property value increase</t>
        </r>
      </text>
    </comment>
    <comment ref="AS245" authorId="0">
      <text>
        <r>
          <rPr>
            <b/>
            <sz val="9"/>
            <color indexed="81"/>
            <rFont val="Tahoma"/>
            <family val="2"/>
          </rPr>
          <t>Ingrid Malmgren:</t>
        </r>
        <r>
          <rPr>
            <sz val="9"/>
            <color indexed="81"/>
            <rFont val="Tahoma"/>
            <family val="2"/>
          </rPr>
          <t xml:space="preserve">
see table in 2011 PA Study tab-unclear whether this is per year or per measure one time</t>
        </r>
      </text>
    </comment>
    <comment ref="AW24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46" authorId="0">
      <text>
        <r>
          <rPr>
            <b/>
            <sz val="9"/>
            <color indexed="81"/>
            <rFont val="Tahoma"/>
            <family val="2"/>
          </rPr>
          <t>Ingrid Malmgren:</t>
        </r>
        <r>
          <rPr>
            <sz val="9"/>
            <color indexed="81"/>
            <rFont val="Tahoma"/>
            <family val="2"/>
          </rPr>
          <t xml:space="preserve">
p.176</t>
        </r>
      </text>
    </comment>
    <comment ref="AA246" authorId="0">
      <text>
        <r>
          <rPr>
            <b/>
            <sz val="9"/>
            <color indexed="81"/>
            <rFont val="Tahoma"/>
            <family val="2"/>
          </rPr>
          <t>Ingrid Malmgren:</t>
        </r>
        <r>
          <rPr>
            <sz val="9"/>
            <color indexed="81"/>
            <rFont val="Tahoma"/>
            <family val="2"/>
          </rPr>
          <t xml:space="preserve">
Water savings on page 174 MA TRM</t>
        </r>
      </text>
    </comment>
    <comment ref="AB246" authorId="0">
      <text>
        <r>
          <rPr>
            <b/>
            <sz val="9"/>
            <color indexed="81"/>
            <rFont val="Tahoma"/>
            <family val="2"/>
          </rPr>
          <t>Ingrid Malmgren:</t>
        </r>
        <r>
          <rPr>
            <sz val="9"/>
            <color indexed="81"/>
            <rFont val="Tahoma"/>
            <family val="2"/>
          </rPr>
          <t xml:space="preserve">
one time pro-rated property value increase</t>
        </r>
      </text>
    </comment>
    <comment ref="AC246" authorId="0">
      <text>
        <r>
          <rPr>
            <b/>
            <sz val="9"/>
            <color indexed="81"/>
            <rFont val="Tahoma"/>
            <family val="2"/>
          </rPr>
          <t>Ingrid Malmgren:</t>
        </r>
        <r>
          <rPr>
            <sz val="9"/>
            <color indexed="81"/>
            <rFont val="Tahoma"/>
            <family val="2"/>
          </rPr>
          <t xml:space="preserve">
backed out existing modeled water savings per E1 email 9.15.2017</t>
        </r>
      </text>
    </comment>
    <comment ref="AQ246" authorId="0">
      <text>
        <r>
          <rPr>
            <b/>
            <sz val="9"/>
            <color indexed="81"/>
            <rFont val="Tahoma"/>
            <family val="2"/>
          </rPr>
          <t>Ingrid Malmgren:</t>
        </r>
        <r>
          <rPr>
            <sz val="9"/>
            <color indexed="81"/>
            <rFont val="Tahoma"/>
            <family val="2"/>
          </rPr>
          <t xml:space="preserve">
p.408 multi-family
p.410 HES
for property value increase</t>
        </r>
      </text>
    </comment>
    <comment ref="AS246" authorId="0">
      <text>
        <r>
          <rPr>
            <b/>
            <sz val="9"/>
            <color indexed="81"/>
            <rFont val="Tahoma"/>
            <family val="2"/>
          </rPr>
          <t>Ingrid Malmgren:</t>
        </r>
        <r>
          <rPr>
            <sz val="9"/>
            <color indexed="81"/>
            <rFont val="Tahoma"/>
            <family val="2"/>
          </rPr>
          <t xml:space="preserve">
see table in 2011 PA Study tab-unclear whether this is per year or per measure one time</t>
        </r>
      </text>
    </comment>
    <comment ref="AW24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47" authorId="0">
      <text>
        <r>
          <rPr>
            <b/>
            <sz val="9"/>
            <color indexed="81"/>
            <rFont val="Tahoma"/>
            <family val="2"/>
          </rPr>
          <t>Ingrid Malmgren:</t>
        </r>
        <r>
          <rPr>
            <sz val="9"/>
            <color indexed="81"/>
            <rFont val="Tahoma"/>
            <family val="2"/>
          </rPr>
          <t xml:space="preserve">
MA TRM LI $5.00 one time property value inc. plus $5.56 thermal comfort - NO HEALTH</t>
        </r>
      </text>
    </comment>
    <comment ref="Z247" authorId="0">
      <text>
        <r>
          <rPr>
            <b/>
            <sz val="9"/>
            <color indexed="81"/>
            <rFont val="Tahoma"/>
            <family val="2"/>
          </rPr>
          <t>Ingrid Malmgren:</t>
        </r>
        <r>
          <rPr>
            <sz val="9"/>
            <color indexed="81"/>
            <rFont val="Tahoma"/>
            <family val="2"/>
          </rPr>
          <t xml:space="preserve">
HARDCODED-NEED TO UPDATE MANUALLY </t>
        </r>
      </text>
    </comment>
    <comment ref="AB247" authorId="0">
      <text>
        <r>
          <rPr>
            <b/>
            <sz val="9"/>
            <color indexed="81"/>
            <rFont val="Tahoma"/>
            <family val="2"/>
          </rPr>
          <t>Ingrid Malmgren:</t>
        </r>
        <r>
          <rPr>
            <sz val="9"/>
            <color indexed="81"/>
            <rFont val="Tahoma"/>
            <family val="2"/>
          </rPr>
          <t xml:space="preserve">
MA TRM LI $5.00 USD one time property value inc. (prorated)  </t>
        </r>
      </text>
    </comment>
    <comment ref="AC247" authorId="0">
      <text>
        <r>
          <rPr>
            <b/>
            <sz val="9"/>
            <color indexed="81"/>
            <rFont val="Tahoma"/>
            <family val="2"/>
          </rPr>
          <t>Ingrid Malmgren:</t>
        </r>
        <r>
          <rPr>
            <sz val="9"/>
            <color indexed="81"/>
            <rFont val="Tahoma"/>
            <family val="2"/>
          </rPr>
          <t xml:space="preserve">
MA TRM LI $5.00 one time property value inc. plus $5.56 thermal comfort - NO HEALTH</t>
        </r>
      </text>
    </comment>
    <comment ref="AQ247" authorId="0">
      <text>
        <r>
          <rPr>
            <b/>
            <sz val="9"/>
            <color indexed="81"/>
            <rFont val="Tahoma"/>
            <family val="2"/>
          </rPr>
          <t>Ingrid Malmgren:</t>
        </r>
        <r>
          <rPr>
            <sz val="9"/>
            <color indexed="81"/>
            <rFont val="Tahoma"/>
            <family val="2"/>
          </rPr>
          <t xml:space="preserve">
only for low income measures thermal comfort, property value increase, and health benefits-should these be transferable?</t>
        </r>
      </text>
    </comment>
    <comment ref="AT247" authorId="0">
      <text>
        <r>
          <rPr>
            <b/>
            <sz val="9"/>
            <color indexed="81"/>
            <rFont val="Tahoma"/>
            <family val="2"/>
          </rPr>
          <t>Ingrid Malmgren:</t>
        </r>
        <r>
          <rPr>
            <sz val="9"/>
            <color indexed="81"/>
            <rFont val="Tahoma"/>
            <family val="2"/>
          </rPr>
          <t xml:space="preserve">
Table E.4 Annual health benefit includes reduced asthma symptoms, reduced cold-related thermal stress, reduced heat related thermal stress, and fewer days missed work</t>
        </r>
      </text>
    </comment>
    <comment ref="AW24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48" authorId="0">
      <text>
        <r>
          <rPr>
            <b/>
            <sz val="9"/>
            <color indexed="81"/>
            <rFont val="Tahoma"/>
            <family val="2"/>
          </rPr>
          <t>Ingrid Malmgren:</t>
        </r>
        <r>
          <rPr>
            <sz val="9"/>
            <color indexed="81"/>
            <rFont val="Tahoma"/>
            <family val="2"/>
          </rPr>
          <t xml:space="preserve">
MA TRM LI $5.00 one time property value inc. plus $5.56 thermal comfort - NO HEALTH</t>
        </r>
      </text>
    </comment>
    <comment ref="Z248" authorId="0">
      <text>
        <r>
          <rPr>
            <b/>
            <sz val="9"/>
            <color indexed="81"/>
            <rFont val="Tahoma"/>
            <family val="2"/>
          </rPr>
          <t>Ingrid Malmgren:</t>
        </r>
        <r>
          <rPr>
            <sz val="9"/>
            <color indexed="81"/>
            <rFont val="Tahoma"/>
            <family val="2"/>
          </rPr>
          <t xml:space="preserve">
HARDCODED-NEED TO UPDATE MANUALLY </t>
        </r>
      </text>
    </comment>
    <comment ref="AB248" authorId="0">
      <text>
        <r>
          <rPr>
            <b/>
            <sz val="9"/>
            <color indexed="81"/>
            <rFont val="Tahoma"/>
            <family val="2"/>
          </rPr>
          <t>Ingrid Malmgren:</t>
        </r>
        <r>
          <rPr>
            <sz val="9"/>
            <color indexed="81"/>
            <rFont val="Tahoma"/>
            <family val="2"/>
          </rPr>
          <t xml:space="preserve">
MA TRM LI $5.00 USD one time property value inc. (prorated) </t>
        </r>
      </text>
    </comment>
    <comment ref="AC248" authorId="0">
      <text>
        <r>
          <rPr>
            <b/>
            <sz val="9"/>
            <color indexed="81"/>
            <rFont val="Tahoma"/>
            <family val="2"/>
          </rPr>
          <t>Ingrid Malmgren:</t>
        </r>
        <r>
          <rPr>
            <sz val="9"/>
            <color indexed="81"/>
            <rFont val="Tahoma"/>
            <family val="2"/>
          </rPr>
          <t xml:space="preserve">
MA TRM LI $5.00 one time property value inc. plus $5.56 thermal comfort - NO HEALTH</t>
        </r>
      </text>
    </comment>
    <comment ref="AQ248" authorId="0">
      <text>
        <r>
          <rPr>
            <b/>
            <sz val="9"/>
            <color indexed="81"/>
            <rFont val="Tahoma"/>
            <family val="2"/>
          </rPr>
          <t>Ingrid Malmgren:</t>
        </r>
        <r>
          <rPr>
            <sz val="9"/>
            <color indexed="81"/>
            <rFont val="Tahoma"/>
            <family val="2"/>
          </rPr>
          <t xml:space="preserve">
only for low income measures thermal comfort, property value increas, and health benefits-should these be transferrable?</t>
        </r>
      </text>
    </comment>
    <comment ref="AT248" authorId="0">
      <text>
        <r>
          <rPr>
            <b/>
            <sz val="9"/>
            <color indexed="81"/>
            <rFont val="Tahoma"/>
            <family val="2"/>
          </rPr>
          <t>Ingrid Malmgren:</t>
        </r>
        <r>
          <rPr>
            <sz val="9"/>
            <color indexed="81"/>
            <rFont val="Tahoma"/>
            <family val="2"/>
          </rPr>
          <t xml:space="preserve">
Table E.4 Annual health benefit includes reduced asthma symptoms, reduced cold-related thermal stress, reduced heat related thermal stress, and fewer days missed work</t>
        </r>
      </text>
    </comment>
    <comment ref="AW24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49" authorId="0">
      <text>
        <r>
          <rPr>
            <b/>
            <sz val="9"/>
            <color indexed="81"/>
            <rFont val="Tahoma"/>
            <family val="2"/>
          </rPr>
          <t>Ingrid Malmgren:</t>
        </r>
        <r>
          <rPr>
            <sz val="9"/>
            <color indexed="81"/>
            <rFont val="Tahoma"/>
            <family val="2"/>
          </rPr>
          <t xml:space="preserve">
MA TRM LI $5.00 one time property value inc. plus $5.56 thermal comfort - NO HEALTH</t>
        </r>
      </text>
    </comment>
    <comment ref="Z249" authorId="0">
      <text>
        <r>
          <rPr>
            <b/>
            <sz val="9"/>
            <color indexed="81"/>
            <rFont val="Tahoma"/>
            <family val="2"/>
          </rPr>
          <t>Ingrid Malmgren:</t>
        </r>
        <r>
          <rPr>
            <sz val="9"/>
            <color indexed="81"/>
            <rFont val="Tahoma"/>
            <family val="2"/>
          </rPr>
          <t xml:space="preserve">
HARDCODED-NEED TO UPDATE MANUALLY </t>
        </r>
      </text>
    </comment>
    <comment ref="AB249" authorId="0">
      <text>
        <r>
          <rPr>
            <b/>
            <sz val="9"/>
            <color indexed="81"/>
            <rFont val="Tahoma"/>
            <family val="2"/>
          </rPr>
          <t>Ingrid Malmgren:</t>
        </r>
        <r>
          <rPr>
            <sz val="9"/>
            <color indexed="81"/>
            <rFont val="Tahoma"/>
            <family val="2"/>
          </rPr>
          <t xml:space="preserve">
MA TRM LI $5.00 USD one time property value inc. (prorated) </t>
        </r>
      </text>
    </comment>
    <comment ref="AC249" authorId="0">
      <text>
        <r>
          <rPr>
            <b/>
            <sz val="9"/>
            <color indexed="81"/>
            <rFont val="Tahoma"/>
            <family val="2"/>
          </rPr>
          <t>Ingrid Malmgren:</t>
        </r>
        <r>
          <rPr>
            <sz val="9"/>
            <color indexed="81"/>
            <rFont val="Tahoma"/>
            <family val="2"/>
          </rPr>
          <t xml:space="preserve">
MA TRM LI $5.00 one time property value inc. plus $5.56 thermal comfort - NO HEALTH</t>
        </r>
      </text>
    </comment>
    <comment ref="AW24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50" authorId="0">
      <text>
        <r>
          <rPr>
            <b/>
            <sz val="9"/>
            <color indexed="81"/>
            <rFont val="Tahoma"/>
            <family val="2"/>
          </rPr>
          <t>Ingrid Malmgren:</t>
        </r>
        <r>
          <rPr>
            <sz val="9"/>
            <color indexed="81"/>
            <rFont val="Tahoma"/>
            <family val="2"/>
          </rPr>
          <t xml:space="preserve">
MA TRM LI $5.00 one time property value inc. plus $5.56 thermal comfort - NO HEALTH
$46.07 USD one time plus $5.06/year USD</t>
        </r>
      </text>
    </comment>
    <comment ref="Z250" authorId="0">
      <text>
        <r>
          <rPr>
            <b/>
            <sz val="9"/>
            <color indexed="81"/>
            <rFont val="Tahoma"/>
            <family val="2"/>
          </rPr>
          <t>Ingrid Malmgren:</t>
        </r>
        <r>
          <rPr>
            <sz val="9"/>
            <color indexed="81"/>
            <rFont val="Tahoma"/>
            <family val="2"/>
          </rPr>
          <t xml:space="preserve">
HARDCODED-NEED TO UPDATE MANUALLY </t>
        </r>
      </text>
    </comment>
    <comment ref="AB250" authorId="0">
      <text>
        <r>
          <rPr>
            <b/>
            <sz val="9"/>
            <color indexed="81"/>
            <rFont val="Tahoma"/>
            <family val="2"/>
          </rPr>
          <t>Ingrid Malmgren:</t>
        </r>
        <r>
          <rPr>
            <sz val="9"/>
            <color indexed="81"/>
            <rFont val="Tahoma"/>
            <family val="2"/>
          </rPr>
          <t xml:space="preserve">
MA TRM LI $5.00 USD one time property value inc. (prorated) </t>
        </r>
      </text>
    </comment>
    <comment ref="AC250" authorId="0">
      <text>
        <r>
          <rPr>
            <b/>
            <sz val="9"/>
            <color indexed="81"/>
            <rFont val="Tahoma"/>
            <family val="2"/>
          </rPr>
          <t>Ingrid Malmgren:</t>
        </r>
        <r>
          <rPr>
            <sz val="9"/>
            <color indexed="81"/>
            <rFont val="Tahoma"/>
            <family val="2"/>
          </rPr>
          <t xml:space="preserve">
MA TRM LI $5.00 one time property value inc. plus $5.56 thermal comfort - NO HEALTH</t>
        </r>
      </text>
    </comment>
    <comment ref="AW25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51" authorId="0">
      <text>
        <r>
          <rPr>
            <b/>
            <sz val="9"/>
            <color indexed="81"/>
            <rFont val="Tahoma"/>
            <family val="2"/>
          </rPr>
          <t>Ingrid Malmgren:</t>
        </r>
        <r>
          <rPr>
            <sz val="9"/>
            <color indexed="81"/>
            <rFont val="Tahoma"/>
            <family val="2"/>
          </rPr>
          <t xml:space="preserve">
MA TRM p. 410 Heat pump SEER 16 to 18 NO HEALTH</t>
        </r>
      </text>
    </comment>
    <comment ref="Z251" authorId="0">
      <text>
        <r>
          <rPr>
            <b/>
            <sz val="9"/>
            <color indexed="81"/>
            <rFont val="Tahoma"/>
            <family val="2"/>
          </rPr>
          <t>Ingrid Malmgren:</t>
        </r>
        <r>
          <rPr>
            <sz val="9"/>
            <color indexed="81"/>
            <rFont val="Tahoma"/>
            <family val="2"/>
          </rPr>
          <t xml:space="preserve">
HARDCODED-NEED TO UPDATE MANUALLY</t>
        </r>
      </text>
    </comment>
    <comment ref="AB251" authorId="0">
      <text>
        <r>
          <rPr>
            <b/>
            <sz val="9"/>
            <color indexed="81"/>
            <rFont val="Tahoma"/>
            <family val="2"/>
          </rPr>
          <t>Ingrid Malmgren:</t>
        </r>
        <r>
          <rPr>
            <sz val="9"/>
            <color indexed="81"/>
            <rFont val="Tahoma"/>
            <family val="2"/>
          </rPr>
          <t xml:space="preserve">
MA TRM $46.07 USD property value (USD)
Used Heat Pump SEER 16 to 18 as proxy</t>
        </r>
      </text>
    </comment>
    <comment ref="AC251" authorId="0">
      <text>
        <r>
          <rPr>
            <b/>
            <sz val="9"/>
            <color indexed="81"/>
            <rFont val="Tahoma"/>
            <family val="2"/>
          </rPr>
          <t>Ingrid Malmgren:</t>
        </r>
        <r>
          <rPr>
            <sz val="9"/>
            <color indexed="81"/>
            <rFont val="Tahoma"/>
            <family val="2"/>
          </rPr>
          <t xml:space="preserve">
MA TRM LI $5.00 one time property value inc. plus $5.56 thermal comfort - NO HEALTH
$46.07 USD one time plus $5.06/year USD</t>
        </r>
      </text>
    </comment>
    <comment ref="AS251" authorId="0">
      <text>
        <r>
          <rPr>
            <b/>
            <sz val="9"/>
            <color indexed="81"/>
            <rFont val="Tahoma"/>
            <family val="2"/>
          </rPr>
          <t>Ingrid Malmgren:</t>
        </r>
        <r>
          <rPr>
            <sz val="9"/>
            <color indexed="81"/>
            <rFont val="Tahoma"/>
            <family val="2"/>
          </rPr>
          <t xml:space="preserve">
from 2011 study minus health "heating system"</t>
        </r>
      </text>
    </comment>
    <comment ref="AT251" authorId="0">
      <text>
        <r>
          <rPr>
            <b/>
            <sz val="9"/>
            <color indexed="81"/>
            <rFont val="Tahoma"/>
            <family val="2"/>
          </rPr>
          <t>Ingrid Malmgren:</t>
        </r>
        <r>
          <rPr>
            <sz val="9"/>
            <color indexed="81"/>
            <rFont val="Tahoma"/>
            <family val="2"/>
          </rPr>
          <t xml:space="preserve">
Table E.4 Heating system health benefits per year</t>
        </r>
      </text>
    </comment>
    <comment ref="AU251" authorId="0">
      <text>
        <r>
          <rPr>
            <b/>
            <sz val="9"/>
            <color indexed="81"/>
            <rFont val="Tahoma"/>
            <family val="2"/>
          </rPr>
          <t>Ingrid Malmgren:</t>
        </r>
        <r>
          <rPr>
            <sz val="9"/>
            <color indexed="81"/>
            <rFont val="Tahoma"/>
            <family val="2"/>
          </rPr>
          <t xml:space="preserve">
$45.05/year reduced incidence of fire and CO exposure as a result of installing a new heating system</t>
        </r>
      </text>
    </comment>
    <comment ref="AW25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52" authorId="0">
      <text>
        <r>
          <rPr>
            <b/>
            <sz val="9"/>
            <color indexed="81"/>
            <rFont val="Tahoma"/>
            <family val="2"/>
          </rPr>
          <t>Ingrid Malmgren:</t>
        </r>
        <r>
          <rPr>
            <sz val="9"/>
            <color indexed="81"/>
            <rFont val="Tahoma"/>
            <family val="2"/>
          </rPr>
          <t xml:space="preserve">
MA TRM p.412 Boiler 90% NO HEALTH
$385.23 one time + $48.82/yr (USD)</t>
        </r>
      </text>
    </comment>
    <comment ref="Z252" authorId="0">
      <text>
        <r>
          <rPr>
            <b/>
            <sz val="9"/>
            <color indexed="81"/>
            <rFont val="Tahoma"/>
            <family val="2"/>
          </rPr>
          <t>Ingrid Malmgren:</t>
        </r>
        <r>
          <rPr>
            <sz val="9"/>
            <color indexed="81"/>
            <rFont val="Tahoma"/>
            <family val="2"/>
          </rPr>
          <t xml:space="preserve">
HARDCODED NEED TO UPDATE MANUALLY</t>
        </r>
      </text>
    </comment>
    <comment ref="AB252" authorId="0">
      <text>
        <r>
          <rPr>
            <b/>
            <sz val="9"/>
            <color indexed="81"/>
            <rFont val="Tahoma"/>
            <family val="2"/>
          </rPr>
          <t>Ingrid Malmgren:</t>
        </r>
        <r>
          <rPr>
            <sz val="9"/>
            <color indexed="81"/>
            <rFont val="Tahoma"/>
            <family val="2"/>
          </rPr>
          <t xml:space="preserve">
MA TRM p.412 Boiler 90% 
$385.23 one time property value (USD) prorated
</t>
        </r>
      </text>
    </comment>
    <comment ref="AC252" authorId="0">
      <text>
        <r>
          <rPr>
            <b/>
            <sz val="9"/>
            <color indexed="81"/>
            <rFont val="Tahoma"/>
            <family val="2"/>
          </rPr>
          <t>Ingrid Malmgren:</t>
        </r>
        <r>
          <rPr>
            <sz val="9"/>
            <color indexed="81"/>
            <rFont val="Tahoma"/>
            <family val="2"/>
          </rPr>
          <t xml:space="preserve">
MA TRM p.412 Boiler 90% NO HEALTH
$385.23 one time + $48.82/yr (USD)</t>
        </r>
      </text>
    </comment>
    <comment ref="AS252" authorId="0">
      <text>
        <r>
          <rPr>
            <b/>
            <sz val="9"/>
            <color indexed="81"/>
            <rFont val="Tahoma"/>
            <family val="2"/>
          </rPr>
          <t>Ingrid Malmgren:</t>
        </r>
        <r>
          <rPr>
            <sz val="9"/>
            <color indexed="81"/>
            <rFont val="Tahoma"/>
            <family val="2"/>
          </rPr>
          <t xml:space="preserve">
from 2011 study minus health "heating system"</t>
        </r>
      </text>
    </comment>
    <comment ref="AT252" authorId="0">
      <text>
        <r>
          <rPr>
            <b/>
            <sz val="9"/>
            <color indexed="81"/>
            <rFont val="Tahoma"/>
            <family val="2"/>
          </rPr>
          <t>Ingrid Malmgren:</t>
        </r>
        <r>
          <rPr>
            <sz val="9"/>
            <color indexed="81"/>
            <rFont val="Tahoma"/>
            <family val="2"/>
          </rPr>
          <t xml:space="preserve">
Table E.4 Heating system health benefits per year</t>
        </r>
      </text>
    </comment>
    <comment ref="AU252" authorId="0">
      <text>
        <r>
          <rPr>
            <b/>
            <sz val="9"/>
            <color indexed="81"/>
            <rFont val="Tahoma"/>
            <family val="2"/>
          </rPr>
          <t>Ingrid Malmgren:</t>
        </r>
        <r>
          <rPr>
            <sz val="9"/>
            <color indexed="81"/>
            <rFont val="Tahoma"/>
            <family val="2"/>
          </rPr>
          <t xml:space="preserve">
$45.05/year reduced incidence of fire and CO exposure as a result of installing a new heating system</t>
        </r>
      </text>
    </comment>
    <comment ref="AW25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53" authorId="0">
      <text>
        <r>
          <rPr>
            <b/>
            <sz val="9"/>
            <color indexed="81"/>
            <rFont val="Tahoma"/>
            <family val="2"/>
          </rPr>
          <t>Ingrid Malmgren:</t>
        </r>
        <r>
          <rPr>
            <sz val="9"/>
            <color indexed="81"/>
            <rFont val="Tahoma"/>
            <family val="2"/>
          </rPr>
          <t xml:space="preserve">
MA TRM p.410 Heat Pump SEER 16 NO HEALTH</t>
        </r>
      </text>
    </comment>
    <comment ref="Z253" authorId="0">
      <text>
        <r>
          <rPr>
            <b/>
            <sz val="9"/>
            <color indexed="81"/>
            <rFont val="Tahoma"/>
            <family val="2"/>
          </rPr>
          <t>Ingrid Malmgren:</t>
        </r>
        <r>
          <rPr>
            <sz val="9"/>
            <color indexed="81"/>
            <rFont val="Tahoma"/>
            <family val="2"/>
          </rPr>
          <t xml:space="preserve">
HARDCODED-NEED TO UPDATE MANUALLY</t>
        </r>
      </text>
    </comment>
    <comment ref="AB253" authorId="0">
      <text>
        <r>
          <rPr>
            <b/>
            <sz val="9"/>
            <color indexed="81"/>
            <rFont val="Tahoma"/>
            <family val="2"/>
          </rPr>
          <t>Ingrid Malmgren:</t>
        </r>
        <r>
          <rPr>
            <sz val="9"/>
            <color indexed="81"/>
            <rFont val="Tahoma"/>
            <family val="2"/>
          </rPr>
          <t xml:space="preserve">
MA TRM $46.07 USD property value (USD)
Used Heat Pump SEER 16 to 18 as proxy</t>
        </r>
      </text>
    </comment>
    <comment ref="AC253" authorId="0">
      <text>
        <r>
          <rPr>
            <b/>
            <sz val="9"/>
            <color indexed="81"/>
            <rFont val="Tahoma"/>
            <family val="2"/>
          </rPr>
          <t>Ingrid Malmgren:</t>
        </r>
        <r>
          <rPr>
            <sz val="9"/>
            <color indexed="81"/>
            <rFont val="Tahoma"/>
            <family val="2"/>
          </rPr>
          <t xml:space="preserve">
$46.07 one time plus $5.15/year NO HEALTH</t>
        </r>
      </text>
    </comment>
    <comment ref="AS253" authorId="0">
      <text>
        <r>
          <rPr>
            <b/>
            <sz val="9"/>
            <color indexed="81"/>
            <rFont val="Tahoma"/>
            <family val="2"/>
          </rPr>
          <t>Ingrid Malmgren:</t>
        </r>
        <r>
          <rPr>
            <sz val="9"/>
            <color indexed="81"/>
            <rFont val="Tahoma"/>
            <family val="2"/>
          </rPr>
          <t xml:space="preserve">
from 2011 study minus health "heating system"</t>
        </r>
      </text>
    </comment>
    <comment ref="AT253" authorId="0">
      <text>
        <r>
          <rPr>
            <b/>
            <sz val="9"/>
            <color indexed="81"/>
            <rFont val="Tahoma"/>
            <family val="2"/>
          </rPr>
          <t>Ingrid Malmgren:</t>
        </r>
        <r>
          <rPr>
            <sz val="9"/>
            <color indexed="81"/>
            <rFont val="Tahoma"/>
            <family val="2"/>
          </rPr>
          <t xml:space="preserve">
Table E.4 Heating system health benefits per year</t>
        </r>
      </text>
    </comment>
    <comment ref="AU253" authorId="0">
      <text>
        <r>
          <rPr>
            <b/>
            <sz val="9"/>
            <color indexed="81"/>
            <rFont val="Tahoma"/>
            <family val="2"/>
          </rPr>
          <t>Ingrid Malmgren:</t>
        </r>
        <r>
          <rPr>
            <sz val="9"/>
            <color indexed="81"/>
            <rFont val="Tahoma"/>
            <family val="2"/>
          </rPr>
          <t xml:space="preserve">
$45.05/year reduced incidence of fire and CO exposure as a result of installing a new heating system</t>
        </r>
      </text>
    </comment>
    <comment ref="AW25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54" authorId="0">
      <text>
        <r>
          <rPr>
            <b/>
            <sz val="9"/>
            <color indexed="81"/>
            <rFont val="Tahoma"/>
            <family val="2"/>
          </rPr>
          <t>Ingrid Malmgren:</t>
        </r>
        <r>
          <rPr>
            <sz val="9"/>
            <color indexed="81"/>
            <rFont val="Tahoma"/>
            <family val="2"/>
          </rPr>
          <t xml:space="preserve">
MA TRM p 412 Boiler 90% NO HEALTH</t>
        </r>
      </text>
    </comment>
    <comment ref="Z254" authorId="0">
      <text>
        <r>
          <rPr>
            <b/>
            <sz val="9"/>
            <color indexed="81"/>
            <rFont val="Tahoma"/>
            <family val="2"/>
          </rPr>
          <t>Ingrid Malmgren:</t>
        </r>
        <r>
          <rPr>
            <sz val="9"/>
            <color indexed="81"/>
            <rFont val="Tahoma"/>
            <family val="2"/>
          </rPr>
          <t xml:space="preserve">
HARDCODED NEED TO UPDATE MANUALLY</t>
        </r>
      </text>
    </comment>
    <comment ref="AB254" authorId="0">
      <text>
        <r>
          <rPr>
            <b/>
            <sz val="9"/>
            <color indexed="81"/>
            <rFont val="Tahoma"/>
            <family val="2"/>
          </rPr>
          <t>Ingrid Malmgren:</t>
        </r>
        <r>
          <rPr>
            <sz val="9"/>
            <color indexed="81"/>
            <rFont val="Tahoma"/>
            <family val="2"/>
          </rPr>
          <t xml:space="preserve">
MA TRM p.412 Boiler 90% 
$385.23 one time property value (USD) prorated</t>
        </r>
      </text>
    </comment>
    <comment ref="AC254" authorId="0">
      <text>
        <r>
          <rPr>
            <b/>
            <sz val="9"/>
            <color indexed="81"/>
            <rFont val="Tahoma"/>
            <family val="2"/>
          </rPr>
          <t>Ingrid Malmgren:</t>
        </r>
        <r>
          <rPr>
            <sz val="9"/>
            <color indexed="81"/>
            <rFont val="Tahoma"/>
            <family val="2"/>
          </rPr>
          <t xml:space="preserve">
MA TRM p 412 Boiler 90% NO HEALTHMA TRM p.412 Boiler 90% NO HEALTH
$385.23 one time + $48.82/yr (USD)</t>
        </r>
      </text>
    </comment>
    <comment ref="AP254" authorId="0">
      <text>
        <r>
          <rPr>
            <b/>
            <sz val="9"/>
            <color indexed="81"/>
            <rFont val="Tahoma"/>
            <family val="2"/>
          </rPr>
          <t>Ingrid Malmgren:</t>
        </r>
        <r>
          <rPr>
            <sz val="9"/>
            <color indexed="81"/>
            <rFont val="Tahoma"/>
            <family val="2"/>
          </rPr>
          <t xml:space="preserve"> MA TRM p. 412 App. C Boiler 90%</t>
        </r>
      </text>
    </comment>
    <comment ref="AS254" authorId="0">
      <text>
        <r>
          <rPr>
            <b/>
            <sz val="9"/>
            <color indexed="81"/>
            <rFont val="Tahoma"/>
            <family val="2"/>
          </rPr>
          <t>Ingrid Malmgren:</t>
        </r>
        <r>
          <rPr>
            <sz val="9"/>
            <color indexed="81"/>
            <rFont val="Tahoma"/>
            <family val="2"/>
          </rPr>
          <t xml:space="preserve">
from 2011 study minus health "heating system"</t>
        </r>
      </text>
    </comment>
    <comment ref="AT254" authorId="0">
      <text>
        <r>
          <rPr>
            <b/>
            <sz val="9"/>
            <color indexed="81"/>
            <rFont val="Tahoma"/>
            <family val="2"/>
          </rPr>
          <t>Ingrid Malmgren:</t>
        </r>
        <r>
          <rPr>
            <sz val="9"/>
            <color indexed="81"/>
            <rFont val="Tahoma"/>
            <family val="2"/>
          </rPr>
          <t xml:space="preserve">
Table E.4 Heating system health benefits per year</t>
        </r>
      </text>
    </comment>
    <comment ref="AU254" authorId="0">
      <text>
        <r>
          <rPr>
            <b/>
            <sz val="9"/>
            <color indexed="81"/>
            <rFont val="Tahoma"/>
            <family val="2"/>
          </rPr>
          <t>Ingrid Malmgren:</t>
        </r>
        <r>
          <rPr>
            <sz val="9"/>
            <color indexed="81"/>
            <rFont val="Tahoma"/>
            <family val="2"/>
          </rPr>
          <t xml:space="preserve">
$45.05/year reduced incidence of fire and CO exposure as a result of installing a new heating system</t>
        </r>
      </text>
    </comment>
    <comment ref="AW25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55" authorId="0">
      <text>
        <r>
          <rPr>
            <b/>
            <sz val="9"/>
            <color indexed="81"/>
            <rFont val="Tahoma"/>
            <family val="2"/>
          </rPr>
          <t>Ingrid Malmgren:</t>
        </r>
        <r>
          <rPr>
            <sz val="9"/>
            <color indexed="81"/>
            <rFont val="Tahoma"/>
            <family val="2"/>
          </rPr>
          <t xml:space="preserve">
MA TRM p 411 Combo Boiler NO HEALTH
$19.27one time + $2.70/yr (USD) Prorated for property value</t>
        </r>
      </text>
    </comment>
    <comment ref="Z255" authorId="0">
      <text>
        <r>
          <rPr>
            <b/>
            <sz val="9"/>
            <color indexed="81"/>
            <rFont val="Tahoma"/>
            <family val="2"/>
          </rPr>
          <t>Ingrid Malmgren:</t>
        </r>
        <r>
          <rPr>
            <sz val="9"/>
            <color indexed="81"/>
            <rFont val="Tahoma"/>
            <family val="2"/>
          </rPr>
          <t xml:space="preserve">
HARDCODED-NEED TO UPDATE MANUALLY</t>
        </r>
      </text>
    </comment>
    <comment ref="AB255" authorId="0">
      <text>
        <r>
          <rPr>
            <b/>
            <sz val="9"/>
            <color indexed="81"/>
            <rFont val="Tahoma"/>
            <family val="2"/>
          </rPr>
          <t>Ingrid Malmgren:</t>
        </r>
        <r>
          <rPr>
            <sz val="9"/>
            <color indexed="81"/>
            <rFont val="Tahoma"/>
            <family val="2"/>
          </rPr>
          <t xml:space="preserve">
MA TRM p 411 Combo Boiler NO HEALTH
$19.27one time + $2.70/yr (USD) Prorated for property value</t>
        </r>
      </text>
    </comment>
    <comment ref="AC255" authorId="0">
      <text>
        <r>
          <rPr>
            <b/>
            <sz val="9"/>
            <color indexed="81"/>
            <rFont val="Tahoma"/>
            <family val="2"/>
          </rPr>
          <t>Ingrid Malmgren:</t>
        </r>
        <r>
          <rPr>
            <sz val="9"/>
            <color indexed="81"/>
            <rFont val="Tahoma"/>
            <family val="2"/>
          </rPr>
          <t xml:space="preserve">
MA TRM p 411 Combo Boiler NO HEALTH
$19.27one time + $2.70/yr (USD) Prorated for property value</t>
        </r>
      </text>
    </comment>
    <comment ref="AS255" authorId="0">
      <text>
        <r>
          <rPr>
            <b/>
            <sz val="9"/>
            <color indexed="81"/>
            <rFont val="Tahoma"/>
            <family val="2"/>
          </rPr>
          <t>Ingrid Malmgren:</t>
        </r>
        <r>
          <rPr>
            <sz val="9"/>
            <color indexed="81"/>
            <rFont val="Tahoma"/>
            <family val="2"/>
          </rPr>
          <t xml:space="preserve">
from 2011 study minus health "heating system"</t>
        </r>
      </text>
    </comment>
    <comment ref="AT255" authorId="0">
      <text>
        <r>
          <rPr>
            <b/>
            <sz val="9"/>
            <color indexed="81"/>
            <rFont val="Tahoma"/>
            <family val="2"/>
          </rPr>
          <t>Ingrid Malmgren:</t>
        </r>
        <r>
          <rPr>
            <sz val="9"/>
            <color indexed="81"/>
            <rFont val="Tahoma"/>
            <family val="2"/>
          </rPr>
          <t xml:space="preserve">
Table E.4 Heating system health benefits per year</t>
        </r>
      </text>
    </comment>
    <comment ref="AU255" authorId="0">
      <text>
        <r>
          <rPr>
            <b/>
            <sz val="9"/>
            <color indexed="81"/>
            <rFont val="Tahoma"/>
            <family val="2"/>
          </rPr>
          <t>Ingrid Malmgren:</t>
        </r>
        <r>
          <rPr>
            <sz val="9"/>
            <color indexed="81"/>
            <rFont val="Tahoma"/>
            <family val="2"/>
          </rPr>
          <t xml:space="preserve">
$45.05/year reduced incidence of fire and CO exposure as a result of installing a new heating system</t>
        </r>
      </text>
    </comment>
    <comment ref="AW25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56" authorId="0">
      <text>
        <r>
          <rPr>
            <b/>
            <sz val="9"/>
            <color indexed="81"/>
            <rFont val="Tahoma"/>
            <family val="2"/>
          </rPr>
          <t>Ingrid Malmgren:</t>
        </r>
        <r>
          <rPr>
            <sz val="9"/>
            <color indexed="81"/>
            <rFont val="Tahoma"/>
            <family val="2"/>
          </rPr>
          <t xml:space="preserve">
MA TRM p.412 Boiler 90% NO HEALTH 
expect this to be low</t>
        </r>
      </text>
    </comment>
    <comment ref="Z256" authorId="0">
      <text>
        <r>
          <rPr>
            <b/>
            <sz val="9"/>
            <color indexed="81"/>
            <rFont val="Tahoma"/>
            <family val="2"/>
          </rPr>
          <t>Ingrid Malmgren:</t>
        </r>
        <r>
          <rPr>
            <sz val="9"/>
            <color indexed="81"/>
            <rFont val="Tahoma"/>
            <family val="2"/>
          </rPr>
          <t xml:space="preserve">
HARDCODED NEED TO UPDATE MANUALLY</t>
        </r>
      </text>
    </comment>
    <comment ref="AB256" authorId="0">
      <text>
        <r>
          <rPr>
            <b/>
            <sz val="9"/>
            <color indexed="81"/>
            <rFont val="Tahoma"/>
            <family val="2"/>
          </rPr>
          <t>Ingrid Malmgren:</t>
        </r>
        <r>
          <rPr>
            <sz val="9"/>
            <color indexed="81"/>
            <rFont val="Tahoma"/>
            <family val="2"/>
          </rPr>
          <t xml:space="preserve">
MA TRM p.412 Boiler 90% 
$385.23 one time property value (USD) prorated</t>
        </r>
      </text>
    </comment>
    <comment ref="AC256" authorId="0">
      <text>
        <r>
          <rPr>
            <b/>
            <sz val="9"/>
            <color indexed="81"/>
            <rFont val="Tahoma"/>
            <family val="2"/>
          </rPr>
          <t>Ingrid Malmgren:</t>
        </r>
        <r>
          <rPr>
            <sz val="9"/>
            <color indexed="81"/>
            <rFont val="Tahoma"/>
            <family val="2"/>
          </rPr>
          <t xml:space="preserve">
p.412 Boiler 90% NO HEALTH
$385.23 one time + $48.82/yr (USD)</t>
        </r>
      </text>
    </comment>
    <comment ref="AS256" authorId="0">
      <text>
        <r>
          <rPr>
            <b/>
            <sz val="9"/>
            <color indexed="81"/>
            <rFont val="Tahoma"/>
            <family val="2"/>
          </rPr>
          <t>Ingrid Malmgren:</t>
        </r>
        <r>
          <rPr>
            <sz val="9"/>
            <color indexed="81"/>
            <rFont val="Tahoma"/>
            <family val="2"/>
          </rPr>
          <t xml:space="preserve">
from 2011 study minus health "heating system"</t>
        </r>
      </text>
    </comment>
    <comment ref="AT256" authorId="0">
      <text>
        <r>
          <rPr>
            <b/>
            <sz val="9"/>
            <color indexed="81"/>
            <rFont val="Tahoma"/>
            <family val="2"/>
          </rPr>
          <t>Ingrid Malmgren:</t>
        </r>
        <r>
          <rPr>
            <sz val="9"/>
            <color indexed="81"/>
            <rFont val="Tahoma"/>
            <family val="2"/>
          </rPr>
          <t xml:space="preserve">
Table E.4 Heating system health benefits per year</t>
        </r>
      </text>
    </comment>
    <comment ref="AU256" authorId="0">
      <text>
        <r>
          <rPr>
            <b/>
            <sz val="9"/>
            <color indexed="81"/>
            <rFont val="Tahoma"/>
            <family val="2"/>
          </rPr>
          <t>Ingrid Malmgren:</t>
        </r>
        <r>
          <rPr>
            <sz val="9"/>
            <color indexed="81"/>
            <rFont val="Tahoma"/>
            <family val="2"/>
          </rPr>
          <t xml:space="preserve">
$45.05/year reduced incidence of fire and CO exposure as a result of installing a new heating system</t>
        </r>
      </text>
    </comment>
    <comment ref="AW25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57" authorId="0">
      <text>
        <r>
          <rPr>
            <b/>
            <sz val="9"/>
            <color indexed="81"/>
            <rFont val="Tahoma"/>
            <family val="2"/>
          </rPr>
          <t>Ingrid Malmgren:</t>
        </r>
        <r>
          <rPr>
            <sz val="9"/>
            <color indexed="81"/>
            <rFont val="Tahoma"/>
            <family val="2"/>
          </rPr>
          <t xml:space="preserve">
MA TRM p. 410 Heat pump SEER 16 to 18 NO HEALTH</t>
        </r>
      </text>
    </comment>
    <comment ref="Z257" authorId="0">
      <text>
        <r>
          <rPr>
            <b/>
            <sz val="9"/>
            <color indexed="81"/>
            <rFont val="Tahoma"/>
            <family val="2"/>
          </rPr>
          <t>Ingrid Malmgren:</t>
        </r>
        <r>
          <rPr>
            <sz val="9"/>
            <color indexed="81"/>
            <rFont val="Tahoma"/>
            <family val="2"/>
          </rPr>
          <t xml:space="preserve">
HARDCODED-NEED TO UPDATE MANUALLY</t>
        </r>
      </text>
    </comment>
    <comment ref="AB257" authorId="0">
      <text>
        <r>
          <rPr>
            <b/>
            <sz val="9"/>
            <color indexed="81"/>
            <rFont val="Tahoma"/>
            <family val="2"/>
          </rPr>
          <t>Ingrid Malmgren:</t>
        </r>
        <r>
          <rPr>
            <sz val="9"/>
            <color indexed="81"/>
            <rFont val="Tahoma"/>
            <family val="2"/>
          </rPr>
          <t xml:space="preserve">
MA TRM $46.07 USD property value (USD)
Used Heat Pump SEER 16 to 18 as proxy</t>
        </r>
      </text>
    </comment>
    <comment ref="AC257" authorId="0">
      <text>
        <r>
          <rPr>
            <b/>
            <sz val="9"/>
            <color indexed="81"/>
            <rFont val="Tahoma"/>
            <family val="2"/>
          </rPr>
          <t>Ingrid Malmgren:</t>
        </r>
        <r>
          <rPr>
            <sz val="9"/>
            <color indexed="81"/>
            <rFont val="Tahoma"/>
            <family val="2"/>
          </rPr>
          <t xml:space="preserve">
$46.07 one time plus $5.15/year NO HEALTH</t>
        </r>
      </text>
    </comment>
    <comment ref="AQ257" authorId="0">
      <text>
        <r>
          <rPr>
            <b/>
            <sz val="9"/>
            <color indexed="81"/>
            <rFont val="Tahoma"/>
            <family val="2"/>
          </rPr>
          <t>Ingrid Malmgren:</t>
        </r>
        <r>
          <rPr>
            <sz val="9"/>
            <color indexed="81"/>
            <rFont val="Tahoma"/>
            <family val="2"/>
          </rPr>
          <t xml:space="preserve">
p. 410
$46.07 one time plus annual benefits of $2.88 thermal comfort + .84 Home durability + 1.34 equipment maintenance +.09 health benefits</t>
        </r>
      </text>
    </comment>
    <comment ref="AS257" authorId="0">
      <text>
        <r>
          <rPr>
            <b/>
            <sz val="9"/>
            <color indexed="81"/>
            <rFont val="Tahoma"/>
            <family val="2"/>
          </rPr>
          <t>Ingrid Malmgren:</t>
        </r>
        <r>
          <rPr>
            <sz val="9"/>
            <color indexed="81"/>
            <rFont val="Tahoma"/>
            <family val="2"/>
          </rPr>
          <t xml:space="preserve">
from 2011 study minus health "heating system"</t>
        </r>
      </text>
    </comment>
    <comment ref="AT257" authorId="0">
      <text>
        <r>
          <rPr>
            <b/>
            <sz val="9"/>
            <color indexed="81"/>
            <rFont val="Tahoma"/>
            <family val="2"/>
          </rPr>
          <t>Ingrid Malmgren:</t>
        </r>
        <r>
          <rPr>
            <sz val="9"/>
            <color indexed="81"/>
            <rFont val="Tahoma"/>
            <family val="2"/>
          </rPr>
          <t xml:space="preserve">
Table E.4 Heating system health benefits per year</t>
        </r>
      </text>
    </comment>
    <comment ref="AU257" authorId="0">
      <text>
        <r>
          <rPr>
            <b/>
            <sz val="9"/>
            <color indexed="81"/>
            <rFont val="Tahoma"/>
            <family val="2"/>
          </rPr>
          <t>Ingrid Malmgren:</t>
        </r>
        <r>
          <rPr>
            <sz val="9"/>
            <color indexed="81"/>
            <rFont val="Tahoma"/>
            <family val="2"/>
          </rPr>
          <t xml:space="preserve">
$45.05/year reduced incidence of fire and CO exposure as a result of installing a new heating system</t>
        </r>
      </text>
    </comment>
    <comment ref="AW25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58" authorId="0">
      <text>
        <r>
          <rPr>
            <b/>
            <sz val="9"/>
            <color indexed="81"/>
            <rFont val="Tahoma"/>
            <family val="2"/>
          </rPr>
          <t>Ingrid Malmgren:</t>
        </r>
        <r>
          <rPr>
            <sz val="9"/>
            <color indexed="81"/>
            <rFont val="Tahoma"/>
            <family val="2"/>
          </rPr>
          <t xml:space="preserve">
MA TRM App. C p. 411
tankless DHW</t>
        </r>
      </text>
    </comment>
    <comment ref="Z258" authorId="0">
      <text>
        <r>
          <rPr>
            <b/>
            <sz val="9"/>
            <color indexed="81"/>
            <rFont val="Tahoma"/>
            <family val="2"/>
          </rPr>
          <t>Ingrid Malmgren:</t>
        </r>
        <r>
          <rPr>
            <sz val="9"/>
            <color indexed="81"/>
            <rFont val="Tahoma"/>
            <family val="2"/>
          </rPr>
          <t xml:space="preserve">
HARDCODED-NEED TO UPDATE MANUALLY</t>
        </r>
      </text>
    </comment>
    <comment ref="AB258" authorId="0">
      <text>
        <r>
          <rPr>
            <b/>
            <sz val="9"/>
            <color indexed="81"/>
            <rFont val="Tahoma"/>
            <family val="2"/>
          </rPr>
          <t>Ingrid Malmgren:</t>
        </r>
        <r>
          <rPr>
            <sz val="9"/>
            <color indexed="81"/>
            <rFont val="Tahoma"/>
            <family val="2"/>
          </rPr>
          <t xml:space="preserve">
MA TRM App. C p. 411
tankless DHW $56.39 USD prorated for property value</t>
        </r>
      </text>
    </comment>
    <comment ref="AC258" authorId="0">
      <text>
        <r>
          <rPr>
            <b/>
            <sz val="9"/>
            <color indexed="81"/>
            <rFont val="Tahoma"/>
            <family val="2"/>
          </rPr>
          <t>Ingrid Malmgren:</t>
        </r>
        <r>
          <rPr>
            <sz val="9"/>
            <color indexed="81"/>
            <rFont val="Tahoma"/>
            <family val="2"/>
          </rPr>
          <t xml:space="preserve">
MA TRM App. C p. 411
tankless DHW $56.39 USD prorated for property value</t>
        </r>
      </text>
    </comment>
    <comment ref="AS258" authorId="0">
      <text>
        <r>
          <rPr>
            <b/>
            <sz val="9"/>
            <color indexed="81"/>
            <rFont val="Tahoma"/>
            <family val="2"/>
          </rPr>
          <t>Ingrid Malmgren:</t>
        </r>
        <r>
          <rPr>
            <sz val="9"/>
            <color indexed="81"/>
            <rFont val="Tahoma"/>
            <family val="2"/>
          </rPr>
          <t xml:space="preserve">
see 2011 PA Study Tab
</t>
        </r>
      </text>
    </comment>
    <comment ref="AU258" authorId="0">
      <text>
        <r>
          <rPr>
            <b/>
            <sz val="9"/>
            <color indexed="81"/>
            <rFont val="Tahoma"/>
            <family val="2"/>
          </rPr>
          <t>Ingrid Malmgren:</t>
        </r>
        <r>
          <rPr>
            <sz val="9"/>
            <color indexed="81"/>
            <rFont val="Tahoma"/>
            <family val="2"/>
          </rPr>
          <t xml:space="preserve">
$45.05/year reduced incidence of fire and CO exposure as a result of installing a new heating system</t>
        </r>
      </text>
    </comment>
    <comment ref="AW25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C259" authorId="0">
      <text>
        <r>
          <rPr>
            <b/>
            <sz val="9"/>
            <color indexed="81"/>
            <rFont val="Tahoma"/>
            <family val="2"/>
          </rPr>
          <t>Ingrid Malmgren:</t>
        </r>
        <r>
          <rPr>
            <sz val="9"/>
            <color indexed="81"/>
            <rFont val="Tahoma"/>
            <family val="2"/>
          </rPr>
          <t xml:space="preserve">
MA TRM does not have this measure</t>
        </r>
      </text>
    </comment>
    <comment ref="AS259" authorId="0">
      <text>
        <r>
          <rPr>
            <b/>
            <sz val="9"/>
            <color indexed="81"/>
            <rFont val="Tahoma"/>
            <family val="2"/>
          </rPr>
          <t>Ingrid Malmgren:</t>
        </r>
        <r>
          <rPr>
            <sz val="9"/>
            <color indexed="81"/>
            <rFont val="Tahoma"/>
            <family val="2"/>
          </rPr>
          <t xml:space="preserve">
sum of heat and DHW from 2011 PA Study Tab
</t>
        </r>
      </text>
    </comment>
    <comment ref="AU259" authorId="0">
      <text>
        <r>
          <rPr>
            <b/>
            <sz val="9"/>
            <color indexed="81"/>
            <rFont val="Tahoma"/>
            <family val="2"/>
          </rPr>
          <t>Ingrid Malmgren:</t>
        </r>
        <r>
          <rPr>
            <sz val="9"/>
            <color indexed="81"/>
            <rFont val="Tahoma"/>
            <family val="2"/>
          </rPr>
          <t xml:space="preserve">
$45.05/year reduced incidence of fire and CO exposure as a result of installing a new heating system</t>
        </r>
      </text>
    </comment>
    <comment ref="AW25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C260" authorId="0">
      <text>
        <r>
          <rPr>
            <b/>
            <sz val="9"/>
            <color indexed="81"/>
            <rFont val="Tahoma"/>
            <family val="2"/>
          </rPr>
          <t>Ingrid Malmgren:</t>
        </r>
        <r>
          <rPr>
            <sz val="9"/>
            <color indexed="81"/>
            <rFont val="Tahoma"/>
            <family val="2"/>
          </rPr>
          <t xml:space="preserve">
MA TRM does not have this measure
</t>
        </r>
      </text>
    </comment>
    <comment ref="AS260" authorId="0">
      <text>
        <r>
          <rPr>
            <b/>
            <sz val="9"/>
            <color indexed="81"/>
            <rFont val="Tahoma"/>
            <family val="2"/>
          </rPr>
          <t>Ingrid Malmgren:</t>
        </r>
        <r>
          <rPr>
            <sz val="9"/>
            <color indexed="81"/>
            <rFont val="Tahoma"/>
            <family val="2"/>
          </rPr>
          <t xml:space="preserve">
from 2011 study minus health "heating system"</t>
        </r>
      </text>
    </comment>
    <comment ref="AT260" authorId="0">
      <text>
        <r>
          <rPr>
            <b/>
            <sz val="9"/>
            <color indexed="81"/>
            <rFont val="Tahoma"/>
            <family val="2"/>
          </rPr>
          <t>Ingrid Malmgren:</t>
        </r>
        <r>
          <rPr>
            <sz val="9"/>
            <color indexed="81"/>
            <rFont val="Tahoma"/>
            <family val="2"/>
          </rPr>
          <t xml:space="preserve">
Table E.4 Heating system health benefits per year</t>
        </r>
      </text>
    </comment>
    <comment ref="AU260" authorId="0">
      <text>
        <r>
          <rPr>
            <b/>
            <sz val="9"/>
            <color indexed="81"/>
            <rFont val="Tahoma"/>
            <family val="2"/>
          </rPr>
          <t>Ingrid Malmgren:</t>
        </r>
        <r>
          <rPr>
            <sz val="9"/>
            <color indexed="81"/>
            <rFont val="Tahoma"/>
            <family val="2"/>
          </rPr>
          <t xml:space="preserve">
$45.05/year reduced incidence of fire and CO exposure as a result of installing a new heating system</t>
        </r>
      </text>
    </comment>
    <comment ref="AW26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61" authorId="0">
      <text>
        <r>
          <rPr>
            <b/>
            <sz val="9"/>
            <color indexed="81"/>
            <rFont val="Tahoma"/>
            <family val="2"/>
          </rPr>
          <t>Ingrid Malmgren:</t>
        </r>
        <r>
          <rPr>
            <sz val="9"/>
            <color indexed="81"/>
            <rFont val="Tahoma"/>
            <family val="2"/>
          </rPr>
          <t xml:space="preserve">
see PA Study-Res tab
does not differentiate between single and double pane windows
does not include health impacts</t>
        </r>
      </text>
    </comment>
    <comment ref="AB261" authorId="0">
      <text>
        <r>
          <rPr>
            <b/>
            <sz val="9"/>
            <color indexed="81"/>
            <rFont val="Tahoma"/>
            <family val="2"/>
          </rPr>
          <t>Ingrid Malmgren:</t>
        </r>
        <r>
          <rPr>
            <sz val="9"/>
            <color indexed="81"/>
            <rFont val="Tahoma"/>
            <family val="2"/>
          </rPr>
          <t xml:space="preserve">
Not in MA TRM. Values from 2011 MA Program Administrators' NEI Study
See PA Study-Res tab
One time property value is prorated annual values
do not include health impacts</t>
        </r>
      </text>
    </comment>
    <comment ref="AC261" authorId="0">
      <text>
        <r>
          <rPr>
            <b/>
            <sz val="9"/>
            <color indexed="81"/>
            <rFont val="Tahoma"/>
            <family val="2"/>
          </rPr>
          <t>Ingrid Malmgren:</t>
        </r>
        <r>
          <rPr>
            <sz val="9"/>
            <color indexed="81"/>
            <rFont val="Tahoma"/>
            <family val="2"/>
          </rPr>
          <t xml:space="preserve">
Not in MA TRM. Values from 2011 MA Program Administrators' NEI Study
See PA Study-Res tab
One time property value is prorated annual values
do not include health impacts</t>
        </r>
      </text>
    </comment>
    <comment ref="AS261" authorId="0">
      <text>
        <r>
          <rPr>
            <b/>
            <sz val="9"/>
            <color indexed="81"/>
            <rFont val="Tahoma"/>
            <family val="2"/>
          </rPr>
          <t>Ingrid Malmgren:</t>
        </r>
        <r>
          <rPr>
            <sz val="9"/>
            <color indexed="81"/>
            <rFont val="Tahoma"/>
            <family val="2"/>
          </rPr>
          <t xml:space="preserve">
see PA Study-Res tab
does not differentiate between single and double pane windows
does not include health impacts</t>
        </r>
      </text>
    </comment>
    <comment ref="AT261" authorId="0">
      <text>
        <r>
          <rPr>
            <b/>
            <sz val="9"/>
            <color indexed="81"/>
            <rFont val="Tahoma"/>
            <family val="2"/>
          </rPr>
          <t>Ingrid Malmgren:</t>
        </r>
        <r>
          <rPr>
            <sz val="9"/>
            <color indexed="81"/>
            <rFont val="Tahoma"/>
            <family val="2"/>
          </rPr>
          <t xml:space="preserve">
window replacement health benefits table 4.E</t>
        </r>
      </text>
    </comment>
    <comment ref="AW26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62" authorId="0">
      <text>
        <r>
          <rPr>
            <b/>
            <sz val="9"/>
            <color indexed="81"/>
            <rFont val="Tahoma"/>
            <family val="2"/>
          </rPr>
          <t>Ingrid Malmgren:</t>
        </r>
        <r>
          <rPr>
            <sz val="9"/>
            <color indexed="81"/>
            <rFont val="Tahoma"/>
            <family val="2"/>
          </rPr>
          <t xml:space="preserve">
see PA Study-Res tab
does not differentiate between single and double pane windows
does not include health impacts</t>
        </r>
      </text>
    </comment>
    <comment ref="AB262" authorId="0">
      <text>
        <r>
          <rPr>
            <b/>
            <sz val="9"/>
            <color indexed="81"/>
            <rFont val="Tahoma"/>
            <family val="2"/>
          </rPr>
          <t>Ingrid Malmgren:</t>
        </r>
        <r>
          <rPr>
            <sz val="9"/>
            <color indexed="81"/>
            <rFont val="Tahoma"/>
            <family val="2"/>
          </rPr>
          <t xml:space="preserve">
Not in MA TRM. Values from 2011 MA Program Administrators' NEI Study
See PA Study-Res tab
One time property value is prorated annual values
do not include health impacts</t>
        </r>
      </text>
    </comment>
    <comment ref="AC262" authorId="0">
      <text>
        <r>
          <rPr>
            <b/>
            <sz val="9"/>
            <color indexed="81"/>
            <rFont val="Tahoma"/>
            <family val="2"/>
          </rPr>
          <t>Ingrid Malmgren:</t>
        </r>
        <r>
          <rPr>
            <sz val="9"/>
            <color indexed="81"/>
            <rFont val="Tahoma"/>
            <family val="2"/>
          </rPr>
          <t xml:space="preserve">
Not in MA TRM. Values from 2011 MA Program Administrators' NEI Study
See PA Study-Res tab
One time property value is prorated annual values
do not include health impacts</t>
        </r>
      </text>
    </comment>
    <comment ref="AT262" authorId="0">
      <text>
        <r>
          <rPr>
            <b/>
            <sz val="9"/>
            <color indexed="81"/>
            <rFont val="Tahoma"/>
            <family val="2"/>
          </rPr>
          <t>Ingrid Malmgren:</t>
        </r>
        <r>
          <rPr>
            <sz val="9"/>
            <color indexed="81"/>
            <rFont val="Tahoma"/>
            <family val="2"/>
          </rPr>
          <t xml:space="preserve">
window replacement health benefits table 4.E</t>
        </r>
      </text>
    </comment>
    <comment ref="AW26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C263" authorId="0">
      <text>
        <r>
          <rPr>
            <b/>
            <sz val="9"/>
            <color indexed="81"/>
            <rFont val="Tahoma"/>
            <family val="2"/>
          </rPr>
          <t>Ingrid Malmgren:</t>
        </r>
        <r>
          <rPr>
            <sz val="9"/>
            <color indexed="81"/>
            <rFont val="Tahoma"/>
            <family val="2"/>
          </rPr>
          <t xml:space="preserve">
Not in MA TRM</t>
        </r>
      </text>
    </comment>
    <comment ref="AW26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64" authorId="0">
      <text>
        <r>
          <rPr>
            <b/>
            <sz val="9"/>
            <color indexed="81"/>
            <rFont val="Tahoma"/>
            <family val="2"/>
          </rPr>
          <t>Ingrid Malmgren:</t>
        </r>
        <r>
          <rPr>
            <sz val="9"/>
            <color indexed="81"/>
            <rFont val="Tahoma"/>
            <family val="2"/>
          </rPr>
          <t xml:space="preserve">
MA TRM p. 162
</t>
        </r>
      </text>
    </comment>
    <comment ref="AC264" authorId="0">
      <text>
        <r>
          <rPr>
            <b/>
            <sz val="9"/>
            <color indexed="81"/>
            <rFont val="Tahoma"/>
            <family val="2"/>
          </rPr>
          <t>Ingrid Malmgren:</t>
        </r>
        <r>
          <rPr>
            <sz val="9"/>
            <color indexed="81"/>
            <rFont val="Tahoma"/>
            <family val="2"/>
          </rPr>
          <t xml:space="preserve">
Not in MA TRM
</t>
        </r>
      </text>
    </comment>
    <comment ref="AQ264" authorId="0">
      <text>
        <r>
          <rPr>
            <b/>
            <sz val="9"/>
            <color indexed="81"/>
            <rFont val="Tahoma"/>
            <family val="2"/>
          </rPr>
          <t>Ingrid Malmgren:</t>
        </r>
        <r>
          <rPr>
            <sz val="9"/>
            <color indexed="81"/>
            <rFont val="Tahoma"/>
            <family val="2"/>
          </rPr>
          <t xml:space="preserve">
p.165
</t>
        </r>
      </text>
    </comment>
    <comment ref="AW264"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65" authorId="0">
      <text>
        <r>
          <rPr>
            <b/>
            <sz val="9"/>
            <color indexed="81"/>
            <rFont val="Tahoma"/>
            <family val="2"/>
          </rPr>
          <t>Ingrid Malmgren:</t>
        </r>
        <r>
          <rPr>
            <sz val="9"/>
            <color indexed="81"/>
            <rFont val="Tahoma"/>
            <family val="2"/>
          </rPr>
          <t xml:space="preserve">
from MA TRM one time property value -additional benefits for multi-family and low-income (not included here) p.410
 </t>
        </r>
      </text>
    </comment>
    <comment ref="AB265" authorId="0">
      <text>
        <r>
          <rPr>
            <b/>
            <sz val="9"/>
            <color indexed="81"/>
            <rFont val="Tahoma"/>
            <family val="2"/>
          </rPr>
          <t>Ingrid Malmgren:</t>
        </r>
        <r>
          <rPr>
            <sz val="9"/>
            <color indexed="81"/>
            <rFont val="Tahoma"/>
            <family val="2"/>
          </rPr>
          <t xml:space="preserve">
from MA TRM one time property value -additional benefits for multi-family and low-income (not included here) p.410</t>
        </r>
      </text>
    </comment>
    <comment ref="AP265" authorId="0">
      <text>
        <r>
          <rPr>
            <b/>
            <sz val="9"/>
            <color indexed="81"/>
            <rFont val="Tahoma"/>
            <family val="2"/>
          </rPr>
          <t>Ingrid Malmgren:</t>
        </r>
        <r>
          <rPr>
            <sz val="9"/>
            <color indexed="81"/>
            <rFont val="Tahoma"/>
            <family val="2"/>
          </rPr>
          <t xml:space="preserve">
Appendix B-1 from RI TRM 2015 National Grid</t>
        </r>
      </text>
    </comment>
    <comment ref="AQ265" authorId="0">
      <text>
        <r>
          <rPr>
            <b/>
            <sz val="9"/>
            <color indexed="81"/>
            <rFont val="Tahoma"/>
            <family val="2"/>
          </rPr>
          <t>Ingrid Malmgren:</t>
        </r>
        <r>
          <rPr>
            <sz val="9"/>
            <color indexed="81"/>
            <rFont val="Tahoma"/>
            <family val="2"/>
          </rPr>
          <t xml:space="preserve">
p. 410
</t>
        </r>
      </text>
    </comment>
    <comment ref="AU265" authorId="0">
      <text>
        <r>
          <rPr>
            <b/>
            <sz val="9"/>
            <color indexed="81"/>
            <rFont val="Tahoma"/>
            <family val="2"/>
          </rPr>
          <t>Ingrid Malmgren:</t>
        </r>
        <r>
          <rPr>
            <sz val="9"/>
            <color indexed="81"/>
            <rFont val="Tahoma"/>
            <family val="2"/>
          </rPr>
          <t xml:space="preserve">
(per measure-one time) for recycling
B-1</t>
        </r>
      </text>
    </comment>
    <comment ref="AW26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66" authorId="0">
      <text>
        <r>
          <rPr>
            <b/>
            <sz val="9"/>
            <color indexed="81"/>
            <rFont val="Tahoma"/>
            <family val="2"/>
          </rPr>
          <t>Ingrid Malmgren:</t>
        </r>
        <r>
          <rPr>
            <sz val="9"/>
            <color indexed="81"/>
            <rFont val="Tahoma"/>
            <family val="2"/>
          </rPr>
          <t xml:space="preserve">
MA TRM p. 162
</t>
        </r>
      </text>
    </comment>
    <comment ref="AC266" authorId="0">
      <text>
        <r>
          <rPr>
            <b/>
            <sz val="9"/>
            <color indexed="81"/>
            <rFont val="Tahoma"/>
            <family val="2"/>
          </rPr>
          <t>Ingrid Malmgren:</t>
        </r>
        <r>
          <rPr>
            <sz val="9"/>
            <color indexed="81"/>
            <rFont val="Tahoma"/>
            <family val="2"/>
          </rPr>
          <t xml:space="preserve">
MA TRM p. 162
</t>
        </r>
      </text>
    </comment>
    <comment ref="AQ266" authorId="0">
      <text>
        <r>
          <rPr>
            <b/>
            <sz val="9"/>
            <color indexed="81"/>
            <rFont val="Tahoma"/>
            <family val="2"/>
          </rPr>
          <t>Ingrid Malmgren:</t>
        </r>
        <r>
          <rPr>
            <sz val="9"/>
            <color indexed="81"/>
            <rFont val="Tahoma"/>
            <family val="2"/>
          </rPr>
          <t xml:space="preserve">
p.165
</t>
        </r>
      </text>
    </comment>
    <comment ref="AW26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67" authorId="0">
      <text>
        <r>
          <rPr>
            <b/>
            <sz val="9"/>
            <color indexed="81"/>
            <rFont val="Tahoma"/>
            <family val="2"/>
          </rPr>
          <t>Ingrid Malmgren:</t>
        </r>
        <r>
          <rPr>
            <sz val="9"/>
            <color indexed="81"/>
            <rFont val="Tahoma"/>
            <family val="2"/>
          </rPr>
          <t xml:space="preserve">
includes air sealing, insulation and duct sealing. One time 516.39 for property value and annual NO HEALTH</t>
        </r>
      </text>
    </comment>
    <comment ref="Z267" authorId="0">
      <text>
        <r>
          <rPr>
            <sz val="9"/>
            <color indexed="81"/>
            <rFont val="Tahoma"/>
            <family val="2"/>
          </rPr>
          <t>Ingrid Malmgren:
HARDCODED need to update manually.</t>
        </r>
      </text>
    </comment>
    <comment ref="AB267" authorId="0">
      <text>
        <r>
          <rPr>
            <b/>
            <sz val="9"/>
            <color indexed="81"/>
            <rFont val="Tahoma"/>
            <family val="2"/>
          </rPr>
          <t>Ingrid Malmgren:</t>
        </r>
        <r>
          <rPr>
            <sz val="9"/>
            <color indexed="81"/>
            <rFont val="Tahoma"/>
            <family val="2"/>
          </rPr>
          <t xml:space="preserve">
includes air sealing, insulation and duct sealing. One time 516.39 for property value (prorated) and annual NO HEALTH</t>
        </r>
      </text>
    </comment>
    <comment ref="AQ267" authorId="0">
      <text>
        <r>
          <rPr>
            <b/>
            <sz val="9"/>
            <color indexed="81"/>
            <rFont val="Tahoma"/>
            <family val="2"/>
          </rPr>
          <t>Ingrid Malmgren:</t>
        </r>
        <r>
          <rPr>
            <sz val="9"/>
            <color indexed="81"/>
            <rFont val="Tahoma"/>
            <family val="2"/>
          </rPr>
          <t xml:space="preserve">
need discount rate for PV
page 409 of MA TRM
for air seal, insulation and duct seal-one time benefit of  $516.39 plus annual benefit of $72.27 per year for life of measure</t>
        </r>
      </text>
    </comment>
    <comment ref="AS267" authorId="0">
      <text>
        <r>
          <rPr>
            <b/>
            <sz val="9"/>
            <color indexed="81"/>
            <rFont val="Tahoma"/>
            <family val="2"/>
          </rPr>
          <t>Ingrid Malmgren:</t>
        </r>
        <r>
          <rPr>
            <sz val="9"/>
            <color indexed="81"/>
            <rFont val="Tahoma"/>
            <family val="2"/>
          </rPr>
          <t xml:space="preserve">
this includes annual participant benefits and utility benefits from 2011 PA Study tab
NO HEALTH IMPACTS INCLUDED</t>
        </r>
      </text>
    </comment>
    <comment ref="AT267" authorId="0">
      <text>
        <r>
          <rPr>
            <b/>
            <sz val="9"/>
            <color indexed="81"/>
            <rFont val="Tahoma"/>
            <family val="2"/>
          </rPr>
          <t>Ingrid Malmgren:</t>
        </r>
        <r>
          <rPr>
            <sz val="9"/>
            <color indexed="81"/>
            <rFont val="Tahoma"/>
            <family val="2"/>
          </rPr>
          <t xml:space="preserve">
Annual value for health benefits related to air sealing, duct sealing and insulation
table E.4</t>
        </r>
      </text>
    </comment>
    <comment ref="AW26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X267" authorId="0">
      <text>
        <r>
          <rPr>
            <b/>
            <sz val="9"/>
            <color indexed="81"/>
            <rFont val="Tahoma"/>
            <family val="2"/>
          </rPr>
          <t>Ingrid Malmgren: from Joe Loper @ ITRON</t>
        </r>
        <r>
          <rPr>
            <sz val="9"/>
            <color indexed="81"/>
            <rFont val="Tahoma"/>
            <family val="2"/>
          </rPr>
          <t xml:space="preserve">
A benefit of $36 per year should be applied for each participant household that installs insulation or air sealing measures as part of the HPwES.  For both programs, the annual benefit should be applied for the weighted average life of the air sealing and insulation measures, or 15 years if the weighted average is not available.  The values provided are in 2017 dollars and should be escalated by 2.1% annually to reflect inflation.      </t>
        </r>
      </text>
    </comment>
    <comment ref="X275" authorId="0">
      <text>
        <r>
          <rPr>
            <b/>
            <sz val="9"/>
            <color indexed="81"/>
            <rFont val="Tahoma"/>
            <family val="2"/>
          </rPr>
          <t>Ingrid Malmgren:</t>
        </r>
        <r>
          <rPr>
            <sz val="9"/>
            <color indexed="81"/>
            <rFont val="Tahoma"/>
            <family val="2"/>
          </rPr>
          <t xml:space="preserve">
from Rhode Island TRM B-5 $77/yr for thermal comfort $40/yr for noise reduction $72/yr for inc prop value-res NC no specifics for level of efficiency
 Property value has been prorated
</t>
        </r>
      </text>
    </comment>
    <comment ref="AC275" authorId="0">
      <text>
        <r>
          <rPr>
            <b/>
            <sz val="9"/>
            <color indexed="81"/>
            <rFont val="Tahoma"/>
            <family val="2"/>
          </rPr>
          <t>Ingrid Malmgren:</t>
        </r>
        <r>
          <rPr>
            <sz val="9"/>
            <color indexed="81"/>
            <rFont val="Tahoma"/>
            <family val="2"/>
          </rPr>
          <t xml:space="preserve">
from MA TRMp.408 $77/yr for thermal comfort $40/yr for noise reduction $72/yr for inc 
property value has been prorated-res NC no specifics for level of efficiency</t>
        </r>
      </text>
    </comment>
    <comment ref="AG275" authorId="0">
      <text>
        <r>
          <rPr>
            <b/>
            <sz val="9"/>
            <color indexed="81"/>
            <rFont val="Tahoma"/>
            <family val="2"/>
          </rPr>
          <t>Ingrid Malmgren:</t>
        </r>
        <r>
          <rPr>
            <sz val="9"/>
            <color indexed="81"/>
            <rFont val="Tahoma"/>
            <family val="2"/>
          </rPr>
          <t xml:space="preserve">
property value is counted as an annual benefit in the Rhode Island TRM</t>
        </r>
      </text>
    </comment>
    <comment ref="AQ275" authorId="0">
      <text>
        <r>
          <rPr>
            <b/>
            <sz val="9"/>
            <color indexed="81"/>
            <rFont val="Tahoma"/>
            <family val="2"/>
          </rPr>
          <t>Ingrid Malmgren:</t>
        </r>
        <r>
          <rPr>
            <sz val="9"/>
            <color indexed="81"/>
            <rFont val="Tahoma"/>
            <family val="2"/>
          </rPr>
          <t xml:space="preserve">
from B-5 $77/yr for thermal comfort $40/yr for noise reduction $72/yr for inc prop value-res NC no specifics for level of efficiency
 </t>
        </r>
      </text>
    </comment>
    <comment ref="AU275" authorId="0">
      <text>
        <r>
          <rPr>
            <b/>
            <sz val="9"/>
            <color indexed="81"/>
            <rFont val="Tahoma"/>
            <family val="2"/>
          </rPr>
          <t>Ingrid Malmgren:</t>
        </r>
        <r>
          <rPr>
            <sz val="9"/>
            <color indexed="81"/>
            <rFont val="Tahoma"/>
            <family val="2"/>
          </rPr>
          <t xml:space="preserve">
from B-5 $77/yr for thermal comfort $40/yr for noise reduction $72/yr for inc prop value-res NC no specifics for level of efficiency
 </t>
        </r>
      </text>
    </comment>
    <comment ref="AW275"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76" authorId="0">
      <text>
        <r>
          <rPr>
            <b/>
            <sz val="9"/>
            <color indexed="81"/>
            <rFont val="Tahoma"/>
            <family val="2"/>
          </rPr>
          <t>Ingrid Malmgren:</t>
        </r>
        <r>
          <rPr>
            <sz val="9"/>
            <color indexed="81"/>
            <rFont val="Tahoma"/>
            <family val="2"/>
          </rPr>
          <t xml:space="preserve">
from Rhode Island TRM B-5 $77/yr for thermal comfort $40/yr for noise reduction $72/yr for inc prop value-res NC no specifics for level of efficiency
 Property value has been prorated
</t>
        </r>
      </text>
    </comment>
    <comment ref="AC276" authorId="0">
      <text>
        <r>
          <rPr>
            <b/>
            <sz val="9"/>
            <color indexed="81"/>
            <rFont val="Tahoma"/>
            <family val="2"/>
          </rPr>
          <t>Ingrid Malmgren:</t>
        </r>
        <r>
          <rPr>
            <sz val="9"/>
            <color indexed="81"/>
            <rFont val="Tahoma"/>
            <family val="2"/>
          </rPr>
          <t xml:space="preserve">
from Rhode Island TRM B-5 $77/yr for thermal comfort $40/yr for noise reduction $72/yr for inc prop value-res NC no specifics for level of efficiency</t>
        </r>
      </text>
    </comment>
    <comment ref="AG276" authorId="0">
      <text>
        <r>
          <rPr>
            <b/>
            <sz val="9"/>
            <color indexed="81"/>
            <rFont val="Tahoma"/>
            <family val="2"/>
          </rPr>
          <t>Ingrid Malmgren:</t>
        </r>
        <r>
          <rPr>
            <sz val="9"/>
            <color indexed="81"/>
            <rFont val="Tahoma"/>
            <family val="2"/>
          </rPr>
          <t xml:space="preserve">
property value is counted as an annual benefit in the Rhode Island TRM</t>
        </r>
      </text>
    </comment>
    <comment ref="AQ276" authorId="0">
      <text>
        <r>
          <rPr>
            <b/>
            <sz val="9"/>
            <color indexed="81"/>
            <rFont val="Tahoma"/>
            <family val="2"/>
          </rPr>
          <t>Ingrid Malmgren:</t>
        </r>
        <r>
          <rPr>
            <sz val="9"/>
            <color indexed="81"/>
            <rFont val="Tahoma"/>
            <family val="2"/>
          </rPr>
          <t xml:space="preserve">
from B-5 $77/yr for thermal comfort $40/yr for noise reduction $72/yr for inc prop value-res NC no specifics for level of efficiency
 </t>
        </r>
      </text>
    </comment>
    <comment ref="AU276" authorId="0">
      <text>
        <r>
          <rPr>
            <b/>
            <sz val="9"/>
            <color indexed="81"/>
            <rFont val="Tahoma"/>
            <family val="2"/>
          </rPr>
          <t>Ingrid Malmgren:</t>
        </r>
        <r>
          <rPr>
            <sz val="9"/>
            <color indexed="81"/>
            <rFont val="Tahoma"/>
            <family val="2"/>
          </rPr>
          <t xml:space="preserve">
from B-5 $77/yr for thermal comfort $40/yr for noise reduction $72/yr for inc prop value-res NC no specifics for level of efficiency
 </t>
        </r>
      </text>
    </comment>
    <comment ref="AW276"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77" authorId="0">
      <text>
        <r>
          <rPr>
            <b/>
            <sz val="9"/>
            <color indexed="81"/>
            <rFont val="Tahoma"/>
            <family val="2"/>
          </rPr>
          <t>Ingrid Malmgren:</t>
        </r>
        <r>
          <rPr>
            <sz val="9"/>
            <color indexed="81"/>
            <rFont val="Tahoma"/>
            <family val="2"/>
          </rPr>
          <t xml:space="preserve">
from Rhode Island TRM B-5 $77/yr for thermal comfort $40/yr for noise reduction $72/yr for inc prop value-res NC no specifics for level of efficiency
 Property value has been prorated
</t>
        </r>
      </text>
    </comment>
    <comment ref="AC277" authorId="0">
      <text>
        <r>
          <rPr>
            <b/>
            <sz val="9"/>
            <color indexed="81"/>
            <rFont val="Tahoma"/>
            <family val="2"/>
          </rPr>
          <t>Ingrid Malmgren:</t>
        </r>
        <r>
          <rPr>
            <sz val="9"/>
            <color indexed="81"/>
            <rFont val="Tahoma"/>
            <family val="2"/>
          </rPr>
          <t xml:space="preserve">
from Rhode Island TRM B-5 $77/yr for thermal comfort $40/yr for noise reduction $72/yr for inc prop value-res NC no specifics for level of efficiency</t>
        </r>
      </text>
    </comment>
    <comment ref="AG277" authorId="0">
      <text>
        <r>
          <rPr>
            <b/>
            <sz val="9"/>
            <color indexed="81"/>
            <rFont val="Tahoma"/>
            <family val="2"/>
          </rPr>
          <t>Ingrid Malmgren:</t>
        </r>
        <r>
          <rPr>
            <sz val="9"/>
            <color indexed="81"/>
            <rFont val="Tahoma"/>
            <family val="2"/>
          </rPr>
          <t xml:space="preserve">
property value is counted as an annual benefit in the Rhode Island TRM</t>
        </r>
      </text>
    </comment>
    <comment ref="AQ277" authorId="0">
      <text>
        <r>
          <rPr>
            <b/>
            <sz val="9"/>
            <color indexed="81"/>
            <rFont val="Tahoma"/>
            <family val="2"/>
          </rPr>
          <t>Ingrid Malmgren:</t>
        </r>
        <r>
          <rPr>
            <sz val="9"/>
            <color indexed="81"/>
            <rFont val="Tahoma"/>
            <family val="2"/>
          </rPr>
          <t xml:space="preserve">
from B-5 $77/yr for thermal comfort $40/yr for noise reduction $72/yr for inc prop value-res NC no specifics for level of efficiency
 </t>
        </r>
      </text>
    </comment>
    <comment ref="AU277" authorId="0">
      <text>
        <r>
          <rPr>
            <b/>
            <sz val="9"/>
            <color indexed="81"/>
            <rFont val="Tahoma"/>
            <family val="2"/>
          </rPr>
          <t>Ingrid Malmgren:</t>
        </r>
        <r>
          <rPr>
            <sz val="9"/>
            <color indexed="81"/>
            <rFont val="Tahoma"/>
            <family val="2"/>
          </rPr>
          <t xml:space="preserve">
from B-5 $77/yr for thermal comfort $40/yr for noise reduction $72/yr for inc prop value-res NC no specifics for level of efficiency
 </t>
        </r>
      </text>
    </comment>
    <comment ref="AW277"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78" authorId="0">
      <text>
        <r>
          <rPr>
            <b/>
            <sz val="9"/>
            <color indexed="81"/>
            <rFont val="Tahoma"/>
            <family val="2"/>
          </rPr>
          <t>Ingrid Malmgren:</t>
        </r>
        <r>
          <rPr>
            <sz val="9"/>
            <color indexed="81"/>
            <rFont val="Tahoma"/>
            <family val="2"/>
          </rPr>
          <t xml:space="preserve">
from Rhode Island TRM B-5 $77/yr for thermal comfort $40/yr for noise reduction $72/yr for inc prop value-res NC no specifics for level of efficiency
 Property value has been prorated
</t>
        </r>
      </text>
    </comment>
    <comment ref="AC278" authorId="0">
      <text>
        <r>
          <rPr>
            <b/>
            <sz val="9"/>
            <color indexed="81"/>
            <rFont val="Tahoma"/>
            <family val="2"/>
          </rPr>
          <t>Ingrid Malmgren:</t>
        </r>
        <r>
          <rPr>
            <sz val="9"/>
            <color indexed="81"/>
            <rFont val="Tahoma"/>
            <family val="2"/>
          </rPr>
          <t xml:space="preserve">
from Rhode Island TRM B-5 $77/yr for thermal comfort $40/yr for noise reduction $72/yr for inc prop value-res NC no specifics for level of efficiency</t>
        </r>
      </text>
    </comment>
    <comment ref="AG278" authorId="0">
      <text>
        <r>
          <rPr>
            <b/>
            <sz val="9"/>
            <color indexed="81"/>
            <rFont val="Tahoma"/>
            <family val="2"/>
          </rPr>
          <t>Ingrid Malmgren:</t>
        </r>
        <r>
          <rPr>
            <sz val="9"/>
            <color indexed="81"/>
            <rFont val="Tahoma"/>
            <family val="2"/>
          </rPr>
          <t xml:space="preserve">
property value is counted as an annual benefit in the Rhode Island TRM</t>
        </r>
      </text>
    </comment>
    <comment ref="AQ278" authorId="0">
      <text>
        <r>
          <rPr>
            <b/>
            <sz val="9"/>
            <color indexed="81"/>
            <rFont val="Tahoma"/>
            <family val="2"/>
          </rPr>
          <t>Ingrid Malmgren:</t>
        </r>
        <r>
          <rPr>
            <sz val="9"/>
            <color indexed="81"/>
            <rFont val="Tahoma"/>
            <family val="2"/>
          </rPr>
          <t xml:space="preserve">
from B-5 $77/yr for thermal comfort $40/yr for noise reduction $72/yr for inc prop value-res NC no specifics for level of efficiency
 </t>
        </r>
      </text>
    </comment>
    <comment ref="AU278" authorId="0">
      <text>
        <r>
          <rPr>
            <b/>
            <sz val="9"/>
            <color indexed="81"/>
            <rFont val="Tahoma"/>
            <family val="2"/>
          </rPr>
          <t>Ingrid Malmgren:</t>
        </r>
        <r>
          <rPr>
            <sz val="9"/>
            <color indexed="81"/>
            <rFont val="Tahoma"/>
            <family val="2"/>
          </rPr>
          <t xml:space="preserve">
from B-5 $77/yr for thermal comfort $40/yr for noise reduction $72/yr for inc prop value-res NC no specifics for level of efficiency
 </t>
        </r>
      </text>
    </comment>
    <comment ref="AW278"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79" authorId="0">
      <text>
        <r>
          <rPr>
            <b/>
            <sz val="9"/>
            <color indexed="81"/>
            <rFont val="Tahoma"/>
            <family val="2"/>
          </rPr>
          <t>Ingrid Malmgren:</t>
        </r>
        <r>
          <rPr>
            <sz val="9"/>
            <color indexed="81"/>
            <rFont val="Tahoma"/>
            <family val="2"/>
          </rPr>
          <t xml:space="preserve">
from Rhode Island TRM B-5 $77/yr for thermal comfort $40/yr for noise reduction $72/yr for inc prop value-res NC no specifics for level of efficiency
 Property value has been prorated
</t>
        </r>
      </text>
    </comment>
    <comment ref="AC279" authorId="0">
      <text>
        <r>
          <rPr>
            <b/>
            <sz val="9"/>
            <color indexed="81"/>
            <rFont val="Tahoma"/>
            <family val="2"/>
          </rPr>
          <t>Ingrid Malmgren:</t>
        </r>
        <r>
          <rPr>
            <sz val="9"/>
            <color indexed="81"/>
            <rFont val="Tahoma"/>
            <family val="2"/>
          </rPr>
          <t xml:space="preserve">
from Rhode Island TRM B-5 $77/yr for thermal comfort $40/yr for noise reduction $72/yr for inc prop value-res NC no specifics for level of efficiency</t>
        </r>
      </text>
    </comment>
    <comment ref="AG279" authorId="0">
      <text>
        <r>
          <rPr>
            <b/>
            <sz val="9"/>
            <color indexed="81"/>
            <rFont val="Tahoma"/>
            <family val="2"/>
          </rPr>
          <t>Ingrid Malmgren:</t>
        </r>
        <r>
          <rPr>
            <sz val="9"/>
            <color indexed="81"/>
            <rFont val="Tahoma"/>
            <family val="2"/>
          </rPr>
          <t xml:space="preserve">
property value is counted as an annual benefit in the Rhode Island TRM</t>
        </r>
      </text>
    </comment>
    <comment ref="AQ279" authorId="0">
      <text>
        <r>
          <rPr>
            <b/>
            <sz val="9"/>
            <color indexed="81"/>
            <rFont val="Tahoma"/>
            <family val="2"/>
          </rPr>
          <t>Ingrid Malmgren:</t>
        </r>
        <r>
          <rPr>
            <sz val="9"/>
            <color indexed="81"/>
            <rFont val="Tahoma"/>
            <family val="2"/>
          </rPr>
          <t xml:space="preserve">
from B-5 $77/yr for thermal comfort $40/yr for noise reduction $72/yr for inc prop value-res NC no specifics for level of efficiency
 </t>
        </r>
      </text>
    </comment>
    <comment ref="AU279" authorId="0">
      <text>
        <r>
          <rPr>
            <b/>
            <sz val="9"/>
            <color indexed="81"/>
            <rFont val="Tahoma"/>
            <family val="2"/>
          </rPr>
          <t>Ingrid Malmgren:</t>
        </r>
        <r>
          <rPr>
            <sz val="9"/>
            <color indexed="81"/>
            <rFont val="Tahoma"/>
            <family val="2"/>
          </rPr>
          <t xml:space="preserve">
from B-5 $77/yr for thermal comfort $40/yr for noise reduction $72/yr for inc prop value-res NC no specifics for level of efficiency
 </t>
        </r>
      </text>
    </comment>
    <comment ref="AW279"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X280" authorId="0">
      <text>
        <r>
          <rPr>
            <b/>
            <sz val="9"/>
            <color indexed="81"/>
            <rFont val="Tahoma"/>
            <family val="2"/>
          </rPr>
          <t>Ingrid Malmgren:</t>
        </r>
        <r>
          <rPr>
            <sz val="9"/>
            <color indexed="81"/>
            <rFont val="Tahoma"/>
            <family val="2"/>
          </rPr>
          <t xml:space="preserve">
from Rhode Island TRM B-5 $77/yr for thermal comfort $40/yr for noise reduction $72/yr for inc prop value-res NC no specifics for level of efficiency
 Property value has been prorated
</t>
        </r>
      </text>
    </comment>
    <comment ref="AC280" authorId="0">
      <text>
        <r>
          <rPr>
            <b/>
            <sz val="9"/>
            <color indexed="81"/>
            <rFont val="Tahoma"/>
            <family val="2"/>
          </rPr>
          <t>Ingrid Malmgren:</t>
        </r>
        <r>
          <rPr>
            <sz val="9"/>
            <color indexed="81"/>
            <rFont val="Tahoma"/>
            <family val="2"/>
          </rPr>
          <t xml:space="preserve">
from Rhode Island TRM B-5 $77/yr for thermal comfort $40/yr for noise reduction $72/yr for inc prop value-res NC no specifics for level of efficiency</t>
        </r>
      </text>
    </comment>
    <comment ref="AG280" authorId="0">
      <text>
        <r>
          <rPr>
            <b/>
            <sz val="9"/>
            <color indexed="81"/>
            <rFont val="Tahoma"/>
            <family val="2"/>
          </rPr>
          <t>Ingrid Malmgren:</t>
        </r>
        <r>
          <rPr>
            <sz val="9"/>
            <color indexed="81"/>
            <rFont val="Tahoma"/>
            <family val="2"/>
          </rPr>
          <t xml:space="preserve">
property value is counted as an annual benefit in the Rhode Island TRM</t>
        </r>
      </text>
    </comment>
    <comment ref="AQ280" authorId="0">
      <text>
        <r>
          <rPr>
            <b/>
            <sz val="9"/>
            <color indexed="81"/>
            <rFont val="Tahoma"/>
            <family val="2"/>
          </rPr>
          <t>Ingrid Malmgren:</t>
        </r>
        <r>
          <rPr>
            <sz val="9"/>
            <color indexed="81"/>
            <rFont val="Tahoma"/>
            <family val="2"/>
          </rPr>
          <t xml:space="preserve">
from B-5 $77/yr for thermal comfort $40/yr for noise reduction $72/yr for inc prop value-res NC no specifics for level of efficiency
 </t>
        </r>
      </text>
    </comment>
    <comment ref="AU280" authorId="0">
      <text>
        <r>
          <rPr>
            <b/>
            <sz val="9"/>
            <color indexed="81"/>
            <rFont val="Tahoma"/>
            <family val="2"/>
          </rPr>
          <t>Ingrid Malmgren:</t>
        </r>
        <r>
          <rPr>
            <sz val="9"/>
            <color indexed="81"/>
            <rFont val="Tahoma"/>
            <family val="2"/>
          </rPr>
          <t xml:space="preserve">
from B-5 $77/yr for thermal comfort $40/yr for noise reduction $72/yr for inc prop value-res NC no specifics for level of efficiency
 </t>
        </r>
      </text>
    </comment>
    <comment ref="AW280"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W281"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W282"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 ref="AW283" authorId="0">
      <text>
        <r>
          <rPr>
            <b/>
            <sz val="9"/>
            <color indexed="81"/>
            <rFont val="Tahoma"/>
            <family val="2"/>
          </rPr>
          <t>Ingrid Malmgren:</t>
        </r>
        <r>
          <rPr>
            <sz val="9"/>
            <color indexed="81"/>
            <rFont val="Tahoma"/>
            <family val="2"/>
          </rPr>
          <t xml:space="preserve">
From Joe Loper at ITRON: A benefit of 0.22 cents per net lifetime kWh saved should be added to the present value benefits of all programs to reflect reductions in damages associated with carbon dioxide, sulfur dioxide and nitrogen oxides.  This value provided is in 2017 dollars and should be escalated by 2.1% annually to reflect inflation.  The stream of air emissions benefits has already been discounted and should not be further discounted using the societal discount rate.</t>
        </r>
      </text>
    </comment>
  </commentList>
</comments>
</file>

<file path=xl/comments2.xml><?xml version="1.0" encoding="utf-8"?>
<comments xmlns="http://schemas.openxmlformats.org/spreadsheetml/2006/main">
  <authors>
    <author>Ingrid Malmgren</author>
  </authors>
  <commentList>
    <comment ref="B24" authorId="0">
      <text>
        <r>
          <rPr>
            <b/>
            <sz val="9"/>
            <color indexed="81"/>
            <rFont val="Tahoma"/>
            <family val="2"/>
          </rPr>
          <t>Ingrid Malmgren:</t>
        </r>
        <r>
          <rPr>
            <sz val="9"/>
            <color indexed="81"/>
            <rFont val="Tahoma"/>
            <family val="2"/>
          </rPr>
          <t xml:space="preserve">
Those who
believed it was more comfortable were asked to place a value per year on this increased comfort, NMR TetraTech 2011 9-11</t>
        </r>
      </text>
    </comment>
  </commentList>
</comments>
</file>

<file path=xl/comments3.xml><?xml version="1.0" encoding="utf-8"?>
<comments xmlns="http://schemas.openxmlformats.org/spreadsheetml/2006/main">
  <authors>
    <author>Ingrid Malmgren</author>
  </authors>
  <commentList>
    <comment ref="C5" authorId="0">
      <text>
        <r>
          <rPr>
            <b/>
            <sz val="9"/>
            <color indexed="81"/>
            <rFont val="Tahoma"/>
            <family val="2"/>
          </rPr>
          <t>Ingrid Malmgren:</t>
        </r>
        <r>
          <rPr>
            <sz val="9"/>
            <color indexed="81"/>
            <rFont val="Tahoma"/>
            <family val="2"/>
          </rPr>
          <t xml:space="preserve">
adjusted for inflation at 1.7%
http://www.usinflationcalculator.com/
</t>
        </r>
      </text>
    </comment>
    <comment ref="C8" authorId="0">
      <text>
        <r>
          <rPr>
            <b/>
            <sz val="9"/>
            <color indexed="81"/>
            <rFont val="Tahoma"/>
            <family val="2"/>
          </rPr>
          <t>Ingrid Malmgren:</t>
        </r>
        <r>
          <rPr>
            <sz val="9"/>
            <color indexed="81"/>
            <rFont val="Tahoma"/>
            <family val="2"/>
          </rPr>
          <t xml:space="preserve">
adjusted for inflation at 1.7%
http://www.usinflationcalculator.com/
</t>
        </r>
      </text>
    </comment>
    <comment ref="J16" authorId="0">
      <text>
        <r>
          <rPr>
            <b/>
            <sz val="9"/>
            <color indexed="81"/>
            <rFont val="Tahoma"/>
            <family val="2"/>
          </rPr>
          <t>Ingrid Malmgren:</t>
        </r>
        <r>
          <rPr>
            <sz val="9"/>
            <color indexed="81"/>
            <rFont val="Tahoma"/>
            <family val="2"/>
          </rPr>
          <t xml:space="preserve">
http://www.canadianforex.ca/forex-tools/historical-rate-tools/yearly-average-rates</t>
        </r>
      </text>
    </comment>
    <comment ref="J17" authorId="0">
      <text>
        <r>
          <rPr>
            <b/>
            <sz val="9"/>
            <color indexed="81"/>
            <rFont val="Tahoma"/>
            <family val="2"/>
          </rPr>
          <t>Ingrid Malmgren:</t>
        </r>
        <r>
          <rPr>
            <sz val="9"/>
            <color indexed="81"/>
            <rFont val="Tahoma"/>
            <family val="2"/>
          </rPr>
          <t xml:space="preserve">
https://www.irs.gov/individuals/international-taxpayers/yearly-average-currency-exchange-rates</t>
        </r>
      </text>
    </comment>
    <comment ref="J18" authorId="0">
      <text>
        <r>
          <rPr>
            <b/>
            <sz val="9"/>
            <color indexed="81"/>
            <rFont val="Tahoma"/>
            <family val="2"/>
          </rPr>
          <t>Ingrid Malmgren:</t>
        </r>
        <r>
          <rPr>
            <sz val="9"/>
            <color indexed="81"/>
            <rFont val="Tahoma"/>
            <family val="2"/>
          </rPr>
          <t xml:space="preserve">
https://www.oanda.com/currency/average
</t>
        </r>
      </text>
    </comment>
    <comment ref="C22" authorId="0">
      <text>
        <r>
          <rPr>
            <b/>
            <sz val="9"/>
            <color indexed="81"/>
            <rFont val="Tahoma"/>
            <family val="2"/>
          </rPr>
          <t>Ingrid Malmgren:</t>
        </r>
        <r>
          <rPr>
            <sz val="9"/>
            <color indexed="81"/>
            <rFont val="Tahoma"/>
            <family val="2"/>
          </rPr>
          <t xml:space="preserve">
converted U.S. liquid gallons to liters and converted to CAD</t>
        </r>
      </text>
    </comment>
    <comment ref="C23" authorId="0">
      <text>
        <r>
          <rPr>
            <b/>
            <sz val="9"/>
            <color indexed="81"/>
            <rFont val="Tahoma"/>
            <family val="2"/>
          </rPr>
          <t>Ingrid Malmgren:</t>
        </r>
        <r>
          <rPr>
            <sz val="9"/>
            <color indexed="81"/>
            <rFont val="Tahoma"/>
            <family val="2"/>
          </rPr>
          <t xml:space="preserve">
converted U.S. liquid gallons to liters and converted to CAD
</t>
        </r>
      </text>
    </comment>
    <comment ref="B48" authorId="0">
      <text>
        <r>
          <rPr>
            <b/>
            <sz val="9"/>
            <color indexed="81"/>
            <rFont val="Tahoma"/>
            <family val="2"/>
          </rPr>
          <t>Ingrid Malmgren:</t>
        </r>
        <r>
          <rPr>
            <sz val="9"/>
            <color indexed="81"/>
            <rFont val="Tahoma"/>
            <family val="2"/>
          </rPr>
          <t xml:space="preserve">
calculated using
http://www.degreedays.net/#</t>
        </r>
      </text>
    </comment>
    <comment ref="C48" authorId="0">
      <text>
        <r>
          <rPr>
            <b/>
            <sz val="9"/>
            <color indexed="81"/>
            <rFont val="Tahoma"/>
            <family val="2"/>
          </rPr>
          <t>Pittsfield Municipal Airport</t>
        </r>
        <r>
          <rPr>
            <sz val="9"/>
            <color indexed="81"/>
            <rFont val="Tahoma"/>
            <family val="2"/>
          </rPr>
          <t xml:space="preserve">
</t>
        </r>
      </text>
    </comment>
    <comment ref="D48" authorId="0">
      <text>
        <r>
          <rPr>
            <b/>
            <sz val="9"/>
            <color indexed="81"/>
            <rFont val="Tahoma"/>
            <family val="2"/>
          </rPr>
          <t>Ingrid Malmgren:</t>
        </r>
        <r>
          <rPr>
            <sz val="9"/>
            <color indexed="81"/>
            <rFont val="Tahoma"/>
            <family val="2"/>
          </rPr>
          <t xml:space="preserve">
Boston 5 year average  from: http://www.degreedays.net/#generate
</t>
        </r>
      </text>
    </comment>
    <comment ref="E48" authorId="0">
      <text>
        <r>
          <rPr>
            <b/>
            <sz val="9"/>
            <color indexed="81"/>
            <rFont val="Tahoma"/>
            <family val="2"/>
          </rPr>
          <t>Ingrid Malmgren:</t>
        </r>
        <r>
          <rPr>
            <sz val="9"/>
            <color indexed="81"/>
            <rFont val="Tahoma"/>
            <family val="2"/>
          </rPr>
          <t xml:space="preserve">
5 year average http://www.degreedays.net/#generate</t>
        </r>
      </text>
    </comment>
    <comment ref="F48" authorId="0">
      <text>
        <r>
          <rPr>
            <b/>
            <sz val="9"/>
            <color indexed="81"/>
            <rFont val="Tahoma"/>
            <family val="2"/>
          </rPr>
          <t>Ingrid Malmgren:</t>
        </r>
        <r>
          <rPr>
            <sz val="9"/>
            <color indexed="81"/>
            <rFont val="Tahoma"/>
            <family val="2"/>
          </rPr>
          <t xml:space="preserve">
5 year average 65 degrees http://www.degreedays.net/#generate</t>
        </r>
      </text>
    </comment>
    <comment ref="G48" authorId="0">
      <text>
        <r>
          <rPr>
            <b/>
            <sz val="9"/>
            <color indexed="81"/>
            <rFont val="Tahoma"/>
            <family val="2"/>
          </rPr>
          <t>Ingrid Malmgren:</t>
        </r>
        <r>
          <rPr>
            <sz val="9"/>
            <color indexed="81"/>
            <rFont val="Tahoma"/>
            <family val="2"/>
          </rPr>
          <t xml:space="preserve">
5 year average 65 degrees F
http://www.degreedays.net/#generate</t>
        </r>
      </text>
    </comment>
    <comment ref="H48" authorId="0">
      <text>
        <r>
          <rPr>
            <b/>
            <sz val="9"/>
            <color indexed="81"/>
            <rFont val="Tahoma"/>
            <family val="2"/>
          </rPr>
          <t>Ingrid Malmgren:</t>
        </r>
        <r>
          <rPr>
            <sz val="9"/>
            <color indexed="81"/>
            <rFont val="Tahoma"/>
            <family val="2"/>
          </rPr>
          <t xml:space="preserve">
Halifax Airport 5 year average from:
http://www.degreedays.net/#generate</t>
        </r>
      </text>
    </comment>
  </commentList>
</comments>
</file>

<file path=xl/comments4.xml><?xml version="1.0" encoding="utf-8"?>
<comments xmlns="http://schemas.openxmlformats.org/spreadsheetml/2006/main">
  <authors>
    <author>Ingrid Malmgren</author>
  </authors>
  <commentList>
    <comment ref="I2" authorId="0">
      <text>
        <r>
          <rPr>
            <b/>
            <sz val="9"/>
            <color indexed="81"/>
            <rFont val="Tahoma"/>
            <family val="2"/>
          </rPr>
          <t>Ingrid Malmgren:</t>
        </r>
        <r>
          <rPr>
            <sz val="9"/>
            <color indexed="81"/>
            <rFont val="Tahoma"/>
            <family val="2"/>
          </rPr>
          <t xml:space="preserve">
prescriptive rebate program</t>
        </r>
      </text>
    </comment>
    <comment ref="J2" authorId="0">
      <text>
        <r>
          <rPr>
            <b/>
            <sz val="9"/>
            <color indexed="81"/>
            <rFont val="Tahoma"/>
            <family val="2"/>
          </rPr>
          <t>Ingrid Malmgren:</t>
        </r>
        <r>
          <rPr>
            <sz val="9"/>
            <color indexed="81"/>
            <rFont val="Tahoma"/>
            <family val="2"/>
          </rPr>
          <t xml:space="preserve">
prescriptive rebate program</t>
        </r>
      </text>
    </comment>
    <comment ref="K2" authorId="0">
      <text>
        <r>
          <rPr>
            <b/>
            <sz val="9"/>
            <color indexed="81"/>
            <rFont val="Tahoma"/>
            <family val="2"/>
          </rPr>
          <t>Ingrid Malmgren:</t>
        </r>
        <r>
          <rPr>
            <sz val="9"/>
            <color indexed="81"/>
            <rFont val="Tahoma"/>
            <family val="2"/>
          </rPr>
          <t xml:space="preserve">
prescriptive rebate program</t>
        </r>
      </text>
    </comment>
    <comment ref="L2" authorId="0">
      <text>
        <r>
          <rPr>
            <b/>
            <sz val="9"/>
            <color indexed="81"/>
            <rFont val="Tahoma"/>
            <family val="2"/>
          </rPr>
          <t>Ingrid Malmgren:</t>
        </r>
        <r>
          <rPr>
            <sz val="9"/>
            <color indexed="81"/>
            <rFont val="Tahoma"/>
            <family val="2"/>
          </rPr>
          <t xml:space="preserve">
prescriptive rebate program</t>
        </r>
      </text>
    </comment>
    <comment ref="M2" authorId="0">
      <text>
        <r>
          <rPr>
            <b/>
            <sz val="9"/>
            <color indexed="81"/>
            <rFont val="Tahoma"/>
            <family val="2"/>
          </rPr>
          <t>Ingrid Malmgren:</t>
        </r>
        <r>
          <rPr>
            <sz val="9"/>
            <color indexed="81"/>
            <rFont val="Tahoma"/>
            <family val="2"/>
          </rPr>
          <t xml:space="preserve">
prescriptive rebate program</t>
        </r>
      </text>
    </comment>
    <comment ref="N2" authorId="0">
      <text>
        <r>
          <rPr>
            <b/>
            <sz val="9"/>
            <color indexed="81"/>
            <rFont val="Tahoma"/>
            <family val="2"/>
          </rPr>
          <t>Ingrid Malmgren:</t>
        </r>
        <r>
          <rPr>
            <sz val="9"/>
            <color indexed="81"/>
            <rFont val="Tahoma"/>
            <family val="2"/>
          </rPr>
          <t xml:space="preserve">
prescriptive rebate program</t>
        </r>
      </text>
    </comment>
    <comment ref="O2" authorId="0">
      <text>
        <r>
          <rPr>
            <b/>
            <sz val="9"/>
            <color indexed="81"/>
            <rFont val="Tahoma"/>
            <family val="2"/>
          </rPr>
          <t>Ingrid Malmgren:</t>
        </r>
        <r>
          <rPr>
            <sz val="9"/>
            <color indexed="81"/>
            <rFont val="Tahoma"/>
            <family val="2"/>
          </rPr>
          <t xml:space="preserve">
prescriptive rebate program</t>
        </r>
      </text>
    </comment>
    <comment ref="P2" authorId="0">
      <text>
        <r>
          <rPr>
            <b/>
            <sz val="9"/>
            <color indexed="81"/>
            <rFont val="Tahoma"/>
            <family val="2"/>
          </rPr>
          <t>Ingrid Malmgren:</t>
        </r>
        <r>
          <rPr>
            <sz val="9"/>
            <color indexed="81"/>
            <rFont val="Tahoma"/>
            <family val="2"/>
          </rPr>
          <t xml:space="preserve">
prescriptive rebate program</t>
        </r>
      </text>
    </comment>
    <comment ref="Q2" authorId="0">
      <text>
        <r>
          <rPr>
            <b/>
            <sz val="9"/>
            <color indexed="81"/>
            <rFont val="Tahoma"/>
            <family val="2"/>
          </rPr>
          <t>Ingrid Malmgren:</t>
        </r>
        <r>
          <rPr>
            <sz val="9"/>
            <color indexed="81"/>
            <rFont val="Tahoma"/>
            <family val="2"/>
          </rPr>
          <t xml:space="preserve">
prescriptive rebate program</t>
        </r>
      </text>
    </comment>
    <comment ref="R2" authorId="0">
      <text>
        <r>
          <rPr>
            <b/>
            <sz val="9"/>
            <color indexed="81"/>
            <rFont val="Tahoma"/>
            <family val="2"/>
          </rPr>
          <t>Ingrid Malmgren:</t>
        </r>
        <r>
          <rPr>
            <sz val="9"/>
            <color indexed="81"/>
            <rFont val="Tahoma"/>
            <family val="2"/>
          </rPr>
          <t xml:space="preserve">
prescriptive rebate program</t>
        </r>
      </text>
    </comment>
    <comment ref="S2" authorId="0">
      <text>
        <r>
          <rPr>
            <b/>
            <sz val="9"/>
            <color indexed="81"/>
            <rFont val="Tahoma"/>
            <family val="2"/>
          </rPr>
          <t>Ingrid Malmgren:</t>
        </r>
        <r>
          <rPr>
            <sz val="9"/>
            <color indexed="81"/>
            <rFont val="Tahoma"/>
            <family val="2"/>
          </rPr>
          <t xml:space="preserve">
prescriptive rebate program</t>
        </r>
      </text>
    </comment>
    <comment ref="T2" authorId="0">
      <text>
        <r>
          <rPr>
            <b/>
            <sz val="9"/>
            <color indexed="81"/>
            <rFont val="Tahoma"/>
            <family val="2"/>
          </rPr>
          <t>Ingrid Malmgren:</t>
        </r>
        <r>
          <rPr>
            <sz val="9"/>
            <color indexed="81"/>
            <rFont val="Tahoma"/>
            <family val="2"/>
          </rPr>
          <t xml:space="preserve">
prescriptive rebate program</t>
        </r>
      </text>
    </comment>
    <comment ref="U2" authorId="0">
      <text>
        <r>
          <rPr>
            <b/>
            <sz val="9"/>
            <color indexed="81"/>
            <rFont val="Tahoma"/>
            <family val="2"/>
          </rPr>
          <t>Ingrid Malmgren:</t>
        </r>
        <r>
          <rPr>
            <sz val="9"/>
            <color indexed="81"/>
            <rFont val="Tahoma"/>
            <family val="2"/>
          </rPr>
          <t xml:space="preserve">
prescriptive rebate program</t>
        </r>
      </text>
    </comment>
    <comment ref="V2" authorId="0">
      <text>
        <r>
          <rPr>
            <b/>
            <sz val="9"/>
            <color indexed="81"/>
            <rFont val="Tahoma"/>
            <family val="2"/>
          </rPr>
          <t>Ingrid Malmgren:</t>
        </r>
        <r>
          <rPr>
            <sz val="9"/>
            <color indexed="81"/>
            <rFont val="Tahoma"/>
            <family val="2"/>
          </rPr>
          <t xml:space="preserve">
prescriptive rebate program</t>
        </r>
      </text>
    </comment>
    <comment ref="W2" authorId="0">
      <text>
        <r>
          <rPr>
            <b/>
            <sz val="9"/>
            <color indexed="81"/>
            <rFont val="Tahoma"/>
            <family val="2"/>
          </rPr>
          <t>Ingrid Malmgren:</t>
        </r>
        <r>
          <rPr>
            <sz val="9"/>
            <color indexed="81"/>
            <rFont val="Tahoma"/>
            <family val="2"/>
          </rPr>
          <t xml:space="preserve">
prescriptive rebate program</t>
        </r>
      </text>
    </comment>
    <comment ref="X2" authorId="0">
      <text>
        <r>
          <rPr>
            <b/>
            <sz val="9"/>
            <color indexed="81"/>
            <rFont val="Tahoma"/>
            <family val="2"/>
          </rPr>
          <t>Ingrid Malmgren:</t>
        </r>
        <r>
          <rPr>
            <sz val="9"/>
            <color indexed="81"/>
            <rFont val="Tahoma"/>
            <family val="2"/>
          </rPr>
          <t xml:space="preserve">
prescriptive rebate program</t>
        </r>
      </text>
    </comment>
    <comment ref="Y2" authorId="0">
      <text>
        <r>
          <rPr>
            <b/>
            <sz val="9"/>
            <color indexed="81"/>
            <rFont val="Tahoma"/>
            <family val="2"/>
          </rPr>
          <t>Ingrid Malmgren:</t>
        </r>
        <r>
          <rPr>
            <sz val="9"/>
            <color indexed="81"/>
            <rFont val="Tahoma"/>
            <family val="2"/>
          </rPr>
          <t xml:space="preserve">
prescriptive rebate program</t>
        </r>
      </text>
    </comment>
    <comment ref="Z2" authorId="0">
      <text>
        <r>
          <rPr>
            <b/>
            <sz val="9"/>
            <color indexed="81"/>
            <rFont val="Tahoma"/>
            <family val="2"/>
          </rPr>
          <t>Ingrid Malmgren:</t>
        </r>
        <r>
          <rPr>
            <sz val="9"/>
            <color indexed="81"/>
            <rFont val="Tahoma"/>
            <family val="2"/>
          </rPr>
          <t xml:space="preserve">
prescriptive rebate program</t>
        </r>
      </text>
    </comment>
    <comment ref="AA2" authorId="0">
      <text>
        <r>
          <rPr>
            <b/>
            <sz val="9"/>
            <color indexed="81"/>
            <rFont val="Tahoma"/>
            <family val="2"/>
          </rPr>
          <t>Ingrid Malmgren:</t>
        </r>
        <r>
          <rPr>
            <sz val="9"/>
            <color indexed="81"/>
            <rFont val="Tahoma"/>
            <family val="2"/>
          </rPr>
          <t xml:space="preserve">
prescriptive rebate program</t>
        </r>
      </text>
    </comment>
    <comment ref="AB2" authorId="0">
      <text>
        <r>
          <rPr>
            <b/>
            <sz val="9"/>
            <color indexed="81"/>
            <rFont val="Tahoma"/>
            <family val="2"/>
          </rPr>
          <t>Ingrid Malmgren:</t>
        </r>
        <r>
          <rPr>
            <sz val="9"/>
            <color indexed="81"/>
            <rFont val="Tahoma"/>
            <family val="2"/>
          </rPr>
          <t xml:space="preserve">
prescriptive rebate program</t>
        </r>
      </text>
    </comment>
    <comment ref="AC2" authorId="0">
      <text>
        <r>
          <rPr>
            <b/>
            <sz val="9"/>
            <color indexed="81"/>
            <rFont val="Tahoma"/>
            <family val="2"/>
          </rPr>
          <t>Ingrid Malmgren:</t>
        </r>
        <r>
          <rPr>
            <sz val="9"/>
            <color indexed="81"/>
            <rFont val="Tahoma"/>
            <family val="2"/>
          </rPr>
          <t xml:space="preserve">
prescriptive rebate program</t>
        </r>
      </text>
    </comment>
    <comment ref="AD2" authorId="0">
      <text>
        <r>
          <rPr>
            <b/>
            <sz val="9"/>
            <color indexed="81"/>
            <rFont val="Tahoma"/>
            <family val="2"/>
          </rPr>
          <t>Ingrid Malmgren:</t>
        </r>
        <r>
          <rPr>
            <sz val="9"/>
            <color indexed="81"/>
            <rFont val="Tahoma"/>
            <family val="2"/>
          </rPr>
          <t xml:space="preserve">
prescriptive rebate program</t>
        </r>
      </text>
    </comment>
    <comment ref="AE2" authorId="0">
      <text>
        <r>
          <rPr>
            <b/>
            <sz val="9"/>
            <color indexed="81"/>
            <rFont val="Tahoma"/>
            <family val="2"/>
          </rPr>
          <t>Ingrid Malmgren:</t>
        </r>
        <r>
          <rPr>
            <sz val="9"/>
            <color indexed="81"/>
            <rFont val="Tahoma"/>
            <family val="2"/>
          </rPr>
          <t xml:space="preserve">
prescriptive rebate program</t>
        </r>
      </text>
    </comment>
    <comment ref="AF2" authorId="0">
      <text>
        <r>
          <rPr>
            <b/>
            <sz val="9"/>
            <color indexed="81"/>
            <rFont val="Tahoma"/>
            <family val="2"/>
          </rPr>
          <t>Ingrid Malmgren:</t>
        </r>
        <r>
          <rPr>
            <sz val="9"/>
            <color indexed="81"/>
            <rFont val="Tahoma"/>
            <family val="2"/>
          </rPr>
          <t xml:space="preserve">
prescriptive rebate program</t>
        </r>
      </text>
    </comment>
    <comment ref="AG2" authorId="0">
      <text>
        <r>
          <rPr>
            <b/>
            <sz val="9"/>
            <color indexed="81"/>
            <rFont val="Tahoma"/>
            <family val="2"/>
          </rPr>
          <t>Ingrid Malmgren:</t>
        </r>
        <r>
          <rPr>
            <sz val="9"/>
            <color indexed="81"/>
            <rFont val="Tahoma"/>
            <family val="2"/>
          </rPr>
          <t xml:space="preserve">
prescriptive rebate program</t>
        </r>
      </text>
    </comment>
    <comment ref="AH2" authorId="0">
      <text>
        <r>
          <rPr>
            <b/>
            <sz val="9"/>
            <color indexed="81"/>
            <rFont val="Tahoma"/>
            <family val="2"/>
          </rPr>
          <t>Ingrid Malmgren:</t>
        </r>
        <r>
          <rPr>
            <sz val="9"/>
            <color indexed="81"/>
            <rFont val="Tahoma"/>
            <family val="2"/>
          </rPr>
          <t xml:space="preserve">
prescriptive rebate program</t>
        </r>
      </text>
    </comment>
    <comment ref="AI2" authorId="0">
      <text>
        <r>
          <rPr>
            <b/>
            <sz val="9"/>
            <color indexed="81"/>
            <rFont val="Tahoma"/>
            <family val="2"/>
          </rPr>
          <t>Ingrid Malmgren:</t>
        </r>
        <r>
          <rPr>
            <sz val="9"/>
            <color indexed="81"/>
            <rFont val="Tahoma"/>
            <family val="2"/>
          </rPr>
          <t xml:space="preserve">
prescriptive rebate program</t>
        </r>
      </text>
    </comment>
    <comment ref="AJ2" authorId="0">
      <text>
        <r>
          <rPr>
            <b/>
            <sz val="9"/>
            <color indexed="81"/>
            <rFont val="Tahoma"/>
            <family val="2"/>
          </rPr>
          <t>Ingrid Malmgren:</t>
        </r>
        <r>
          <rPr>
            <sz val="9"/>
            <color indexed="81"/>
            <rFont val="Tahoma"/>
            <family val="2"/>
          </rPr>
          <t xml:space="preserve">
prescriptive rebate program</t>
        </r>
      </text>
    </comment>
    <comment ref="AK2" authorId="0">
      <text>
        <r>
          <rPr>
            <b/>
            <sz val="9"/>
            <color indexed="81"/>
            <rFont val="Tahoma"/>
            <family val="2"/>
          </rPr>
          <t>Ingrid Malmgren:</t>
        </r>
        <r>
          <rPr>
            <sz val="9"/>
            <color indexed="81"/>
            <rFont val="Tahoma"/>
            <family val="2"/>
          </rPr>
          <t xml:space="preserve">
prescriptive rebate program</t>
        </r>
      </text>
    </comment>
    <comment ref="AL2" authorId="0">
      <text>
        <r>
          <rPr>
            <b/>
            <sz val="9"/>
            <color indexed="81"/>
            <rFont val="Tahoma"/>
            <family val="2"/>
          </rPr>
          <t>Ingrid Malmgren:</t>
        </r>
        <r>
          <rPr>
            <sz val="9"/>
            <color indexed="81"/>
            <rFont val="Tahoma"/>
            <family val="2"/>
          </rPr>
          <t xml:space="preserve">
prescriptive rebate program</t>
        </r>
      </text>
    </comment>
    <comment ref="AM2" authorId="0">
      <text>
        <r>
          <rPr>
            <b/>
            <sz val="9"/>
            <color indexed="81"/>
            <rFont val="Tahoma"/>
            <family val="2"/>
          </rPr>
          <t>Ingrid Malmgren:</t>
        </r>
        <r>
          <rPr>
            <sz val="9"/>
            <color indexed="81"/>
            <rFont val="Tahoma"/>
            <family val="2"/>
          </rPr>
          <t xml:space="preserve">
prescriptive rebate program</t>
        </r>
      </text>
    </comment>
    <comment ref="AN2" authorId="0">
      <text>
        <r>
          <rPr>
            <b/>
            <sz val="9"/>
            <color indexed="81"/>
            <rFont val="Tahoma"/>
            <family val="2"/>
          </rPr>
          <t>Ingrid Malmgren:</t>
        </r>
        <r>
          <rPr>
            <sz val="9"/>
            <color indexed="81"/>
            <rFont val="Tahoma"/>
            <family val="2"/>
          </rPr>
          <t xml:space="preserve">
prescriptive rebate program</t>
        </r>
      </text>
    </comment>
    <comment ref="AO2" authorId="0">
      <text>
        <r>
          <rPr>
            <b/>
            <sz val="9"/>
            <color indexed="81"/>
            <rFont val="Tahoma"/>
            <family val="2"/>
          </rPr>
          <t>Ingrid Malmgren:</t>
        </r>
        <r>
          <rPr>
            <sz val="9"/>
            <color indexed="81"/>
            <rFont val="Tahoma"/>
            <family val="2"/>
          </rPr>
          <t xml:space="preserve">
prescriptive rebate program</t>
        </r>
      </text>
    </comment>
    <comment ref="AP2" authorId="0">
      <text>
        <r>
          <rPr>
            <b/>
            <sz val="9"/>
            <color indexed="81"/>
            <rFont val="Tahoma"/>
            <family val="2"/>
          </rPr>
          <t>Ingrid Malmgren:</t>
        </r>
        <r>
          <rPr>
            <sz val="9"/>
            <color indexed="81"/>
            <rFont val="Tahoma"/>
            <family val="2"/>
          </rPr>
          <t xml:space="preserve">
prescriptive rebate program</t>
        </r>
      </text>
    </comment>
    <comment ref="AQ2" authorId="0">
      <text>
        <r>
          <rPr>
            <b/>
            <sz val="9"/>
            <color indexed="81"/>
            <rFont val="Tahoma"/>
            <family val="2"/>
          </rPr>
          <t>Ingrid Malmgren:</t>
        </r>
        <r>
          <rPr>
            <sz val="9"/>
            <color indexed="81"/>
            <rFont val="Tahoma"/>
            <family val="2"/>
          </rPr>
          <t xml:space="preserve">
prescriptive rebate program</t>
        </r>
      </text>
    </comment>
    <comment ref="AR2" authorId="0">
      <text>
        <r>
          <rPr>
            <b/>
            <sz val="9"/>
            <color indexed="81"/>
            <rFont val="Tahoma"/>
            <family val="2"/>
          </rPr>
          <t>Ingrid Malmgren:</t>
        </r>
        <r>
          <rPr>
            <sz val="9"/>
            <color indexed="81"/>
            <rFont val="Tahoma"/>
            <family val="2"/>
          </rPr>
          <t xml:space="preserve">
prescriptive rebate program</t>
        </r>
      </text>
    </comment>
    <comment ref="AS2" authorId="0">
      <text>
        <r>
          <rPr>
            <b/>
            <sz val="9"/>
            <color indexed="81"/>
            <rFont val="Tahoma"/>
            <family val="2"/>
          </rPr>
          <t>Ingrid Malmgren:</t>
        </r>
        <r>
          <rPr>
            <sz val="9"/>
            <color indexed="81"/>
            <rFont val="Tahoma"/>
            <family val="2"/>
          </rPr>
          <t xml:space="preserve">
prescriptive rebate program</t>
        </r>
      </text>
    </comment>
    <comment ref="AT2" authorId="0">
      <text>
        <r>
          <rPr>
            <b/>
            <sz val="9"/>
            <color indexed="81"/>
            <rFont val="Tahoma"/>
            <family val="2"/>
          </rPr>
          <t>Ingrid Malmgren:</t>
        </r>
        <r>
          <rPr>
            <sz val="9"/>
            <color indexed="81"/>
            <rFont val="Tahoma"/>
            <family val="2"/>
          </rPr>
          <t xml:space="preserve">
prescriptive rebate program</t>
        </r>
      </text>
    </comment>
    <comment ref="AU2" authorId="0">
      <text>
        <r>
          <rPr>
            <b/>
            <sz val="9"/>
            <color indexed="81"/>
            <rFont val="Tahoma"/>
            <family val="2"/>
          </rPr>
          <t>Ingrid Malmgren:</t>
        </r>
        <r>
          <rPr>
            <sz val="9"/>
            <color indexed="81"/>
            <rFont val="Tahoma"/>
            <family val="2"/>
          </rPr>
          <t xml:space="preserve">
prescriptive rebate program</t>
        </r>
      </text>
    </comment>
    <comment ref="AV2" authorId="0">
      <text>
        <r>
          <rPr>
            <b/>
            <sz val="9"/>
            <color indexed="81"/>
            <rFont val="Tahoma"/>
            <family val="2"/>
          </rPr>
          <t>Ingrid Malmgren:</t>
        </r>
        <r>
          <rPr>
            <sz val="9"/>
            <color indexed="81"/>
            <rFont val="Tahoma"/>
            <family val="2"/>
          </rPr>
          <t xml:space="preserve">
prescriptive rebate program</t>
        </r>
      </text>
    </comment>
    <comment ref="AW2" authorId="0">
      <text>
        <r>
          <rPr>
            <b/>
            <sz val="9"/>
            <color indexed="81"/>
            <rFont val="Tahoma"/>
            <family val="2"/>
          </rPr>
          <t>Ingrid Malmgren:</t>
        </r>
        <r>
          <rPr>
            <sz val="9"/>
            <color indexed="81"/>
            <rFont val="Tahoma"/>
            <family val="2"/>
          </rPr>
          <t xml:space="preserve">
prescriptive rebate program</t>
        </r>
      </text>
    </comment>
    <comment ref="AX2" authorId="0">
      <text>
        <r>
          <rPr>
            <b/>
            <sz val="9"/>
            <color indexed="81"/>
            <rFont val="Tahoma"/>
            <family val="2"/>
          </rPr>
          <t>Ingrid Malmgren:</t>
        </r>
        <r>
          <rPr>
            <sz val="9"/>
            <color indexed="81"/>
            <rFont val="Tahoma"/>
            <family val="2"/>
          </rPr>
          <t xml:space="preserve">
prescriptive rebate program</t>
        </r>
      </text>
    </comment>
    <comment ref="AY2" authorId="0">
      <text>
        <r>
          <rPr>
            <b/>
            <sz val="9"/>
            <color indexed="81"/>
            <rFont val="Tahoma"/>
            <family val="2"/>
          </rPr>
          <t>Ingrid Malmgren:</t>
        </r>
        <r>
          <rPr>
            <sz val="9"/>
            <color indexed="81"/>
            <rFont val="Tahoma"/>
            <family val="2"/>
          </rPr>
          <t xml:space="preserve">
prescriptive rebate program</t>
        </r>
      </text>
    </comment>
    <comment ref="AZ2" authorId="0">
      <text>
        <r>
          <rPr>
            <b/>
            <sz val="9"/>
            <color indexed="81"/>
            <rFont val="Tahoma"/>
            <family val="2"/>
          </rPr>
          <t>Ingrid Malmgren:</t>
        </r>
        <r>
          <rPr>
            <sz val="9"/>
            <color indexed="81"/>
            <rFont val="Tahoma"/>
            <family val="2"/>
          </rPr>
          <t xml:space="preserve">
prescriptive rebate program</t>
        </r>
      </text>
    </comment>
    <comment ref="BA2" authorId="0">
      <text>
        <r>
          <rPr>
            <b/>
            <sz val="9"/>
            <color indexed="81"/>
            <rFont val="Tahoma"/>
            <family val="2"/>
          </rPr>
          <t>Ingrid Malmgren:</t>
        </r>
        <r>
          <rPr>
            <sz val="9"/>
            <color indexed="81"/>
            <rFont val="Tahoma"/>
            <family val="2"/>
          </rPr>
          <t xml:space="preserve">
prescriptive rebate program</t>
        </r>
      </text>
    </comment>
    <comment ref="BB2" authorId="0">
      <text>
        <r>
          <rPr>
            <b/>
            <sz val="9"/>
            <color indexed="81"/>
            <rFont val="Tahoma"/>
            <family val="2"/>
          </rPr>
          <t>Ingrid Malmgren:</t>
        </r>
        <r>
          <rPr>
            <sz val="9"/>
            <color indexed="81"/>
            <rFont val="Tahoma"/>
            <family val="2"/>
          </rPr>
          <t xml:space="preserve">
prescriptive rebate program</t>
        </r>
      </text>
    </comment>
    <comment ref="BC2" authorId="0">
      <text>
        <r>
          <rPr>
            <b/>
            <sz val="9"/>
            <color indexed="81"/>
            <rFont val="Tahoma"/>
            <family val="2"/>
          </rPr>
          <t>Ingrid Malmgren:</t>
        </r>
        <r>
          <rPr>
            <sz val="9"/>
            <color indexed="81"/>
            <rFont val="Tahoma"/>
            <family val="2"/>
          </rPr>
          <t xml:space="preserve">
prescriptive rebate program</t>
        </r>
      </text>
    </comment>
    <comment ref="BD2" authorId="0">
      <text>
        <r>
          <rPr>
            <b/>
            <sz val="9"/>
            <color indexed="81"/>
            <rFont val="Tahoma"/>
            <family val="2"/>
          </rPr>
          <t>Ingrid Malmgren:</t>
        </r>
        <r>
          <rPr>
            <sz val="9"/>
            <color indexed="81"/>
            <rFont val="Tahoma"/>
            <family val="2"/>
          </rPr>
          <t xml:space="preserve">
prescriptive rebate program</t>
        </r>
      </text>
    </comment>
    <comment ref="BE2" authorId="0">
      <text>
        <r>
          <rPr>
            <b/>
            <sz val="9"/>
            <color indexed="81"/>
            <rFont val="Tahoma"/>
            <family val="2"/>
          </rPr>
          <t>Ingrid Malmgren:</t>
        </r>
        <r>
          <rPr>
            <sz val="9"/>
            <color indexed="81"/>
            <rFont val="Tahoma"/>
            <family val="2"/>
          </rPr>
          <t xml:space="preserve">
prescriptive rebate program</t>
        </r>
      </text>
    </comment>
    <comment ref="BF2" authorId="0">
      <text>
        <r>
          <rPr>
            <b/>
            <sz val="9"/>
            <color indexed="81"/>
            <rFont val="Tahoma"/>
            <family val="2"/>
          </rPr>
          <t>Ingrid Malmgren:</t>
        </r>
        <r>
          <rPr>
            <sz val="9"/>
            <color indexed="81"/>
            <rFont val="Tahoma"/>
            <family val="2"/>
          </rPr>
          <t xml:space="preserve">
prescriptive rebate program</t>
        </r>
      </text>
    </comment>
    <comment ref="BG2" authorId="0">
      <text>
        <r>
          <rPr>
            <b/>
            <sz val="9"/>
            <color indexed="81"/>
            <rFont val="Tahoma"/>
            <family val="2"/>
          </rPr>
          <t>Ingrid Malmgren:</t>
        </r>
        <r>
          <rPr>
            <sz val="9"/>
            <color indexed="81"/>
            <rFont val="Tahoma"/>
            <family val="2"/>
          </rPr>
          <t xml:space="preserve">
prescriptive rebate program</t>
        </r>
      </text>
    </comment>
    <comment ref="BH2" authorId="0">
      <text>
        <r>
          <rPr>
            <b/>
            <sz val="9"/>
            <color indexed="81"/>
            <rFont val="Tahoma"/>
            <family val="2"/>
          </rPr>
          <t>Ingrid Malmgren:</t>
        </r>
        <r>
          <rPr>
            <sz val="9"/>
            <color indexed="81"/>
            <rFont val="Tahoma"/>
            <family val="2"/>
          </rPr>
          <t xml:space="preserve">
prescriptive rebate program</t>
        </r>
      </text>
    </comment>
    <comment ref="BI2" authorId="0">
      <text>
        <r>
          <rPr>
            <b/>
            <sz val="9"/>
            <color indexed="81"/>
            <rFont val="Tahoma"/>
            <family val="2"/>
          </rPr>
          <t>Ingrid Malmgren:</t>
        </r>
        <r>
          <rPr>
            <sz val="9"/>
            <color indexed="81"/>
            <rFont val="Tahoma"/>
            <family val="2"/>
          </rPr>
          <t xml:space="preserve">
prescriptive rebate program</t>
        </r>
      </text>
    </comment>
    <comment ref="BJ2" authorId="0">
      <text>
        <r>
          <rPr>
            <b/>
            <sz val="9"/>
            <color indexed="81"/>
            <rFont val="Tahoma"/>
            <family val="2"/>
          </rPr>
          <t>Ingrid Malmgren:</t>
        </r>
        <r>
          <rPr>
            <sz val="9"/>
            <color indexed="81"/>
            <rFont val="Tahoma"/>
            <family val="2"/>
          </rPr>
          <t xml:space="preserve">
prescriptive rebate program</t>
        </r>
      </text>
    </comment>
    <comment ref="BK2" authorId="0">
      <text>
        <r>
          <rPr>
            <b/>
            <sz val="9"/>
            <color indexed="81"/>
            <rFont val="Tahoma"/>
            <family val="2"/>
          </rPr>
          <t>Ingrid Malmgren:</t>
        </r>
        <r>
          <rPr>
            <sz val="9"/>
            <color indexed="81"/>
            <rFont val="Tahoma"/>
            <family val="2"/>
          </rPr>
          <t xml:space="preserve">
prescriptive rebate program</t>
        </r>
      </text>
    </comment>
    <comment ref="BL2" authorId="0">
      <text>
        <r>
          <rPr>
            <b/>
            <sz val="9"/>
            <color indexed="81"/>
            <rFont val="Tahoma"/>
            <family val="2"/>
          </rPr>
          <t>Ingrid Malmgren:</t>
        </r>
        <r>
          <rPr>
            <sz val="9"/>
            <color indexed="81"/>
            <rFont val="Tahoma"/>
            <family val="2"/>
          </rPr>
          <t xml:space="preserve">
prescriptive rebate program</t>
        </r>
      </text>
    </comment>
    <comment ref="BM2" authorId="0">
      <text>
        <r>
          <rPr>
            <b/>
            <sz val="9"/>
            <color indexed="81"/>
            <rFont val="Tahoma"/>
            <family val="2"/>
          </rPr>
          <t>Ingrid Malmgren:</t>
        </r>
        <r>
          <rPr>
            <sz val="9"/>
            <color indexed="81"/>
            <rFont val="Tahoma"/>
            <family val="2"/>
          </rPr>
          <t xml:space="preserve">
prescriptive rebate program</t>
        </r>
      </text>
    </comment>
    <comment ref="BN2" authorId="0">
      <text>
        <r>
          <rPr>
            <b/>
            <sz val="9"/>
            <color indexed="81"/>
            <rFont val="Tahoma"/>
            <family val="2"/>
          </rPr>
          <t>Ingrid Malmgren:</t>
        </r>
        <r>
          <rPr>
            <sz val="9"/>
            <color indexed="81"/>
            <rFont val="Tahoma"/>
            <family val="2"/>
          </rPr>
          <t xml:space="preserve">
prescriptive rebate program</t>
        </r>
      </text>
    </comment>
    <comment ref="BO2" authorId="0">
      <text>
        <r>
          <rPr>
            <b/>
            <sz val="9"/>
            <color indexed="81"/>
            <rFont val="Tahoma"/>
            <family val="2"/>
          </rPr>
          <t>Ingrid Malmgren:</t>
        </r>
        <r>
          <rPr>
            <sz val="9"/>
            <color indexed="81"/>
            <rFont val="Tahoma"/>
            <family val="2"/>
          </rPr>
          <t xml:space="preserve">
prescriptive rebate program</t>
        </r>
      </text>
    </comment>
    <comment ref="BP2" authorId="0">
      <text>
        <r>
          <rPr>
            <b/>
            <sz val="9"/>
            <color indexed="81"/>
            <rFont val="Tahoma"/>
            <family val="2"/>
          </rPr>
          <t>Ingrid Malmgren:</t>
        </r>
        <r>
          <rPr>
            <sz val="9"/>
            <color indexed="81"/>
            <rFont val="Tahoma"/>
            <family val="2"/>
          </rPr>
          <t xml:space="preserve">
prescriptive rebate program</t>
        </r>
      </text>
    </comment>
    <comment ref="BQ2" authorId="0">
      <text>
        <r>
          <rPr>
            <b/>
            <sz val="9"/>
            <color indexed="81"/>
            <rFont val="Tahoma"/>
            <family val="2"/>
          </rPr>
          <t>Ingrid Malmgren:</t>
        </r>
        <r>
          <rPr>
            <sz val="9"/>
            <color indexed="81"/>
            <rFont val="Tahoma"/>
            <family val="2"/>
          </rPr>
          <t xml:space="preserve">
prescriptive rebate program</t>
        </r>
      </text>
    </comment>
    <comment ref="BR2" authorId="0">
      <text>
        <r>
          <rPr>
            <b/>
            <sz val="9"/>
            <color indexed="81"/>
            <rFont val="Tahoma"/>
            <family val="2"/>
          </rPr>
          <t>Ingrid Malmgren:</t>
        </r>
        <r>
          <rPr>
            <sz val="9"/>
            <color indexed="81"/>
            <rFont val="Tahoma"/>
            <family val="2"/>
          </rPr>
          <t xml:space="preserve">
prescriptive rebate program</t>
        </r>
      </text>
    </comment>
    <comment ref="BS2" authorId="0">
      <text>
        <r>
          <rPr>
            <b/>
            <sz val="9"/>
            <color indexed="81"/>
            <rFont val="Tahoma"/>
            <family val="2"/>
          </rPr>
          <t>Ingrid Malmgren:</t>
        </r>
        <r>
          <rPr>
            <sz val="9"/>
            <color indexed="81"/>
            <rFont val="Tahoma"/>
            <family val="2"/>
          </rPr>
          <t xml:space="preserve">
prescriptive rebate program</t>
        </r>
      </text>
    </comment>
    <comment ref="BT2" authorId="0">
      <text>
        <r>
          <rPr>
            <b/>
            <sz val="9"/>
            <color indexed="81"/>
            <rFont val="Tahoma"/>
            <family val="2"/>
          </rPr>
          <t>Ingrid Malmgren:</t>
        </r>
        <r>
          <rPr>
            <sz val="9"/>
            <color indexed="81"/>
            <rFont val="Tahoma"/>
            <family val="2"/>
          </rPr>
          <t xml:space="preserve">
prescriptive rebate program</t>
        </r>
      </text>
    </comment>
    <comment ref="BU2" authorId="0">
      <text>
        <r>
          <rPr>
            <b/>
            <sz val="9"/>
            <color indexed="81"/>
            <rFont val="Tahoma"/>
            <family val="2"/>
          </rPr>
          <t>Ingrid Malmgren:</t>
        </r>
        <r>
          <rPr>
            <sz val="9"/>
            <color indexed="81"/>
            <rFont val="Tahoma"/>
            <family val="2"/>
          </rPr>
          <t xml:space="preserve">
prescriptive rebate program</t>
        </r>
      </text>
    </comment>
    <comment ref="BV2" authorId="0">
      <text>
        <r>
          <rPr>
            <b/>
            <sz val="9"/>
            <color indexed="81"/>
            <rFont val="Tahoma"/>
            <family val="2"/>
          </rPr>
          <t>Ingrid Malmgren:</t>
        </r>
        <r>
          <rPr>
            <sz val="9"/>
            <color indexed="81"/>
            <rFont val="Tahoma"/>
            <family val="2"/>
          </rPr>
          <t xml:space="preserve">
prescriptive rebate program</t>
        </r>
      </text>
    </comment>
    <comment ref="BW2" authorId="0">
      <text>
        <r>
          <rPr>
            <b/>
            <sz val="9"/>
            <color indexed="81"/>
            <rFont val="Tahoma"/>
            <family val="2"/>
          </rPr>
          <t>Ingrid Malmgren:</t>
        </r>
        <r>
          <rPr>
            <sz val="9"/>
            <color indexed="81"/>
            <rFont val="Tahoma"/>
            <family val="2"/>
          </rPr>
          <t xml:space="preserve">
prescriptive rebate program</t>
        </r>
      </text>
    </comment>
    <comment ref="BX2" authorId="0">
      <text>
        <r>
          <rPr>
            <b/>
            <sz val="9"/>
            <color indexed="81"/>
            <rFont val="Tahoma"/>
            <family val="2"/>
          </rPr>
          <t>Ingrid Malmgren:</t>
        </r>
        <r>
          <rPr>
            <sz val="9"/>
            <color indexed="81"/>
            <rFont val="Tahoma"/>
            <family val="2"/>
          </rPr>
          <t xml:space="preserve">
prescriptive rebate program</t>
        </r>
      </text>
    </comment>
    <comment ref="BY2" authorId="0">
      <text>
        <r>
          <rPr>
            <b/>
            <sz val="9"/>
            <color indexed="81"/>
            <rFont val="Tahoma"/>
            <family val="2"/>
          </rPr>
          <t>Ingrid Malmgren:</t>
        </r>
        <r>
          <rPr>
            <sz val="9"/>
            <color indexed="81"/>
            <rFont val="Tahoma"/>
            <family val="2"/>
          </rPr>
          <t xml:space="preserve">
prescriptive rebate program</t>
        </r>
      </text>
    </comment>
    <comment ref="BZ2" authorId="0">
      <text>
        <r>
          <rPr>
            <b/>
            <sz val="9"/>
            <color indexed="81"/>
            <rFont val="Tahoma"/>
            <family val="2"/>
          </rPr>
          <t>Ingrid Malmgren:</t>
        </r>
        <r>
          <rPr>
            <sz val="9"/>
            <color indexed="81"/>
            <rFont val="Tahoma"/>
            <family val="2"/>
          </rPr>
          <t xml:space="preserve">
prescriptive rebate program</t>
        </r>
      </text>
    </comment>
    <comment ref="CA2" authorId="0">
      <text>
        <r>
          <rPr>
            <b/>
            <sz val="9"/>
            <color indexed="81"/>
            <rFont val="Tahoma"/>
            <family val="2"/>
          </rPr>
          <t>Ingrid Malmgren:</t>
        </r>
        <r>
          <rPr>
            <sz val="9"/>
            <color indexed="81"/>
            <rFont val="Tahoma"/>
            <family val="2"/>
          </rPr>
          <t xml:space="preserve">
prescriptive rebate program</t>
        </r>
      </text>
    </comment>
    <comment ref="CB2" authorId="0">
      <text>
        <r>
          <rPr>
            <b/>
            <sz val="9"/>
            <color indexed="81"/>
            <rFont val="Tahoma"/>
            <family val="2"/>
          </rPr>
          <t>Ingrid Malmgren:</t>
        </r>
        <r>
          <rPr>
            <sz val="9"/>
            <color indexed="81"/>
            <rFont val="Tahoma"/>
            <family val="2"/>
          </rPr>
          <t xml:space="preserve">
prescriptive rebate program</t>
        </r>
      </text>
    </comment>
    <comment ref="CC2" authorId="0">
      <text>
        <r>
          <rPr>
            <b/>
            <sz val="9"/>
            <color indexed="81"/>
            <rFont val="Tahoma"/>
            <family val="2"/>
          </rPr>
          <t>Ingrid Malmgren:</t>
        </r>
        <r>
          <rPr>
            <sz val="9"/>
            <color indexed="81"/>
            <rFont val="Tahoma"/>
            <family val="2"/>
          </rPr>
          <t xml:space="preserve">
prescriptive rebate program</t>
        </r>
      </text>
    </comment>
    <comment ref="CD2" authorId="0">
      <text>
        <r>
          <rPr>
            <b/>
            <sz val="9"/>
            <color indexed="81"/>
            <rFont val="Tahoma"/>
            <family val="2"/>
          </rPr>
          <t>Ingrid Malmgren:</t>
        </r>
        <r>
          <rPr>
            <sz val="9"/>
            <color indexed="81"/>
            <rFont val="Tahoma"/>
            <family val="2"/>
          </rPr>
          <t xml:space="preserve">
prescriptive rebate program</t>
        </r>
      </text>
    </comment>
    <comment ref="CE2" authorId="0">
      <text>
        <r>
          <rPr>
            <b/>
            <sz val="9"/>
            <color indexed="81"/>
            <rFont val="Tahoma"/>
            <family val="2"/>
          </rPr>
          <t>Ingrid Malmgren:</t>
        </r>
        <r>
          <rPr>
            <sz val="9"/>
            <color indexed="81"/>
            <rFont val="Tahoma"/>
            <family val="2"/>
          </rPr>
          <t xml:space="preserve">
prescriptive rebate program</t>
        </r>
      </text>
    </comment>
    <comment ref="CF2" authorId="0">
      <text>
        <r>
          <rPr>
            <b/>
            <sz val="9"/>
            <color indexed="81"/>
            <rFont val="Tahoma"/>
            <family val="2"/>
          </rPr>
          <t>Ingrid Malmgren:</t>
        </r>
        <r>
          <rPr>
            <sz val="9"/>
            <color indexed="81"/>
            <rFont val="Tahoma"/>
            <family val="2"/>
          </rPr>
          <t xml:space="preserve">
prescriptive rebate program</t>
        </r>
      </text>
    </comment>
    <comment ref="CG2" authorId="0">
      <text>
        <r>
          <rPr>
            <b/>
            <sz val="9"/>
            <color indexed="81"/>
            <rFont val="Tahoma"/>
            <family val="2"/>
          </rPr>
          <t>Ingrid Malmgren:</t>
        </r>
        <r>
          <rPr>
            <sz val="9"/>
            <color indexed="81"/>
            <rFont val="Tahoma"/>
            <family val="2"/>
          </rPr>
          <t xml:space="preserve">
prescriptive rebate program</t>
        </r>
      </text>
    </comment>
    <comment ref="CH2" authorId="0">
      <text>
        <r>
          <rPr>
            <b/>
            <sz val="9"/>
            <color indexed="81"/>
            <rFont val="Tahoma"/>
            <family val="2"/>
          </rPr>
          <t>Ingrid Malmgren:</t>
        </r>
        <r>
          <rPr>
            <sz val="9"/>
            <color indexed="81"/>
            <rFont val="Tahoma"/>
            <family val="2"/>
          </rPr>
          <t xml:space="preserve">
prescriptive rebate program</t>
        </r>
      </text>
    </comment>
    <comment ref="CI2" authorId="0">
      <text>
        <r>
          <rPr>
            <b/>
            <sz val="9"/>
            <color indexed="81"/>
            <rFont val="Tahoma"/>
            <family val="2"/>
          </rPr>
          <t>Ingrid Malmgren:</t>
        </r>
        <r>
          <rPr>
            <sz val="9"/>
            <color indexed="81"/>
            <rFont val="Tahoma"/>
            <family val="2"/>
          </rPr>
          <t xml:space="preserve">
prescriptive rebate program</t>
        </r>
      </text>
    </comment>
    <comment ref="CJ2" authorId="0">
      <text>
        <r>
          <rPr>
            <b/>
            <sz val="9"/>
            <color indexed="81"/>
            <rFont val="Tahoma"/>
            <family val="2"/>
          </rPr>
          <t>Ingrid Malmgren:</t>
        </r>
        <r>
          <rPr>
            <sz val="9"/>
            <color indexed="81"/>
            <rFont val="Tahoma"/>
            <family val="2"/>
          </rPr>
          <t xml:space="preserve">
prescriptive rebate program</t>
        </r>
      </text>
    </comment>
    <comment ref="CK2" authorId="0">
      <text>
        <r>
          <rPr>
            <b/>
            <sz val="9"/>
            <color indexed="81"/>
            <rFont val="Tahoma"/>
            <family val="2"/>
          </rPr>
          <t>Ingrid Malmgren:</t>
        </r>
        <r>
          <rPr>
            <sz val="9"/>
            <color indexed="81"/>
            <rFont val="Tahoma"/>
            <family val="2"/>
          </rPr>
          <t xml:space="preserve">
prescriptive rebate program</t>
        </r>
      </text>
    </comment>
    <comment ref="CL2" authorId="0">
      <text>
        <r>
          <rPr>
            <b/>
            <sz val="9"/>
            <color indexed="81"/>
            <rFont val="Tahoma"/>
            <family val="2"/>
          </rPr>
          <t>Ingrid Malmgren:</t>
        </r>
        <r>
          <rPr>
            <sz val="9"/>
            <color indexed="81"/>
            <rFont val="Tahoma"/>
            <family val="2"/>
          </rPr>
          <t xml:space="preserve">
prescriptive rebate program</t>
        </r>
      </text>
    </comment>
    <comment ref="CM2" authorId="0">
      <text>
        <r>
          <rPr>
            <b/>
            <sz val="9"/>
            <color indexed="81"/>
            <rFont val="Tahoma"/>
            <family val="2"/>
          </rPr>
          <t>Ingrid Malmgren:</t>
        </r>
        <r>
          <rPr>
            <sz val="9"/>
            <color indexed="81"/>
            <rFont val="Tahoma"/>
            <family val="2"/>
          </rPr>
          <t xml:space="preserve">
prescriptive rebate program</t>
        </r>
      </text>
    </comment>
    <comment ref="CN2" authorId="0">
      <text>
        <r>
          <rPr>
            <b/>
            <sz val="9"/>
            <color indexed="81"/>
            <rFont val="Tahoma"/>
            <family val="2"/>
          </rPr>
          <t>Ingrid Malmgren:</t>
        </r>
        <r>
          <rPr>
            <sz val="9"/>
            <color indexed="81"/>
            <rFont val="Tahoma"/>
            <family val="2"/>
          </rPr>
          <t xml:space="preserve">
prescriptive rebate program</t>
        </r>
      </text>
    </comment>
    <comment ref="CO2" authorId="0">
      <text>
        <r>
          <rPr>
            <b/>
            <sz val="9"/>
            <color indexed="81"/>
            <rFont val="Tahoma"/>
            <family val="2"/>
          </rPr>
          <t>Ingrid Malmgren:</t>
        </r>
        <r>
          <rPr>
            <sz val="9"/>
            <color indexed="81"/>
            <rFont val="Tahoma"/>
            <family val="2"/>
          </rPr>
          <t xml:space="preserve">
prescriptive rebate program</t>
        </r>
      </text>
    </comment>
    <comment ref="CP2" authorId="0">
      <text>
        <r>
          <rPr>
            <b/>
            <sz val="9"/>
            <color indexed="81"/>
            <rFont val="Tahoma"/>
            <family val="2"/>
          </rPr>
          <t>Ingrid Malmgren:</t>
        </r>
        <r>
          <rPr>
            <sz val="9"/>
            <color indexed="81"/>
            <rFont val="Tahoma"/>
            <family val="2"/>
          </rPr>
          <t xml:space="preserve">
prescriptive rebate program</t>
        </r>
      </text>
    </comment>
    <comment ref="CQ2" authorId="0">
      <text>
        <r>
          <rPr>
            <b/>
            <sz val="9"/>
            <color indexed="81"/>
            <rFont val="Tahoma"/>
            <family val="2"/>
          </rPr>
          <t>Ingrid Malmgren:</t>
        </r>
        <r>
          <rPr>
            <sz val="9"/>
            <color indexed="81"/>
            <rFont val="Tahoma"/>
            <family val="2"/>
          </rPr>
          <t xml:space="preserve">
prescriptive rebate program</t>
        </r>
      </text>
    </comment>
    <comment ref="CR2" authorId="0">
      <text>
        <r>
          <rPr>
            <b/>
            <sz val="9"/>
            <color indexed="81"/>
            <rFont val="Tahoma"/>
            <family val="2"/>
          </rPr>
          <t>Ingrid Malmgren:</t>
        </r>
        <r>
          <rPr>
            <sz val="9"/>
            <color indexed="81"/>
            <rFont val="Tahoma"/>
            <family val="2"/>
          </rPr>
          <t xml:space="preserve">
prescriptive rebate program</t>
        </r>
      </text>
    </comment>
    <comment ref="CS2" authorId="0">
      <text>
        <r>
          <rPr>
            <b/>
            <sz val="9"/>
            <color indexed="81"/>
            <rFont val="Tahoma"/>
            <family val="2"/>
          </rPr>
          <t>Ingrid Malmgren:</t>
        </r>
        <r>
          <rPr>
            <sz val="9"/>
            <color indexed="81"/>
            <rFont val="Tahoma"/>
            <family val="2"/>
          </rPr>
          <t xml:space="preserve">
prescriptive rebate program</t>
        </r>
      </text>
    </comment>
    <comment ref="CT2" authorId="0">
      <text>
        <r>
          <rPr>
            <b/>
            <sz val="9"/>
            <color indexed="81"/>
            <rFont val="Tahoma"/>
            <family val="2"/>
          </rPr>
          <t>Ingrid Malmgren:</t>
        </r>
        <r>
          <rPr>
            <sz val="9"/>
            <color indexed="81"/>
            <rFont val="Tahoma"/>
            <family val="2"/>
          </rPr>
          <t xml:space="preserve">
prescriptive rebate program</t>
        </r>
      </text>
    </comment>
    <comment ref="CU2" authorId="0">
      <text>
        <r>
          <rPr>
            <b/>
            <sz val="9"/>
            <color indexed="81"/>
            <rFont val="Tahoma"/>
            <family val="2"/>
          </rPr>
          <t>Ingrid Malmgren:</t>
        </r>
        <r>
          <rPr>
            <sz val="9"/>
            <color indexed="81"/>
            <rFont val="Tahoma"/>
            <family val="2"/>
          </rPr>
          <t xml:space="preserve">
prescriptive rebate program</t>
        </r>
      </text>
    </comment>
    <comment ref="CV2" authorId="0">
      <text>
        <r>
          <rPr>
            <b/>
            <sz val="9"/>
            <color indexed="81"/>
            <rFont val="Tahoma"/>
            <family val="2"/>
          </rPr>
          <t>Ingrid Malmgren:</t>
        </r>
        <r>
          <rPr>
            <sz val="9"/>
            <color indexed="81"/>
            <rFont val="Tahoma"/>
            <family val="2"/>
          </rPr>
          <t xml:space="preserve">
prescriptive rebate program</t>
        </r>
      </text>
    </comment>
    <comment ref="CW2" authorId="0">
      <text>
        <r>
          <rPr>
            <b/>
            <sz val="9"/>
            <color indexed="81"/>
            <rFont val="Tahoma"/>
            <family val="2"/>
          </rPr>
          <t>Ingrid Malmgren:</t>
        </r>
        <r>
          <rPr>
            <sz val="9"/>
            <color indexed="81"/>
            <rFont val="Tahoma"/>
            <family val="2"/>
          </rPr>
          <t xml:space="preserve">
prescriptive rebate program</t>
        </r>
      </text>
    </comment>
    <comment ref="CX2" authorId="0">
      <text>
        <r>
          <rPr>
            <b/>
            <sz val="9"/>
            <color indexed="81"/>
            <rFont val="Tahoma"/>
            <family val="2"/>
          </rPr>
          <t>Ingrid Malmgren:</t>
        </r>
        <r>
          <rPr>
            <sz val="9"/>
            <color indexed="81"/>
            <rFont val="Tahoma"/>
            <family val="2"/>
          </rPr>
          <t xml:space="preserve">
prescriptive rebate program</t>
        </r>
      </text>
    </comment>
    <comment ref="CY2" authorId="0">
      <text>
        <r>
          <rPr>
            <b/>
            <sz val="9"/>
            <color indexed="81"/>
            <rFont val="Tahoma"/>
            <family val="2"/>
          </rPr>
          <t>Ingrid Malmgren:</t>
        </r>
        <r>
          <rPr>
            <sz val="9"/>
            <color indexed="81"/>
            <rFont val="Tahoma"/>
            <family val="2"/>
          </rPr>
          <t xml:space="preserve">
prescriptive rebate program</t>
        </r>
      </text>
    </comment>
    <comment ref="CZ2" authorId="0">
      <text>
        <r>
          <rPr>
            <b/>
            <sz val="9"/>
            <color indexed="81"/>
            <rFont val="Tahoma"/>
            <family val="2"/>
          </rPr>
          <t>Ingrid Malmgren:</t>
        </r>
        <r>
          <rPr>
            <sz val="9"/>
            <color indexed="81"/>
            <rFont val="Tahoma"/>
            <family val="2"/>
          </rPr>
          <t xml:space="preserve">
prescriptive rebate program</t>
        </r>
      </text>
    </comment>
    <comment ref="DA2" authorId="0">
      <text>
        <r>
          <rPr>
            <b/>
            <sz val="9"/>
            <color indexed="81"/>
            <rFont val="Tahoma"/>
            <family val="2"/>
          </rPr>
          <t>Ingrid Malmgren:</t>
        </r>
        <r>
          <rPr>
            <sz val="9"/>
            <color indexed="81"/>
            <rFont val="Tahoma"/>
            <family val="2"/>
          </rPr>
          <t xml:space="preserve">
prescriptive rebate program</t>
        </r>
      </text>
    </comment>
    <comment ref="DB2" authorId="0">
      <text>
        <r>
          <rPr>
            <b/>
            <sz val="9"/>
            <color indexed="81"/>
            <rFont val="Tahoma"/>
            <family val="2"/>
          </rPr>
          <t>Ingrid Malmgren:</t>
        </r>
        <r>
          <rPr>
            <sz val="9"/>
            <color indexed="81"/>
            <rFont val="Tahoma"/>
            <family val="2"/>
          </rPr>
          <t xml:space="preserve">
prescriptive rebate program</t>
        </r>
      </text>
    </comment>
    <comment ref="DC2" authorId="0">
      <text>
        <r>
          <rPr>
            <b/>
            <sz val="9"/>
            <color indexed="81"/>
            <rFont val="Tahoma"/>
            <family val="2"/>
          </rPr>
          <t>Ingrid Malmgren:</t>
        </r>
        <r>
          <rPr>
            <sz val="9"/>
            <color indexed="81"/>
            <rFont val="Tahoma"/>
            <family val="2"/>
          </rPr>
          <t xml:space="preserve">
prescriptive rebate program</t>
        </r>
      </text>
    </comment>
    <comment ref="DD2" authorId="0">
      <text>
        <r>
          <rPr>
            <b/>
            <sz val="9"/>
            <color indexed="81"/>
            <rFont val="Tahoma"/>
            <family val="2"/>
          </rPr>
          <t>Ingrid Malmgren:</t>
        </r>
        <r>
          <rPr>
            <sz val="9"/>
            <color indexed="81"/>
            <rFont val="Tahoma"/>
            <family val="2"/>
          </rPr>
          <t xml:space="preserve">
prescriptive rebate program</t>
        </r>
      </text>
    </comment>
    <comment ref="DE2" authorId="0">
      <text>
        <r>
          <rPr>
            <b/>
            <sz val="9"/>
            <color indexed="81"/>
            <rFont val="Tahoma"/>
            <family val="2"/>
          </rPr>
          <t>Ingrid Malmgren:</t>
        </r>
        <r>
          <rPr>
            <sz val="9"/>
            <color indexed="81"/>
            <rFont val="Tahoma"/>
            <family val="2"/>
          </rPr>
          <t xml:space="preserve">
prescriptive rebate program</t>
        </r>
      </text>
    </comment>
    <comment ref="DF2" authorId="0">
      <text>
        <r>
          <rPr>
            <b/>
            <sz val="9"/>
            <color indexed="81"/>
            <rFont val="Tahoma"/>
            <family val="2"/>
          </rPr>
          <t>Ingrid Malmgren:</t>
        </r>
        <r>
          <rPr>
            <sz val="9"/>
            <color indexed="81"/>
            <rFont val="Tahoma"/>
            <family val="2"/>
          </rPr>
          <t xml:space="preserve">
prescriptive rebate program</t>
        </r>
      </text>
    </comment>
    <comment ref="DG2" authorId="0">
      <text>
        <r>
          <rPr>
            <b/>
            <sz val="9"/>
            <color indexed="81"/>
            <rFont val="Tahoma"/>
            <family val="2"/>
          </rPr>
          <t>Ingrid Malmgren:</t>
        </r>
        <r>
          <rPr>
            <sz val="9"/>
            <color indexed="81"/>
            <rFont val="Tahoma"/>
            <family val="2"/>
          </rPr>
          <t xml:space="preserve">
prescriptive rebate program</t>
        </r>
      </text>
    </comment>
    <comment ref="DH2" authorId="0">
      <text>
        <r>
          <rPr>
            <b/>
            <sz val="9"/>
            <color indexed="81"/>
            <rFont val="Tahoma"/>
            <family val="2"/>
          </rPr>
          <t>Ingrid Malmgren:</t>
        </r>
        <r>
          <rPr>
            <sz val="9"/>
            <color indexed="81"/>
            <rFont val="Tahoma"/>
            <family val="2"/>
          </rPr>
          <t xml:space="preserve">
prescriptive rebate program</t>
        </r>
      </text>
    </comment>
    <comment ref="DI2" authorId="0">
      <text>
        <r>
          <rPr>
            <b/>
            <sz val="9"/>
            <color indexed="81"/>
            <rFont val="Tahoma"/>
            <family val="2"/>
          </rPr>
          <t>Ingrid Malmgren:</t>
        </r>
        <r>
          <rPr>
            <sz val="9"/>
            <color indexed="81"/>
            <rFont val="Tahoma"/>
            <family val="2"/>
          </rPr>
          <t xml:space="preserve">
prescriptive rebate program</t>
        </r>
      </text>
    </comment>
    <comment ref="DJ2" authorId="0">
      <text>
        <r>
          <rPr>
            <b/>
            <sz val="9"/>
            <color indexed="81"/>
            <rFont val="Tahoma"/>
            <family val="2"/>
          </rPr>
          <t>Ingrid Malmgren:</t>
        </r>
        <r>
          <rPr>
            <sz val="9"/>
            <color indexed="81"/>
            <rFont val="Tahoma"/>
            <family val="2"/>
          </rPr>
          <t xml:space="preserve">
prescriptive rebate program</t>
        </r>
      </text>
    </comment>
    <comment ref="DK2" authorId="0">
      <text>
        <r>
          <rPr>
            <b/>
            <sz val="9"/>
            <color indexed="81"/>
            <rFont val="Tahoma"/>
            <family val="2"/>
          </rPr>
          <t>Ingrid Malmgren:</t>
        </r>
        <r>
          <rPr>
            <sz val="9"/>
            <color indexed="81"/>
            <rFont val="Tahoma"/>
            <family val="2"/>
          </rPr>
          <t xml:space="preserve">
prescriptive rebate program</t>
        </r>
      </text>
    </comment>
    <comment ref="DL2" authorId="0">
      <text>
        <r>
          <rPr>
            <b/>
            <sz val="9"/>
            <color indexed="81"/>
            <rFont val="Tahoma"/>
            <family val="2"/>
          </rPr>
          <t>Ingrid Malmgren:</t>
        </r>
        <r>
          <rPr>
            <sz val="9"/>
            <color indexed="81"/>
            <rFont val="Tahoma"/>
            <family val="2"/>
          </rPr>
          <t xml:space="preserve">
prescriptive rebate program</t>
        </r>
      </text>
    </comment>
    <comment ref="DM2" authorId="0">
      <text>
        <r>
          <rPr>
            <b/>
            <sz val="9"/>
            <color indexed="81"/>
            <rFont val="Tahoma"/>
            <family val="2"/>
          </rPr>
          <t>Ingrid Malmgren:</t>
        </r>
        <r>
          <rPr>
            <sz val="9"/>
            <color indexed="81"/>
            <rFont val="Tahoma"/>
            <family val="2"/>
          </rPr>
          <t xml:space="preserve">
prescriptive rebate program</t>
        </r>
      </text>
    </comment>
    <comment ref="DN2" authorId="0">
      <text>
        <r>
          <rPr>
            <b/>
            <sz val="9"/>
            <color indexed="81"/>
            <rFont val="Tahoma"/>
            <family val="2"/>
          </rPr>
          <t>Ingrid Malmgren:</t>
        </r>
        <r>
          <rPr>
            <sz val="9"/>
            <color indexed="81"/>
            <rFont val="Tahoma"/>
            <family val="2"/>
          </rPr>
          <t xml:space="preserve">
prescriptive rebate program</t>
        </r>
      </text>
    </comment>
    <comment ref="DO2" authorId="0">
      <text>
        <r>
          <rPr>
            <b/>
            <sz val="9"/>
            <color indexed="81"/>
            <rFont val="Tahoma"/>
            <family val="2"/>
          </rPr>
          <t>Ingrid Malmgren:</t>
        </r>
        <r>
          <rPr>
            <sz val="9"/>
            <color indexed="81"/>
            <rFont val="Tahoma"/>
            <family val="2"/>
          </rPr>
          <t xml:space="preserve">
prescriptive rebate program</t>
        </r>
      </text>
    </comment>
    <comment ref="DP2" authorId="0">
      <text>
        <r>
          <rPr>
            <b/>
            <sz val="9"/>
            <color indexed="81"/>
            <rFont val="Tahoma"/>
            <family val="2"/>
          </rPr>
          <t>Ingrid Malmgren:</t>
        </r>
        <r>
          <rPr>
            <sz val="9"/>
            <color indexed="81"/>
            <rFont val="Tahoma"/>
            <family val="2"/>
          </rPr>
          <t xml:space="preserve">
prescriptive rebate program</t>
        </r>
      </text>
    </comment>
    <comment ref="DQ2" authorId="0">
      <text>
        <r>
          <rPr>
            <b/>
            <sz val="9"/>
            <color indexed="81"/>
            <rFont val="Tahoma"/>
            <family val="2"/>
          </rPr>
          <t>Ingrid Malmgren:</t>
        </r>
        <r>
          <rPr>
            <sz val="9"/>
            <color indexed="81"/>
            <rFont val="Tahoma"/>
            <family val="2"/>
          </rPr>
          <t xml:space="preserve">
prescriptive rebate program</t>
        </r>
      </text>
    </comment>
    <comment ref="DR2" authorId="0">
      <text>
        <r>
          <rPr>
            <b/>
            <sz val="9"/>
            <color indexed="81"/>
            <rFont val="Tahoma"/>
            <family val="2"/>
          </rPr>
          <t>Ingrid Malmgren:</t>
        </r>
        <r>
          <rPr>
            <sz val="9"/>
            <color indexed="81"/>
            <rFont val="Tahoma"/>
            <family val="2"/>
          </rPr>
          <t xml:space="preserve">
prescriptive rebate program</t>
        </r>
      </text>
    </comment>
    <comment ref="DS2" authorId="0">
      <text>
        <r>
          <rPr>
            <b/>
            <sz val="9"/>
            <color indexed="81"/>
            <rFont val="Tahoma"/>
            <family val="2"/>
          </rPr>
          <t>Ingrid Malmgren:</t>
        </r>
        <r>
          <rPr>
            <sz val="9"/>
            <color indexed="81"/>
            <rFont val="Tahoma"/>
            <family val="2"/>
          </rPr>
          <t xml:space="preserve">
prescriptive rebate program</t>
        </r>
      </text>
    </comment>
    <comment ref="DT2" authorId="0">
      <text>
        <r>
          <rPr>
            <b/>
            <sz val="9"/>
            <color indexed="81"/>
            <rFont val="Tahoma"/>
            <family val="2"/>
          </rPr>
          <t>Ingrid Malmgren:</t>
        </r>
        <r>
          <rPr>
            <sz val="9"/>
            <color indexed="81"/>
            <rFont val="Tahoma"/>
            <family val="2"/>
          </rPr>
          <t xml:space="preserve">
prescriptive rebate program</t>
        </r>
      </text>
    </comment>
    <comment ref="DU2" authorId="0">
      <text>
        <r>
          <rPr>
            <b/>
            <sz val="9"/>
            <color indexed="81"/>
            <rFont val="Tahoma"/>
            <family val="2"/>
          </rPr>
          <t>Ingrid Malmgren:</t>
        </r>
        <r>
          <rPr>
            <sz val="9"/>
            <color indexed="81"/>
            <rFont val="Tahoma"/>
            <family val="2"/>
          </rPr>
          <t xml:space="preserve">
prescriptive rebate program</t>
        </r>
      </text>
    </comment>
    <comment ref="DV2" authorId="0">
      <text>
        <r>
          <rPr>
            <b/>
            <sz val="9"/>
            <color indexed="81"/>
            <rFont val="Tahoma"/>
            <family val="2"/>
          </rPr>
          <t>Ingrid Malmgren:</t>
        </r>
        <r>
          <rPr>
            <sz val="9"/>
            <color indexed="81"/>
            <rFont val="Tahoma"/>
            <family val="2"/>
          </rPr>
          <t xml:space="preserve">
prescriptive rebate program</t>
        </r>
      </text>
    </comment>
    <comment ref="DW2" authorId="0">
      <text>
        <r>
          <rPr>
            <b/>
            <sz val="9"/>
            <color indexed="81"/>
            <rFont val="Tahoma"/>
            <family val="2"/>
          </rPr>
          <t>Ingrid Malmgren:</t>
        </r>
        <r>
          <rPr>
            <sz val="9"/>
            <color indexed="81"/>
            <rFont val="Tahoma"/>
            <family val="2"/>
          </rPr>
          <t xml:space="preserve">
prescriptive rebate program</t>
        </r>
      </text>
    </comment>
    <comment ref="DX2" authorId="0">
      <text>
        <r>
          <rPr>
            <b/>
            <sz val="9"/>
            <color indexed="81"/>
            <rFont val="Tahoma"/>
            <family val="2"/>
          </rPr>
          <t>Ingrid Malmgren:</t>
        </r>
        <r>
          <rPr>
            <sz val="9"/>
            <color indexed="81"/>
            <rFont val="Tahoma"/>
            <family val="2"/>
          </rPr>
          <t xml:space="preserve">
prescriptive rebate program</t>
        </r>
      </text>
    </comment>
    <comment ref="DY2" authorId="0">
      <text>
        <r>
          <rPr>
            <b/>
            <sz val="9"/>
            <color indexed="81"/>
            <rFont val="Tahoma"/>
            <family val="2"/>
          </rPr>
          <t>Ingrid Malmgren:</t>
        </r>
        <r>
          <rPr>
            <sz val="9"/>
            <color indexed="81"/>
            <rFont val="Tahoma"/>
            <family val="2"/>
          </rPr>
          <t xml:space="preserve">
prescriptive rebate program</t>
        </r>
      </text>
    </comment>
    <comment ref="DZ2" authorId="0">
      <text>
        <r>
          <rPr>
            <b/>
            <sz val="9"/>
            <color indexed="81"/>
            <rFont val="Tahoma"/>
            <family val="2"/>
          </rPr>
          <t>Ingrid Malmgren:</t>
        </r>
        <r>
          <rPr>
            <sz val="9"/>
            <color indexed="81"/>
            <rFont val="Tahoma"/>
            <family val="2"/>
          </rPr>
          <t xml:space="preserve">
prescriptive rebate program</t>
        </r>
      </text>
    </comment>
    <comment ref="EA2" authorId="0">
      <text>
        <r>
          <rPr>
            <b/>
            <sz val="9"/>
            <color indexed="81"/>
            <rFont val="Tahoma"/>
            <family val="2"/>
          </rPr>
          <t>Ingrid Malmgren:</t>
        </r>
        <r>
          <rPr>
            <sz val="9"/>
            <color indexed="81"/>
            <rFont val="Tahoma"/>
            <family val="2"/>
          </rPr>
          <t xml:space="preserve">
prescriptive rebate program</t>
        </r>
      </text>
    </comment>
    <comment ref="EB2" authorId="0">
      <text>
        <r>
          <rPr>
            <b/>
            <sz val="9"/>
            <color indexed="81"/>
            <rFont val="Tahoma"/>
            <family val="2"/>
          </rPr>
          <t>Ingrid Malmgren:</t>
        </r>
        <r>
          <rPr>
            <sz val="9"/>
            <color indexed="81"/>
            <rFont val="Tahoma"/>
            <family val="2"/>
          </rPr>
          <t xml:space="preserve">
prescriptive rebate program</t>
        </r>
      </text>
    </comment>
    <comment ref="EC2" authorId="0">
      <text>
        <r>
          <rPr>
            <b/>
            <sz val="9"/>
            <color indexed="81"/>
            <rFont val="Tahoma"/>
            <family val="2"/>
          </rPr>
          <t>Ingrid Malmgren:</t>
        </r>
        <r>
          <rPr>
            <sz val="9"/>
            <color indexed="81"/>
            <rFont val="Tahoma"/>
            <family val="2"/>
          </rPr>
          <t xml:space="preserve">
prescriptive rebate program</t>
        </r>
      </text>
    </comment>
    <comment ref="ED2" authorId="0">
      <text>
        <r>
          <rPr>
            <b/>
            <sz val="9"/>
            <color indexed="81"/>
            <rFont val="Tahoma"/>
            <family val="2"/>
          </rPr>
          <t>Ingrid Malmgren:</t>
        </r>
        <r>
          <rPr>
            <sz val="9"/>
            <color indexed="81"/>
            <rFont val="Tahoma"/>
            <family val="2"/>
          </rPr>
          <t xml:space="preserve">
prescriptive rebate program</t>
        </r>
      </text>
    </comment>
    <comment ref="EE2" authorId="0">
      <text>
        <r>
          <rPr>
            <b/>
            <sz val="9"/>
            <color indexed="81"/>
            <rFont val="Tahoma"/>
            <family val="2"/>
          </rPr>
          <t>Ingrid Malmgren:</t>
        </r>
        <r>
          <rPr>
            <sz val="9"/>
            <color indexed="81"/>
            <rFont val="Tahoma"/>
            <family val="2"/>
          </rPr>
          <t xml:space="preserve">
prescriptive rebate program</t>
        </r>
      </text>
    </comment>
    <comment ref="EF2" authorId="0">
      <text>
        <r>
          <rPr>
            <b/>
            <sz val="9"/>
            <color indexed="81"/>
            <rFont val="Tahoma"/>
            <family val="2"/>
          </rPr>
          <t>Ingrid Malmgren:</t>
        </r>
        <r>
          <rPr>
            <sz val="9"/>
            <color indexed="81"/>
            <rFont val="Tahoma"/>
            <family val="2"/>
          </rPr>
          <t xml:space="preserve">
prescriptive rebate program</t>
        </r>
      </text>
    </comment>
    <comment ref="EG2" authorId="0">
      <text>
        <r>
          <rPr>
            <b/>
            <sz val="9"/>
            <color indexed="81"/>
            <rFont val="Tahoma"/>
            <family val="2"/>
          </rPr>
          <t>Ingrid Malmgren:</t>
        </r>
        <r>
          <rPr>
            <sz val="9"/>
            <color indexed="81"/>
            <rFont val="Tahoma"/>
            <family val="2"/>
          </rPr>
          <t xml:space="preserve">
prescriptive rebate program</t>
        </r>
      </text>
    </comment>
    <comment ref="EH2" authorId="0">
      <text>
        <r>
          <rPr>
            <b/>
            <sz val="9"/>
            <color indexed="81"/>
            <rFont val="Tahoma"/>
            <family val="2"/>
          </rPr>
          <t>Ingrid Malmgren:</t>
        </r>
        <r>
          <rPr>
            <sz val="9"/>
            <color indexed="81"/>
            <rFont val="Tahoma"/>
            <family val="2"/>
          </rPr>
          <t xml:space="preserve">
prescriptive rebate program</t>
        </r>
      </text>
    </comment>
    <comment ref="EI2" authorId="0">
      <text>
        <r>
          <rPr>
            <b/>
            <sz val="9"/>
            <color indexed="81"/>
            <rFont val="Tahoma"/>
            <family val="2"/>
          </rPr>
          <t>Ingrid Malmgren:</t>
        </r>
        <r>
          <rPr>
            <sz val="9"/>
            <color indexed="81"/>
            <rFont val="Tahoma"/>
            <family val="2"/>
          </rPr>
          <t xml:space="preserve">
prescriptive rebate program</t>
        </r>
      </text>
    </comment>
    <comment ref="EJ2" authorId="0">
      <text>
        <r>
          <rPr>
            <b/>
            <sz val="9"/>
            <color indexed="81"/>
            <rFont val="Tahoma"/>
            <family val="2"/>
          </rPr>
          <t>Ingrid Malmgren:</t>
        </r>
        <r>
          <rPr>
            <sz val="9"/>
            <color indexed="81"/>
            <rFont val="Tahoma"/>
            <family val="2"/>
          </rPr>
          <t xml:space="preserve">
prescriptive rebate program</t>
        </r>
      </text>
    </comment>
    <comment ref="EK2" authorId="0">
      <text>
        <r>
          <rPr>
            <b/>
            <sz val="9"/>
            <color indexed="81"/>
            <rFont val="Tahoma"/>
            <family val="2"/>
          </rPr>
          <t>Ingrid Malmgren:</t>
        </r>
        <r>
          <rPr>
            <sz val="9"/>
            <color indexed="81"/>
            <rFont val="Tahoma"/>
            <family val="2"/>
          </rPr>
          <t xml:space="preserve">
prescriptive rebate program</t>
        </r>
      </text>
    </comment>
    <comment ref="EL2" authorId="0">
      <text>
        <r>
          <rPr>
            <b/>
            <sz val="9"/>
            <color indexed="81"/>
            <rFont val="Tahoma"/>
            <family val="2"/>
          </rPr>
          <t>Ingrid Malmgren:</t>
        </r>
        <r>
          <rPr>
            <sz val="9"/>
            <color indexed="81"/>
            <rFont val="Tahoma"/>
            <family val="2"/>
          </rPr>
          <t xml:space="preserve">
prescriptive rebate program</t>
        </r>
      </text>
    </comment>
    <comment ref="EM2" authorId="0">
      <text>
        <r>
          <rPr>
            <b/>
            <sz val="9"/>
            <color indexed="81"/>
            <rFont val="Tahoma"/>
            <family val="2"/>
          </rPr>
          <t>Ingrid Malmgren:</t>
        </r>
        <r>
          <rPr>
            <sz val="9"/>
            <color indexed="81"/>
            <rFont val="Tahoma"/>
            <family val="2"/>
          </rPr>
          <t xml:space="preserve">
prescriptive rebate program</t>
        </r>
      </text>
    </comment>
    <comment ref="EN2" authorId="0">
      <text>
        <r>
          <rPr>
            <b/>
            <sz val="9"/>
            <color indexed="81"/>
            <rFont val="Tahoma"/>
            <family val="2"/>
          </rPr>
          <t>Ingrid Malmgren:</t>
        </r>
        <r>
          <rPr>
            <sz val="9"/>
            <color indexed="81"/>
            <rFont val="Tahoma"/>
            <family val="2"/>
          </rPr>
          <t xml:space="preserve">
prescriptive rebate program</t>
        </r>
      </text>
    </comment>
    <comment ref="EO2" authorId="0">
      <text>
        <r>
          <rPr>
            <b/>
            <sz val="9"/>
            <color indexed="81"/>
            <rFont val="Tahoma"/>
            <family val="2"/>
          </rPr>
          <t>Ingrid Malmgren:</t>
        </r>
        <r>
          <rPr>
            <sz val="9"/>
            <color indexed="81"/>
            <rFont val="Tahoma"/>
            <family val="2"/>
          </rPr>
          <t xml:space="preserve">
prescriptive rebate program</t>
        </r>
      </text>
    </comment>
    <comment ref="EP2" authorId="0">
      <text>
        <r>
          <rPr>
            <b/>
            <sz val="9"/>
            <color indexed="81"/>
            <rFont val="Tahoma"/>
            <family val="2"/>
          </rPr>
          <t>Ingrid Malmgren:</t>
        </r>
        <r>
          <rPr>
            <sz val="9"/>
            <color indexed="81"/>
            <rFont val="Tahoma"/>
            <family val="2"/>
          </rPr>
          <t xml:space="preserve">
prescriptive rebate program</t>
        </r>
      </text>
    </comment>
    <comment ref="EQ2" authorId="0">
      <text>
        <r>
          <rPr>
            <b/>
            <sz val="9"/>
            <color indexed="81"/>
            <rFont val="Tahoma"/>
            <family val="2"/>
          </rPr>
          <t>Ingrid Malmgren:</t>
        </r>
        <r>
          <rPr>
            <sz val="9"/>
            <color indexed="81"/>
            <rFont val="Tahoma"/>
            <family val="2"/>
          </rPr>
          <t xml:space="preserve">
prescriptive rebate program</t>
        </r>
      </text>
    </comment>
    <comment ref="ER2" authorId="0">
      <text>
        <r>
          <rPr>
            <b/>
            <sz val="9"/>
            <color indexed="81"/>
            <rFont val="Tahoma"/>
            <family val="2"/>
          </rPr>
          <t>Ingrid Malmgren:</t>
        </r>
        <r>
          <rPr>
            <sz val="9"/>
            <color indexed="81"/>
            <rFont val="Tahoma"/>
            <family val="2"/>
          </rPr>
          <t xml:space="preserve">
prescriptive rebate program</t>
        </r>
      </text>
    </comment>
    <comment ref="ES2" authorId="0">
      <text>
        <r>
          <rPr>
            <b/>
            <sz val="9"/>
            <color indexed="81"/>
            <rFont val="Tahoma"/>
            <family val="2"/>
          </rPr>
          <t>Ingrid Malmgren:</t>
        </r>
        <r>
          <rPr>
            <sz val="9"/>
            <color indexed="81"/>
            <rFont val="Tahoma"/>
            <family val="2"/>
          </rPr>
          <t xml:space="preserve">
prescriptive rebate program</t>
        </r>
      </text>
    </comment>
    <comment ref="ET2" authorId="0">
      <text>
        <r>
          <rPr>
            <b/>
            <sz val="9"/>
            <color indexed="81"/>
            <rFont val="Tahoma"/>
            <family val="2"/>
          </rPr>
          <t>Ingrid Malmgren:</t>
        </r>
        <r>
          <rPr>
            <sz val="9"/>
            <color indexed="81"/>
            <rFont val="Tahoma"/>
            <family val="2"/>
          </rPr>
          <t xml:space="preserve">
prescriptive rebate program</t>
        </r>
      </text>
    </comment>
    <comment ref="EU2" authorId="0">
      <text>
        <r>
          <rPr>
            <b/>
            <sz val="9"/>
            <color indexed="81"/>
            <rFont val="Tahoma"/>
            <family val="2"/>
          </rPr>
          <t>Ingrid Malmgren:</t>
        </r>
        <r>
          <rPr>
            <sz val="9"/>
            <color indexed="81"/>
            <rFont val="Tahoma"/>
            <family val="2"/>
          </rPr>
          <t xml:space="preserve">
prescriptive rebate program</t>
        </r>
      </text>
    </comment>
    <comment ref="EV2" authorId="0">
      <text>
        <r>
          <rPr>
            <b/>
            <sz val="9"/>
            <color indexed="81"/>
            <rFont val="Tahoma"/>
            <family val="2"/>
          </rPr>
          <t>Ingrid Malmgren:</t>
        </r>
        <r>
          <rPr>
            <sz val="9"/>
            <color indexed="81"/>
            <rFont val="Tahoma"/>
            <family val="2"/>
          </rPr>
          <t xml:space="preserve">
prescriptive rebate program</t>
        </r>
      </text>
    </comment>
    <comment ref="EW2" authorId="0">
      <text>
        <r>
          <rPr>
            <b/>
            <sz val="9"/>
            <color indexed="81"/>
            <rFont val="Tahoma"/>
            <family val="2"/>
          </rPr>
          <t>Ingrid Malmgren:</t>
        </r>
        <r>
          <rPr>
            <sz val="9"/>
            <color indexed="81"/>
            <rFont val="Tahoma"/>
            <family val="2"/>
          </rPr>
          <t xml:space="preserve">
prescriptive rebate program</t>
        </r>
      </text>
    </comment>
    <comment ref="EX2" authorId="0">
      <text>
        <r>
          <rPr>
            <b/>
            <sz val="9"/>
            <color indexed="81"/>
            <rFont val="Tahoma"/>
            <family val="2"/>
          </rPr>
          <t>Ingrid Malmgren:</t>
        </r>
        <r>
          <rPr>
            <sz val="9"/>
            <color indexed="81"/>
            <rFont val="Tahoma"/>
            <family val="2"/>
          </rPr>
          <t xml:space="preserve">
prescriptive rebate program</t>
        </r>
      </text>
    </comment>
    <comment ref="EY2" authorId="0">
      <text>
        <r>
          <rPr>
            <b/>
            <sz val="9"/>
            <color indexed="81"/>
            <rFont val="Tahoma"/>
            <family val="2"/>
          </rPr>
          <t>Ingrid Malmgren:</t>
        </r>
        <r>
          <rPr>
            <sz val="9"/>
            <color indexed="81"/>
            <rFont val="Tahoma"/>
            <family val="2"/>
          </rPr>
          <t xml:space="preserve">
prescriptive rebate program</t>
        </r>
      </text>
    </comment>
    <comment ref="EZ2" authorId="0">
      <text>
        <r>
          <rPr>
            <b/>
            <sz val="9"/>
            <color indexed="81"/>
            <rFont val="Tahoma"/>
            <family val="2"/>
          </rPr>
          <t>Ingrid Malmgren:</t>
        </r>
        <r>
          <rPr>
            <sz val="9"/>
            <color indexed="81"/>
            <rFont val="Tahoma"/>
            <family val="2"/>
          </rPr>
          <t xml:space="preserve">
prescriptive rebate program</t>
        </r>
      </text>
    </comment>
    <comment ref="FA2" authorId="0">
      <text>
        <r>
          <rPr>
            <b/>
            <sz val="9"/>
            <color indexed="81"/>
            <rFont val="Tahoma"/>
            <family val="2"/>
          </rPr>
          <t>Ingrid Malmgren:</t>
        </r>
        <r>
          <rPr>
            <sz val="9"/>
            <color indexed="81"/>
            <rFont val="Tahoma"/>
            <family val="2"/>
          </rPr>
          <t xml:space="preserve">
prescriptive rebate program</t>
        </r>
      </text>
    </comment>
    <comment ref="FB2" authorId="0">
      <text>
        <r>
          <rPr>
            <b/>
            <sz val="9"/>
            <color indexed="81"/>
            <rFont val="Tahoma"/>
            <family val="2"/>
          </rPr>
          <t>Ingrid Malmgren:</t>
        </r>
        <r>
          <rPr>
            <sz val="9"/>
            <color indexed="81"/>
            <rFont val="Tahoma"/>
            <family val="2"/>
          </rPr>
          <t xml:space="preserve">
prescriptive rebate program</t>
        </r>
      </text>
    </comment>
    <comment ref="FC2" authorId="0">
      <text>
        <r>
          <rPr>
            <b/>
            <sz val="9"/>
            <color indexed="81"/>
            <rFont val="Tahoma"/>
            <family val="2"/>
          </rPr>
          <t>Ingrid Malmgren:</t>
        </r>
        <r>
          <rPr>
            <sz val="9"/>
            <color indexed="81"/>
            <rFont val="Tahoma"/>
            <family val="2"/>
          </rPr>
          <t xml:space="preserve">
prescriptive rebate program</t>
        </r>
      </text>
    </comment>
    <comment ref="FD2" authorId="0">
      <text>
        <r>
          <rPr>
            <b/>
            <sz val="9"/>
            <color indexed="81"/>
            <rFont val="Tahoma"/>
            <family val="2"/>
          </rPr>
          <t>Ingrid Malmgren:</t>
        </r>
        <r>
          <rPr>
            <sz val="9"/>
            <color indexed="81"/>
            <rFont val="Tahoma"/>
            <family val="2"/>
          </rPr>
          <t xml:space="preserve">
prescriptive rebate program</t>
        </r>
      </text>
    </comment>
    <comment ref="FE2" authorId="0">
      <text>
        <r>
          <rPr>
            <b/>
            <sz val="9"/>
            <color indexed="81"/>
            <rFont val="Tahoma"/>
            <family val="2"/>
          </rPr>
          <t>Ingrid Malmgren:</t>
        </r>
        <r>
          <rPr>
            <sz val="9"/>
            <color indexed="81"/>
            <rFont val="Tahoma"/>
            <family val="2"/>
          </rPr>
          <t xml:space="preserve">
prescriptive rebate program</t>
        </r>
      </text>
    </comment>
    <comment ref="FF2" authorId="0">
      <text>
        <r>
          <rPr>
            <b/>
            <sz val="9"/>
            <color indexed="81"/>
            <rFont val="Tahoma"/>
            <family val="2"/>
          </rPr>
          <t>Ingrid Malmgren:</t>
        </r>
        <r>
          <rPr>
            <sz val="9"/>
            <color indexed="81"/>
            <rFont val="Tahoma"/>
            <family val="2"/>
          </rPr>
          <t xml:space="preserve">
prescriptive rebate program</t>
        </r>
      </text>
    </comment>
    <comment ref="FG2" authorId="0">
      <text>
        <r>
          <rPr>
            <b/>
            <sz val="9"/>
            <color indexed="81"/>
            <rFont val="Tahoma"/>
            <family val="2"/>
          </rPr>
          <t>Ingrid Malmgren:</t>
        </r>
        <r>
          <rPr>
            <sz val="9"/>
            <color indexed="81"/>
            <rFont val="Tahoma"/>
            <family val="2"/>
          </rPr>
          <t xml:space="preserve">
prescriptive rebate program</t>
        </r>
      </text>
    </comment>
    <comment ref="FH2" authorId="0">
      <text>
        <r>
          <rPr>
            <b/>
            <sz val="9"/>
            <color indexed="81"/>
            <rFont val="Tahoma"/>
            <family val="2"/>
          </rPr>
          <t>Ingrid Malmgren:</t>
        </r>
        <r>
          <rPr>
            <sz val="9"/>
            <color indexed="81"/>
            <rFont val="Tahoma"/>
            <family val="2"/>
          </rPr>
          <t xml:space="preserve">
prescriptive rebate program</t>
        </r>
      </text>
    </comment>
    <comment ref="FI2" authorId="0">
      <text>
        <r>
          <rPr>
            <b/>
            <sz val="9"/>
            <color indexed="81"/>
            <rFont val="Tahoma"/>
            <family val="2"/>
          </rPr>
          <t>Ingrid Malmgren:</t>
        </r>
        <r>
          <rPr>
            <sz val="9"/>
            <color indexed="81"/>
            <rFont val="Tahoma"/>
            <family val="2"/>
          </rPr>
          <t xml:space="preserve">
prescriptive rebate program</t>
        </r>
      </text>
    </comment>
    <comment ref="FJ2" authorId="0">
      <text>
        <r>
          <rPr>
            <b/>
            <sz val="9"/>
            <color indexed="81"/>
            <rFont val="Tahoma"/>
            <family val="2"/>
          </rPr>
          <t>Ingrid Malmgren:</t>
        </r>
        <r>
          <rPr>
            <sz val="9"/>
            <color indexed="81"/>
            <rFont val="Tahoma"/>
            <family val="2"/>
          </rPr>
          <t xml:space="preserve">
prescriptive rebate program</t>
        </r>
      </text>
    </comment>
    <comment ref="FK2" authorId="0">
      <text>
        <r>
          <rPr>
            <b/>
            <sz val="9"/>
            <color indexed="81"/>
            <rFont val="Tahoma"/>
            <family val="2"/>
          </rPr>
          <t>Ingrid Malmgren:</t>
        </r>
        <r>
          <rPr>
            <sz val="9"/>
            <color indexed="81"/>
            <rFont val="Tahoma"/>
            <family val="2"/>
          </rPr>
          <t xml:space="preserve">
prescriptive rebate program</t>
        </r>
      </text>
    </comment>
    <comment ref="FL2" authorId="0">
      <text>
        <r>
          <rPr>
            <b/>
            <sz val="9"/>
            <color indexed="81"/>
            <rFont val="Tahoma"/>
            <family val="2"/>
          </rPr>
          <t>Ingrid Malmgren:</t>
        </r>
        <r>
          <rPr>
            <sz val="9"/>
            <color indexed="81"/>
            <rFont val="Tahoma"/>
            <family val="2"/>
          </rPr>
          <t xml:space="preserve">
prescriptive rebate program</t>
        </r>
      </text>
    </comment>
    <comment ref="FM2" authorId="0">
      <text>
        <r>
          <rPr>
            <b/>
            <sz val="9"/>
            <color indexed="81"/>
            <rFont val="Tahoma"/>
            <family val="2"/>
          </rPr>
          <t>Ingrid Malmgren:</t>
        </r>
        <r>
          <rPr>
            <sz val="9"/>
            <color indexed="81"/>
            <rFont val="Tahoma"/>
            <family val="2"/>
          </rPr>
          <t xml:space="preserve">
prescriptive rebate program</t>
        </r>
      </text>
    </comment>
    <comment ref="FN2" authorId="0">
      <text>
        <r>
          <rPr>
            <b/>
            <sz val="9"/>
            <color indexed="81"/>
            <rFont val="Tahoma"/>
            <family val="2"/>
          </rPr>
          <t>Ingrid Malmgren:</t>
        </r>
        <r>
          <rPr>
            <sz val="9"/>
            <color indexed="81"/>
            <rFont val="Tahoma"/>
            <family val="2"/>
          </rPr>
          <t xml:space="preserve">
prescriptive rebate program</t>
        </r>
      </text>
    </comment>
    <comment ref="FO2" authorId="0">
      <text>
        <r>
          <rPr>
            <b/>
            <sz val="9"/>
            <color indexed="81"/>
            <rFont val="Tahoma"/>
            <family val="2"/>
          </rPr>
          <t>Ingrid Malmgren:</t>
        </r>
        <r>
          <rPr>
            <sz val="9"/>
            <color indexed="81"/>
            <rFont val="Tahoma"/>
            <family val="2"/>
          </rPr>
          <t xml:space="preserve">
prescriptive rebate program</t>
        </r>
      </text>
    </comment>
    <comment ref="FP2" authorId="0">
      <text>
        <r>
          <rPr>
            <b/>
            <sz val="9"/>
            <color indexed="81"/>
            <rFont val="Tahoma"/>
            <family val="2"/>
          </rPr>
          <t>Ingrid Malmgren:</t>
        </r>
        <r>
          <rPr>
            <sz val="9"/>
            <color indexed="81"/>
            <rFont val="Tahoma"/>
            <family val="2"/>
          </rPr>
          <t xml:space="preserve">
prescriptive rebate program</t>
        </r>
      </text>
    </comment>
    <comment ref="FQ2" authorId="0">
      <text>
        <r>
          <rPr>
            <b/>
            <sz val="9"/>
            <color indexed="81"/>
            <rFont val="Tahoma"/>
            <family val="2"/>
          </rPr>
          <t>Ingrid Malmgren:</t>
        </r>
        <r>
          <rPr>
            <sz val="9"/>
            <color indexed="81"/>
            <rFont val="Tahoma"/>
            <family val="2"/>
          </rPr>
          <t xml:space="preserve">
prescriptive rebate program</t>
        </r>
      </text>
    </comment>
    <comment ref="FR2" authorId="0">
      <text>
        <r>
          <rPr>
            <b/>
            <sz val="9"/>
            <color indexed="81"/>
            <rFont val="Tahoma"/>
            <family val="2"/>
          </rPr>
          <t>Ingrid Malmgren:</t>
        </r>
        <r>
          <rPr>
            <sz val="9"/>
            <color indexed="81"/>
            <rFont val="Tahoma"/>
            <family val="2"/>
          </rPr>
          <t xml:space="preserve">
prescriptive rebate program</t>
        </r>
      </text>
    </comment>
    <comment ref="FS2" authorId="0">
      <text>
        <r>
          <rPr>
            <b/>
            <sz val="9"/>
            <color indexed="81"/>
            <rFont val="Tahoma"/>
            <family val="2"/>
          </rPr>
          <t>Ingrid Malmgren:</t>
        </r>
        <r>
          <rPr>
            <sz val="9"/>
            <color indexed="81"/>
            <rFont val="Tahoma"/>
            <family val="2"/>
          </rPr>
          <t xml:space="preserve">
prescriptive rebate program</t>
        </r>
      </text>
    </comment>
    <comment ref="FT2" authorId="0">
      <text>
        <r>
          <rPr>
            <b/>
            <sz val="9"/>
            <color indexed="81"/>
            <rFont val="Tahoma"/>
            <family val="2"/>
          </rPr>
          <t>Ingrid Malmgren:</t>
        </r>
        <r>
          <rPr>
            <sz val="9"/>
            <color indexed="81"/>
            <rFont val="Tahoma"/>
            <family val="2"/>
          </rPr>
          <t xml:space="preserve">
prescriptive rebate program</t>
        </r>
      </text>
    </comment>
    <comment ref="FU2" authorId="0">
      <text>
        <r>
          <rPr>
            <b/>
            <sz val="9"/>
            <color indexed="81"/>
            <rFont val="Tahoma"/>
            <family val="2"/>
          </rPr>
          <t>Ingrid Malmgren:</t>
        </r>
        <r>
          <rPr>
            <sz val="9"/>
            <color indexed="81"/>
            <rFont val="Tahoma"/>
            <family val="2"/>
          </rPr>
          <t xml:space="preserve">
prescriptive rebate program</t>
        </r>
      </text>
    </comment>
    <comment ref="FV2" authorId="0">
      <text>
        <r>
          <rPr>
            <b/>
            <sz val="9"/>
            <color indexed="81"/>
            <rFont val="Tahoma"/>
            <family val="2"/>
          </rPr>
          <t>Ingrid Malmgren:</t>
        </r>
        <r>
          <rPr>
            <sz val="9"/>
            <color indexed="81"/>
            <rFont val="Tahoma"/>
            <family val="2"/>
          </rPr>
          <t xml:space="preserve">
prescriptive rebate program</t>
        </r>
      </text>
    </comment>
    <comment ref="FW2" authorId="0">
      <text>
        <r>
          <rPr>
            <b/>
            <sz val="9"/>
            <color indexed="81"/>
            <rFont val="Tahoma"/>
            <family val="2"/>
          </rPr>
          <t>Ingrid Malmgren:</t>
        </r>
        <r>
          <rPr>
            <sz val="9"/>
            <color indexed="81"/>
            <rFont val="Tahoma"/>
            <family val="2"/>
          </rPr>
          <t xml:space="preserve">
prescriptive rebate program</t>
        </r>
      </text>
    </comment>
    <comment ref="FX2" authorId="0">
      <text>
        <r>
          <rPr>
            <b/>
            <sz val="9"/>
            <color indexed="81"/>
            <rFont val="Tahoma"/>
            <family val="2"/>
          </rPr>
          <t>Ingrid Malmgren:</t>
        </r>
        <r>
          <rPr>
            <sz val="9"/>
            <color indexed="81"/>
            <rFont val="Tahoma"/>
            <family val="2"/>
          </rPr>
          <t xml:space="preserve">
prescriptive rebate program</t>
        </r>
      </text>
    </comment>
    <comment ref="FY2" authorId="0">
      <text>
        <r>
          <rPr>
            <b/>
            <sz val="9"/>
            <color indexed="81"/>
            <rFont val="Tahoma"/>
            <family val="2"/>
          </rPr>
          <t>Ingrid Malmgren:</t>
        </r>
        <r>
          <rPr>
            <sz val="9"/>
            <color indexed="81"/>
            <rFont val="Tahoma"/>
            <family val="2"/>
          </rPr>
          <t xml:space="preserve">
prescriptive rebate program</t>
        </r>
      </text>
    </comment>
    <comment ref="FZ2" authorId="0">
      <text>
        <r>
          <rPr>
            <b/>
            <sz val="9"/>
            <color indexed="81"/>
            <rFont val="Tahoma"/>
            <family val="2"/>
          </rPr>
          <t>Ingrid Malmgren:</t>
        </r>
        <r>
          <rPr>
            <sz val="9"/>
            <color indexed="81"/>
            <rFont val="Tahoma"/>
            <family val="2"/>
          </rPr>
          <t xml:space="preserve">
prescriptive rebate program</t>
        </r>
      </text>
    </comment>
    <comment ref="GA2" authorId="0">
      <text>
        <r>
          <rPr>
            <b/>
            <sz val="9"/>
            <color indexed="81"/>
            <rFont val="Tahoma"/>
            <family val="2"/>
          </rPr>
          <t>Ingrid Malmgren:</t>
        </r>
        <r>
          <rPr>
            <sz val="9"/>
            <color indexed="81"/>
            <rFont val="Tahoma"/>
            <family val="2"/>
          </rPr>
          <t xml:space="preserve">
prescriptive rebate program</t>
        </r>
      </text>
    </comment>
    <comment ref="GB2" authorId="0">
      <text>
        <r>
          <rPr>
            <b/>
            <sz val="9"/>
            <color indexed="81"/>
            <rFont val="Tahoma"/>
            <family val="2"/>
          </rPr>
          <t>Ingrid Malmgren:</t>
        </r>
        <r>
          <rPr>
            <sz val="9"/>
            <color indexed="81"/>
            <rFont val="Tahoma"/>
            <family val="2"/>
          </rPr>
          <t xml:space="preserve">
prescriptive rebate program</t>
        </r>
      </text>
    </comment>
    <comment ref="GC2" authorId="0">
      <text>
        <r>
          <rPr>
            <b/>
            <sz val="9"/>
            <color indexed="81"/>
            <rFont val="Tahoma"/>
            <family val="2"/>
          </rPr>
          <t>Ingrid Malmgren:</t>
        </r>
        <r>
          <rPr>
            <sz val="9"/>
            <color indexed="81"/>
            <rFont val="Tahoma"/>
            <family val="2"/>
          </rPr>
          <t xml:space="preserve">
prescriptive rebate program</t>
        </r>
      </text>
    </comment>
    <comment ref="GD2" authorId="0">
      <text>
        <r>
          <rPr>
            <b/>
            <sz val="9"/>
            <color indexed="81"/>
            <rFont val="Tahoma"/>
            <family val="2"/>
          </rPr>
          <t>Ingrid Malmgren:</t>
        </r>
        <r>
          <rPr>
            <sz val="9"/>
            <color indexed="81"/>
            <rFont val="Tahoma"/>
            <family val="2"/>
          </rPr>
          <t xml:space="preserve">
prescriptive rebate program</t>
        </r>
      </text>
    </comment>
    <comment ref="GE2" authorId="0">
      <text>
        <r>
          <rPr>
            <b/>
            <sz val="9"/>
            <color indexed="81"/>
            <rFont val="Tahoma"/>
            <family val="2"/>
          </rPr>
          <t>Ingrid Malmgren:</t>
        </r>
        <r>
          <rPr>
            <sz val="9"/>
            <color indexed="81"/>
            <rFont val="Tahoma"/>
            <family val="2"/>
          </rPr>
          <t xml:space="preserve">
prescriptive rebate program</t>
        </r>
      </text>
    </comment>
    <comment ref="GF2" authorId="0">
      <text>
        <r>
          <rPr>
            <b/>
            <sz val="9"/>
            <color indexed="81"/>
            <rFont val="Tahoma"/>
            <family val="2"/>
          </rPr>
          <t>Ingrid Malmgren:</t>
        </r>
        <r>
          <rPr>
            <sz val="9"/>
            <color indexed="81"/>
            <rFont val="Tahoma"/>
            <family val="2"/>
          </rPr>
          <t xml:space="preserve">
prescriptive rebate program</t>
        </r>
      </text>
    </comment>
    <comment ref="GG2" authorId="0">
      <text>
        <r>
          <rPr>
            <b/>
            <sz val="9"/>
            <color indexed="81"/>
            <rFont val="Tahoma"/>
            <family val="2"/>
          </rPr>
          <t>Ingrid Malmgren:</t>
        </r>
        <r>
          <rPr>
            <sz val="9"/>
            <color indexed="81"/>
            <rFont val="Tahoma"/>
            <family val="2"/>
          </rPr>
          <t xml:space="preserve">
prescriptive rebate program</t>
        </r>
      </text>
    </comment>
    <comment ref="GH2" authorId="0">
      <text>
        <r>
          <rPr>
            <b/>
            <sz val="9"/>
            <color indexed="81"/>
            <rFont val="Tahoma"/>
            <family val="2"/>
          </rPr>
          <t>Ingrid Malmgren:</t>
        </r>
        <r>
          <rPr>
            <sz val="9"/>
            <color indexed="81"/>
            <rFont val="Tahoma"/>
            <family val="2"/>
          </rPr>
          <t xml:space="preserve">
prescriptive rebate program</t>
        </r>
      </text>
    </comment>
    <comment ref="GI2" authorId="0">
      <text>
        <r>
          <rPr>
            <b/>
            <sz val="9"/>
            <color indexed="81"/>
            <rFont val="Tahoma"/>
            <family val="2"/>
          </rPr>
          <t>Ingrid Malmgren:</t>
        </r>
        <r>
          <rPr>
            <sz val="9"/>
            <color indexed="81"/>
            <rFont val="Tahoma"/>
            <family val="2"/>
          </rPr>
          <t xml:space="preserve">
prescriptive rebate program</t>
        </r>
      </text>
    </comment>
    <comment ref="GJ2" authorId="0">
      <text>
        <r>
          <rPr>
            <b/>
            <sz val="9"/>
            <color indexed="81"/>
            <rFont val="Tahoma"/>
            <family val="2"/>
          </rPr>
          <t>Ingrid Malmgren:</t>
        </r>
        <r>
          <rPr>
            <sz val="9"/>
            <color indexed="81"/>
            <rFont val="Tahoma"/>
            <family val="2"/>
          </rPr>
          <t xml:space="preserve">
prescriptive rebate program</t>
        </r>
      </text>
    </comment>
    <comment ref="GK2" authorId="0">
      <text>
        <r>
          <rPr>
            <b/>
            <sz val="9"/>
            <color indexed="81"/>
            <rFont val="Tahoma"/>
            <family val="2"/>
          </rPr>
          <t>Ingrid Malmgren:</t>
        </r>
        <r>
          <rPr>
            <sz val="9"/>
            <color indexed="81"/>
            <rFont val="Tahoma"/>
            <family val="2"/>
          </rPr>
          <t xml:space="preserve">
prescriptive rebate program</t>
        </r>
      </text>
    </comment>
    <comment ref="GL2" authorId="0">
      <text>
        <r>
          <rPr>
            <b/>
            <sz val="9"/>
            <color indexed="81"/>
            <rFont val="Tahoma"/>
            <family val="2"/>
          </rPr>
          <t>Ingrid Malmgren:</t>
        </r>
        <r>
          <rPr>
            <sz val="9"/>
            <color indexed="81"/>
            <rFont val="Tahoma"/>
            <family val="2"/>
          </rPr>
          <t xml:space="preserve">
prescriptive rebate program</t>
        </r>
      </text>
    </comment>
    <comment ref="GM2" authorId="0">
      <text>
        <r>
          <rPr>
            <b/>
            <sz val="9"/>
            <color indexed="81"/>
            <rFont val="Tahoma"/>
            <family val="2"/>
          </rPr>
          <t>Ingrid Malmgren:</t>
        </r>
        <r>
          <rPr>
            <sz val="9"/>
            <color indexed="81"/>
            <rFont val="Tahoma"/>
            <family val="2"/>
          </rPr>
          <t xml:space="preserve">
prescriptive rebate program</t>
        </r>
      </text>
    </comment>
    <comment ref="GN2" authorId="0">
      <text>
        <r>
          <rPr>
            <b/>
            <sz val="9"/>
            <color indexed="81"/>
            <rFont val="Tahoma"/>
            <family val="2"/>
          </rPr>
          <t>Ingrid Malmgren:</t>
        </r>
        <r>
          <rPr>
            <sz val="9"/>
            <color indexed="81"/>
            <rFont val="Tahoma"/>
            <family val="2"/>
          </rPr>
          <t xml:space="preserve">
prescriptive rebate program</t>
        </r>
      </text>
    </comment>
    <comment ref="GO2" authorId="0">
      <text>
        <r>
          <rPr>
            <b/>
            <sz val="9"/>
            <color indexed="81"/>
            <rFont val="Tahoma"/>
            <family val="2"/>
          </rPr>
          <t>Ingrid Malmgren:</t>
        </r>
        <r>
          <rPr>
            <sz val="9"/>
            <color indexed="81"/>
            <rFont val="Tahoma"/>
            <family val="2"/>
          </rPr>
          <t xml:space="preserve">
prescriptive rebate program</t>
        </r>
      </text>
    </comment>
    <comment ref="GP2" authorId="0">
      <text>
        <r>
          <rPr>
            <b/>
            <sz val="9"/>
            <color indexed="81"/>
            <rFont val="Tahoma"/>
            <family val="2"/>
          </rPr>
          <t>Ingrid Malmgren:</t>
        </r>
        <r>
          <rPr>
            <sz val="9"/>
            <color indexed="81"/>
            <rFont val="Tahoma"/>
            <family val="2"/>
          </rPr>
          <t xml:space="preserve">
prescriptive rebate program</t>
        </r>
      </text>
    </comment>
    <comment ref="GQ2" authorId="0">
      <text>
        <r>
          <rPr>
            <b/>
            <sz val="9"/>
            <color indexed="81"/>
            <rFont val="Tahoma"/>
            <family val="2"/>
          </rPr>
          <t>Ingrid Malmgren:</t>
        </r>
        <r>
          <rPr>
            <sz val="9"/>
            <color indexed="81"/>
            <rFont val="Tahoma"/>
            <family val="2"/>
          </rPr>
          <t xml:space="preserve">
prescriptive rebate program</t>
        </r>
      </text>
    </comment>
    <comment ref="GR2" authorId="0">
      <text>
        <r>
          <rPr>
            <b/>
            <sz val="9"/>
            <color indexed="81"/>
            <rFont val="Tahoma"/>
            <family val="2"/>
          </rPr>
          <t>Ingrid Malmgren:</t>
        </r>
        <r>
          <rPr>
            <sz val="9"/>
            <color indexed="81"/>
            <rFont val="Tahoma"/>
            <family val="2"/>
          </rPr>
          <t xml:space="preserve">
prescriptive rebate program</t>
        </r>
      </text>
    </comment>
    <comment ref="GS2" authorId="0">
      <text>
        <r>
          <rPr>
            <b/>
            <sz val="9"/>
            <color indexed="81"/>
            <rFont val="Tahoma"/>
            <family val="2"/>
          </rPr>
          <t>Ingrid Malmgren:</t>
        </r>
        <r>
          <rPr>
            <sz val="9"/>
            <color indexed="81"/>
            <rFont val="Tahoma"/>
            <family val="2"/>
          </rPr>
          <t xml:space="preserve">
prescriptive rebate program</t>
        </r>
      </text>
    </comment>
    <comment ref="GT2" authorId="0">
      <text>
        <r>
          <rPr>
            <b/>
            <sz val="9"/>
            <color indexed="81"/>
            <rFont val="Tahoma"/>
            <family val="2"/>
          </rPr>
          <t>Ingrid Malmgren:</t>
        </r>
        <r>
          <rPr>
            <sz val="9"/>
            <color indexed="81"/>
            <rFont val="Tahoma"/>
            <family val="2"/>
          </rPr>
          <t xml:space="preserve">
prescriptive rebate program</t>
        </r>
      </text>
    </comment>
    <comment ref="GU2" authorId="0">
      <text>
        <r>
          <rPr>
            <b/>
            <sz val="9"/>
            <color indexed="81"/>
            <rFont val="Tahoma"/>
            <family val="2"/>
          </rPr>
          <t>Ingrid Malmgren:</t>
        </r>
        <r>
          <rPr>
            <sz val="9"/>
            <color indexed="81"/>
            <rFont val="Tahoma"/>
            <family val="2"/>
          </rPr>
          <t xml:space="preserve">
prescriptive rebate program</t>
        </r>
      </text>
    </comment>
    <comment ref="GV2" authorId="0">
      <text>
        <r>
          <rPr>
            <b/>
            <sz val="9"/>
            <color indexed="81"/>
            <rFont val="Tahoma"/>
            <family val="2"/>
          </rPr>
          <t>Ingrid Malmgren:</t>
        </r>
        <r>
          <rPr>
            <sz val="9"/>
            <color indexed="81"/>
            <rFont val="Tahoma"/>
            <family val="2"/>
          </rPr>
          <t xml:space="preserve">
prescriptive rebate program</t>
        </r>
      </text>
    </comment>
    <comment ref="GW2" authorId="0">
      <text>
        <r>
          <rPr>
            <b/>
            <sz val="9"/>
            <color indexed="81"/>
            <rFont val="Tahoma"/>
            <family val="2"/>
          </rPr>
          <t>Ingrid Malmgren:</t>
        </r>
        <r>
          <rPr>
            <sz val="9"/>
            <color indexed="81"/>
            <rFont val="Tahoma"/>
            <family val="2"/>
          </rPr>
          <t xml:space="preserve">
prescriptive rebate program</t>
        </r>
      </text>
    </comment>
    <comment ref="GX2" authorId="0">
      <text>
        <r>
          <rPr>
            <b/>
            <sz val="9"/>
            <color indexed="81"/>
            <rFont val="Tahoma"/>
            <family val="2"/>
          </rPr>
          <t>Ingrid Malmgren:</t>
        </r>
        <r>
          <rPr>
            <sz val="9"/>
            <color indexed="81"/>
            <rFont val="Tahoma"/>
            <family val="2"/>
          </rPr>
          <t xml:space="preserve">
prescriptive rebate program</t>
        </r>
      </text>
    </comment>
    <comment ref="GY2" authorId="0">
      <text>
        <r>
          <rPr>
            <b/>
            <sz val="9"/>
            <color indexed="81"/>
            <rFont val="Tahoma"/>
            <family val="2"/>
          </rPr>
          <t>Ingrid Malmgren:</t>
        </r>
        <r>
          <rPr>
            <sz val="9"/>
            <color indexed="81"/>
            <rFont val="Tahoma"/>
            <family val="2"/>
          </rPr>
          <t xml:space="preserve">
prescriptive rebate program</t>
        </r>
      </text>
    </comment>
    <comment ref="GZ2" authorId="0">
      <text>
        <r>
          <rPr>
            <b/>
            <sz val="9"/>
            <color indexed="81"/>
            <rFont val="Tahoma"/>
            <family val="2"/>
          </rPr>
          <t>Ingrid Malmgren:</t>
        </r>
        <r>
          <rPr>
            <sz val="9"/>
            <color indexed="81"/>
            <rFont val="Tahoma"/>
            <family val="2"/>
          </rPr>
          <t xml:space="preserve">
prescriptive rebate program</t>
        </r>
      </text>
    </comment>
    <comment ref="HA2" authorId="0">
      <text>
        <r>
          <rPr>
            <b/>
            <sz val="9"/>
            <color indexed="81"/>
            <rFont val="Tahoma"/>
            <family val="2"/>
          </rPr>
          <t>Ingrid Malmgren:</t>
        </r>
        <r>
          <rPr>
            <sz val="9"/>
            <color indexed="81"/>
            <rFont val="Tahoma"/>
            <family val="2"/>
          </rPr>
          <t xml:space="preserve">
prescriptive rebate program</t>
        </r>
      </text>
    </comment>
    <comment ref="HB2" authorId="0">
      <text>
        <r>
          <rPr>
            <b/>
            <sz val="9"/>
            <color indexed="81"/>
            <rFont val="Tahoma"/>
            <family val="2"/>
          </rPr>
          <t>Ingrid Malmgren:</t>
        </r>
        <r>
          <rPr>
            <sz val="9"/>
            <color indexed="81"/>
            <rFont val="Tahoma"/>
            <family val="2"/>
          </rPr>
          <t xml:space="preserve">
prescriptive rebate program</t>
        </r>
      </text>
    </comment>
    <comment ref="HC2" authorId="0">
      <text>
        <r>
          <rPr>
            <b/>
            <sz val="9"/>
            <color indexed="81"/>
            <rFont val="Tahoma"/>
            <family val="2"/>
          </rPr>
          <t>Ingrid Malmgren:</t>
        </r>
        <r>
          <rPr>
            <sz val="9"/>
            <color indexed="81"/>
            <rFont val="Tahoma"/>
            <family val="2"/>
          </rPr>
          <t xml:space="preserve">
prescriptive rebate program</t>
        </r>
      </text>
    </comment>
    <comment ref="HD2" authorId="0">
      <text>
        <r>
          <rPr>
            <b/>
            <sz val="9"/>
            <color indexed="81"/>
            <rFont val="Tahoma"/>
            <family val="2"/>
          </rPr>
          <t>Ingrid Malmgren:</t>
        </r>
        <r>
          <rPr>
            <sz val="9"/>
            <color indexed="81"/>
            <rFont val="Tahoma"/>
            <family val="2"/>
          </rPr>
          <t xml:space="preserve">
prescriptive rebate program</t>
        </r>
      </text>
    </comment>
    <comment ref="HE2" authorId="0">
      <text>
        <r>
          <rPr>
            <b/>
            <sz val="9"/>
            <color indexed="81"/>
            <rFont val="Tahoma"/>
            <family val="2"/>
          </rPr>
          <t>Ingrid Malmgren:</t>
        </r>
        <r>
          <rPr>
            <sz val="9"/>
            <color indexed="81"/>
            <rFont val="Tahoma"/>
            <family val="2"/>
          </rPr>
          <t xml:space="preserve">
prescriptive rebate program</t>
        </r>
      </text>
    </comment>
    <comment ref="HF2" authorId="0">
      <text>
        <r>
          <rPr>
            <b/>
            <sz val="9"/>
            <color indexed="81"/>
            <rFont val="Tahoma"/>
            <family val="2"/>
          </rPr>
          <t>Ingrid Malmgren:</t>
        </r>
        <r>
          <rPr>
            <sz val="9"/>
            <color indexed="81"/>
            <rFont val="Tahoma"/>
            <family val="2"/>
          </rPr>
          <t xml:space="preserve">
prescriptive rebate program</t>
        </r>
      </text>
    </comment>
    <comment ref="HG2" authorId="0">
      <text>
        <r>
          <rPr>
            <b/>
            <sz val="9"/>
            <color indexed="81"/>
            <rFont val="Tahoma"/>
            <family val="2"/>
          </rPr>
          <t>Ingrid Malmgren:</t>
        </r>
        <r>
          <rPr>
            <sz val="9"/>
            <color indexed="81"/>
            <rFont val="Tahoma"/>
            <family val="2"/>
          </rPr>
          <t xml:space="preserve">
prescriptive rebate program</t>
        </r>
      </text>
    </comment>
    <comment ref="HH2" authorId="0">
      <text>
        <r>
          <rPr>
            <b/>
            <sz val="9"/>
            <color indexed="81"/>
            <rFont val="Tahoma"/>
            <family val="2"/>
          </rPr>
          <t>Ingrid Malmgren:</t>
        </r>
        <r>
          <rPr>
            <sz val="9"/>
            <color indexed="81"/>
            <rFont val="Tahoma"/>
            <family val="2"/>
          </rPr>
          <t xml:space="preserve">
prescriptive rebate program</t>
        </r>
      </text>
    </comment>
    <comment ref="HI2" authorId="0">
      <text>
        <r>
          <rPr>
            <b/>
            <sz val="9"/>
            <color indexed="81"/>
            <rFont val="Tahoma"/>
            <family val="2"/>
          </rPr>
          <t>Ingrid Malmgren:</t>
        </r>
        <r>
          <rPr>
            <sz val="9"/>
            <color indexed="81"/>
            <rFont val="Tahoma"/>
            <family val="2"/>
          </rPr>
          <t xml:space="preserve">
prescriptive rebate program</t>
        </r>
      </text>
    </comment>
    <comment ref="HJ2" authorId="0">
      <text>
        <r>
          <rPr>
            <b/>
            <sz val="9"/>
            <color indexed="81"/>
            <rFont val="Tahoma"/>
            <family val="2"/>
          </rPr>
          <t>Ingrid Malmgren:</t>
        </r>
        <r>
          <rPr>
            <sz val="9"/>
            <color indexed="81"/>
            <rFont val="Tahoma"/>
            <family val="2"/>
          </rPr>
          <t xml:space="preserve">
prescriptive rebate program</t>
        </r>
      </text>
    </comment>
    <comment ref="HK2" authorId="0">
      <text>
        <r>
          <rPr>
            <b/>
            <sz val="9"/>
            <color indexed="81"/>
            <rFont val="Tahoma"/>
            <family val="2"/>
          </rPr>
          <t>Ingrid Malmgren:</t>
        </r>
        <r>
          <rPr>
            <sz val="9"/>
            <color indexed="81"/>
            <rFont val="Tahoma"/>
            <family val="2"/>
          </rPr>
          <t xml:space="preserve">
prescriptive rebate program</t>
        </r>
      </text>
    </comment>
    <comment ref="HL2" authorId="0">
      <text>
        <r>
          <rPr>
            <b/>
            <sz val="9"/>
            <color indexed="81"/>
            <rFont val="Tahoma"/>
            <family val="2"/>
          </rPr>
          <t>Ingrid Malmgren:</t>
        </r>
        <r>
          <rPr>
            <sz val="9"/>
            <color indexed="81"/>
            <rFont val="Tahoma"/>
            <family val="2"/>
          </rPr>
          <t xml:space="preserve">
prescriptive rebate program</t>
        </r>
      </text>
    </comment>
    <comment ref="HM2" authorId="0">
      <text>
        <r>
          <rPr>
            <b/>
            <sz val="9"/>
            <color indexed="81"/>
            <rFont val="Tahoma"/>
            <family val="2"/>
          </rPr>
          <t>Ingrid Malmgren:</t>
        </r>
        <r>
          <rPr>
            <sz val="9"/>
            <color indexed="81"/>
            <rFont val="Tahoma"/>
            <family val="2"/>
          </rPr>
          <t xml:space="preserve">
prescriptive rebate program</t>
        </r>
      </text>
    </comment>
    <comment ref="HN2" authorId="0">
      <text>
        <r>
          <rPr>
            <b/>
            <sz val="9"/>
            <color indexed="81"/>
            <rFont val="Tahoma"/>
            <family val="2"/>
          </rPr>
          <t>Ingrid Malmgren:</t>
        </r>
        <r>
          <rPr>
            <sz val="9"/>
            <color indexed="81"/>
            <rFont val="Tahoma"/>
            <family val="2"/>
          </rPr>
          <t xml:space="preserve">
prescriptive rebate program</t>
        </r>
      </text>
    </comment>
    <comment ref="HO2" authorId="0">
      <text>
        <r>
          <rPr>
            <b/>
            <sz val="9"/>
            <color indexed="81"/>
            <rFont val="Tahoma"/>
            <family val="2"/>
          </rPr>
          <t>Ingrid Malmgren:</t>
        </r>
        <r>
          <rPr>
            <sz val="9"/>
            <color indexed="81"/>
            <rFont val="Tahoma"/>
            <family val="2"/>
          </rPr>
          <t xml:space="preserve">
prescriptive rebate program</t>
        </r>
      </text>
    </comment>
    <comment ref="HP2" authorId="0">
      <text>
        <r>
          <rPr>
            <b/>
            <sz val="9"/>
            <color indexed="81"/>
            <rFont val="Tahoma"/>
            <family val="2"/>
          </rPr>
          <t>Ingrid Malmgren:</t>
        </r>
        <r>
          <rPr>
            <sz val="9"/>
            <color indexed="81"/>
            <rFont val="Tahoma"/>
            <family val="2"/>
          </rPr>
          <t xml:space="preserve">
prescriptive rebate program</t>
        </r>
      </text>
    </comment>
    <comment ref="HQ2" authorId="0">
      <text>
        <r>
          <rPr>
            <b/>
            <sz val="9"/>
            <color indexed="81"/>
            <rFont val="Tahoma"/>
            <family val="2"/>
          </rPr>
          <t>Ingrid Malmgren:</t>
        </r>
        <r>
          <rPr>
            <sz val="9"/>
            <color indexed="81"/>
            <rFont val="Tahoma"/>
            <family val="2"/>
          </rPr>
          <t xml:space="preserve">
prescriptive rebate program</t>
        </r>
      </text>
    </comment>
    <comment ref="HR2" authorId="0">
      <text>
        <r>
          <rPr>
            <b/>
            <sz val="9"/>
            <color indexed="81"/>
            <rFont val="Tahoma"/>
            <family val="2"/>
          </rPr>
          <t>Ingrid Malmgren:</t>
        </r>
        <r>
          <rPr>
            <sz val="9"/>
            <color indexed="81"/>
            <rFont val="Tahoma"/>
            <family val="2"/>
          </rPr>
          <t xml:space="preserve">
prescriptive rebate program</t>
        </r>
      </text>
    </comment>
    <comment ref="HS2" authorId="0">
      <text>
        <r>
          <rPr>
            <b/>
            <sz val="9"/>
            <color indexed="81"/>
            <rFont val="Tahoma"/>
            <family val="2"/>
          </rPr>
          <t>Ingrid Malmgren:</t>
        </r>
        <r>
          <rPr>
            <sz val="9"/>
            <color indexed="81"/>
            <rFont val="Tahoma"/>
            <family val="2"/>
          </rPr>
          <t xml:space="preserve">
prescriptive rebate program</t>
        </r>
      </text>
    </comment>
    <comment ref="HT2" authorId="0">
      <text>
        <r>
          <rPr>
            <b/>
            <sz val="9"/>
            <color indexed="81"/>
            <rFont val="Tahoma"/>
            <family val="2"/>
          </rPr>
          <t>Ingrid Malmgren:</t>
        </r>
        <r>
          <rPr>
            <sz val="9"/>
            <color indexed="81"/>
            <rFont val="Tahoma"/>
            <family val="2"/>
          </rPr>
          <t xml:space="preserve">
prescriptive rebate program</t>
        </r>
      </text>
    </comment>
    <comment ref="HU2" authorId="0">
      <text>
        <r>
          <rPr>
            <b/>
            <sz val="9"/>
            <color indexed="81"/>
            <rFont val="Tahoma"/>
            <family val="2"/>
          </rPr>
          <t>Ingrid Malmgren:</t>
        </r>
        <r>
          <rPr>
            <sz val="9"/>
            <color indexed="81"/>
            <rFont val="Tahoma"/>
            <family val="2"/>
          </rPr>
          <t xml:space="preserve">
prescriptive rebate program</t>
        </r>
      </text>
    </comment>
    <comment ref="HV2" authorId="0">
      <text>
        <r>
          <rPr>
            <b/>
            <sz val="9"/>
            <color indexed="81"/>
            <rFont val="Tahoma"/>
            <family val="2"/>
          </rPr>
          <t>Ingrid Malmgren:</t>
        </r>
        <r>
          <rPr>
            <sz val="9"/>
            <color indexed="81"/>
            <rFont val="Tahoma"/>
            <family val="2"/>
          </rPr>
          <t xml:space="preserve">
prescriptive rebate program</t>
        </r>
      </text>
    </comment>
    <comment ref="HW2" authorId="0">
      <text>
        <r>
          <rPr>
            <b/>
            <sz val="9"/>
            <color indexed="81"/>
            <rFont val="Tahoma"/>
            <family val="2"/>
          </rPr>
          <t>Ingrid Malmgren:</t>
        </r>
        <r>
          <rPr>
            <sz val="9"/>
            <color indexed="81"/>
            <rFont val="Tahoma"/>
            <family val="2"/>
          </rPr>
          <t xml:space="preserve">
prescriptive rebate program</t>
        </r>
      </text>
    </comment>
    <comment ref="HX2" authorId="0">
      <text>
        <r>
          <rPr>
            <b/>
            <sz val="9"/>
            <color indexed="81"/>
            <rFont val="Tahoma"/>
            <family val="2"/>
          </rPr>
          <t>Ingrid Malmgren:</t>
        </r>
        <r>
          <rPr>
            <sz val="9"/>
            <color indexed="81"/>
            <rFont val="Tahoma"/>
            <family val="2"/>
          </rPr>
          <t xml:space="preserve">
prescriptive rebate program</t>
        </r>
      </text>
    </comment>
    <comment ref="HY2" authorId="0">
      <text>
        <r>
          <rPr>
            <b/>
            <sz val="9"/>
            <color indexed="81"/>
            <rFont val="Tahoma"/>
            <family val="2"/>
          </rPr>
          <t>Ingrid Malmgren:</t>
        </r>
        <r>
          <rPr>
            <sz val="9"/>
            <color indexed="81"/>
            <rFont val="Tahoma"/>
            <family val="2"/>
          </rPr>
          <t xml:space="preserve">
prescriptive rebate program</t>
        </r>
      </text>
    </comment>
    <comment ref="HZ2" authorId="0">
      <text>
        <r>
          <rPr>
            <b/>
            <sz val="9"/>
            <color indexed="81"/>
            <rFont val="Tahoma"/>
            <family val="2"/>
          </rPr>
          <t>Ingrid Malmgren:</t>
        </r>
        <r>
          <rPr>
            <sz val="9"/>
            <color indexed="81"/>
            <rFont val="Tahoma"/>
            <family val="2"/>
          </rPr>
          <t xml:space="preserve">
prescriptive rebate program</t>
        </r>
      </text>
    </comment>
    <comment ref="IA2" authorId="0">
      <text>
        <r>
          <rPr>
            <b/>
            <sz val="9"/>
            <color indexed="81"/>
            <rFont val="Tahoma"/>
            <family val="2"/>
          </rPr>
          <t>Ingrid Malmgren:</t>
        </r>
        <r>
          <rPr>
            <sz val="9"/>
            <color indexed="81"/>
            <rFont val="Tahoma"/>
            <family val="2"/>
          </rPr>
          <t xml:space="preserve">
prescriptive rebate program</t>
        </r>
      </text>
    </comment>
    <comment ref="IB2" authorId="0">
      <text>
        <r>
          <rPr>
            <b/>
            <sz val="9"/>
            <color indexed="81"/>
            <rFont val="Tahoma"/>
            <family val="2"/>
          </rPr>
          <t>Ingrid Malmgren:</t>
        </r>
        <r>
          <rPr>
            <sz val="9"/>
            <color indexed="81"/>
            <rFont val="Tahoma"/>
            <family val="2"/>
          </rPr>
          <t xml:space="preserve">
prescriptive rebate program</t>
        </r>
      </text>
    </comment>
    <comment ref="IC2" authorId="0">
      <text>
        <r>
          <rPr>
            <b/>
            <sz val="9"/>
            <color indexed="81"/>
            <rFont val="Tahoma"/>
            <family val="2"/>
          </rPr>
          <t>Ingrid Malmgren:</t>
        </r>
        <r>
          <rPr>
            <sz val="9"/>
            <color indexed="81"/>
            <rFont val="Tahoma"/>
            <family val="2"/>
          </rPr>
          <t xml:space="preserve">
prescriptive rebate program</t>
        </r>
      </text>
    </comment>
    <comment ref="ID2" authorId="0">
      <text>
        <r>
          <rPr>
            <b/>
            <sz val="9"/>
            <color indexed="81"/>
            <rFont val="Tahoma"/>
            <family val="2"/>
          </rPr>
          <t>Ingrid Malmgren:</t>
        </r>
        <r>
          <rPr>
            <sz val="9"/>
            <color indexed="81"/>
            <rFont val="Tahoma"/>
            <family val="2"/>
          </rPr>
          <t xml:space="preserve">
prescriptive rebate program</t>
        </r>
      </text>
    </comment>
    <comment ref="IE2" authorId="0">
      <text>
        <r>
          <rPr>
            <b/>
            <sz val="9"/>
            <color indexed="81"/>
            <rFont val="Tahoma"/>
            <family val="2"/>
          </rPr>
          <t>Ingrid Malmgren:</t>
        </r>
        <r>
          <rPr>
            <sz val="9"/>
            <color indexed="81"/>
            <rFont val="Tahoma"/>
            <family val="2"/>
          </rPr>
          <t xml:space="preserve">
prescriptive rebate program</t>
        </r>
      </text>
    </comment>
    <comment ref="IF2" authorId="0">
      <text>
        <r>
          <rPr>
            <b/>
            <sz val="9"/>
            <color indexed="81"/>
            <rFont val="Tahoma"/>
            <family val="2"/>
          </rPr>
          <t>Ingrid Malmgren:</t>
        </r>
        <r>
          <rPr>
            <sz val="9"/>
            <color indexed="81"/>
            <rFont val="Tahoma"/>
            <family val="2"/>
          </rPr>
          <t xml:space="preserve">
prescriptive rebate program</t>
        </r>
      </text>
    </comment>
    <comment ref="IG2" authorId="0">
      <text>
        <r>
          <rPr>
            <b/>
            <sz val="9"/>
            <color indexed="81"/>
            <rFont val="Tahoma"/>
            <family val="2"/>
          </rPr>
          <t>Ingrid Malmgren:</t>
        </r>
        <r>
          <rPr>
            <sz val="9"/>
            <color indexed="81"/>
            <rFont val="Tahoma"/>
            <family val="2"/>
          </rPr>
          <t xml:space="preserve">
prescriptive rebate program</t>
        </r>
      </text>
    </comment>
    <comment ref="IH2" authorId="0">
      <text>
        <r>
          <rPr>
            <b/>
            <sz val="9"/>
            <color indexed="81"/>
            <rFont val="Tahoma"/>
            <family val="2"/>
          </rPr>
          <t>Ingrid Malmgren:</t>
        </r>
        <r>
          <rPr>
            <sz val="9"/>
            <color indexed="81"/>
            <rFont val="Tahoma"/>
            <family val="2"/>
          </rPr>
          <t xml:space="preserve">
prescriptive rebate program</t>
        </r>
      </text>
    </comment>
    <comment ref="II2" authorId="0">
      <text>
        <r>
          <rPr>
            <b/>
            <sz val="9"/>
            <color indexed="81"/>
            <rFont val="Tahoma"/>
            <family val="2"/>
          </rPr>
          <t>Ingrid Malmgren:</t>
        </r>
        <r>
          <rPr>
            <sz val="9"/>
            <color indexed="81"/>
            <rFont val="Tahoma"/>
            <family val="2"/>
          </rPr>
          <t xml:space="preserve">
prescriptive rebate program</t>
        </r>
      </text>
    </comment>
    <comment ref="IJ2" authorId="0">
      <text>
        <r>
          <rPr>
            <b/>
            <sz val="9"/>
            <color indexed="81"/>
            <rFont val="Tahoma"/>
            <family val="2"/>
          </rPr>
          <t>Ingrid Malmgren:</t>
        </r>
        <r>
          <rPr>
            <sz val="9"/>
            <color indexed="81"/>
            <rFont val="Tahoma"/>
            <family val="2"/>
          </rPr>
          <t xml:space="preserve">
prescriptive rebate program</t>
        </r>
      </text>
    </comment>
    <comment ref="IK2" authorId="0">
      <text>
        <r>
          <rPr>
            <b/>
            <sz val="9"/>
            <color indexed="81"/>
            <rFont val="Tahoma"/>
            <family val="2"/>
          </rPr>
          <t>Ingrid Malmgren:</t>
        </r>
        <r>
          <rPr>
            <sz val="9"/>
            <color indexed="81"/>
            <rFont val="Tahoma"/>
            <family val="2"/>
          </rPr>
          <t xml:space="preserve">
prescriptive rebate program</t>
        </r>
      </text>
    </comment>
    <comment ref="IL2" authorId="0">
      <text>
        <r>
          <rPr>
            <b/>
            <sz val="9"/>
            <color indexed="81"/>
            <rFont val="Tahoma"/>
            <family val="2"/>
          </rPr>
          <t>Ingrid Malmgren:</t>
        </r>
        <r>
          <rPr>
            <sz val="9"/>
            <color indexed="81"/>
            <rFont val="Tahoma"/>
            <family val="2"/>
          </rPr>
          <t xml:space="preserve">
prescriptive rebate program</t>
        </r>
      </text>
    </comment>
    <comment ref="IM2" authorId="0">
      <text>
        <r>
          <rPr>
            <b/>
            <sz val="9"/>
            <color indexed="81"/>
            <rFont val="Tahoma"/>
            <family val="2"/>
          </rPr>
          <t>Ingrid Malmgren:</t>
        </r>
        <r>
          <rPr>
            <sz val="9"/>
            <color indexed="81"/>
            <rFont val="Tahoma"/>
            <family val="2"/>
          </rPr>
          <t xml:space="preserve">
prescriptive rebate program</t>
        </r>
      </text>
    </comment>
    <comment ref="IN2" authorId="0">
      <text>
        <r>
          <rPr>
            <b/>
            <sz val="9"/>
            <color indexed="81"/>
            <rFont val="Tahoma"/>
            <family val="2"/>
          </rPr>
          <t>Ingrid Malmgren:</t>
        </r>
        <r>
          <rPr>
            <sz val="9"/>
            <color indexed="81"/>
            <rFont val="Tahoma"/>
            <family val="2"/>
          </rPr>
          <t xml:space="preserve">
prescriptive rebate program</t>
        </r>
      </text>
    </comment>
    <comment ref="IO2" authorId="0">
      <text>
        <r>
          <rPr>
            <b/>
            <sz val="9"/>
            <color indexed="81"/>
            <rFont val="Tahoma"/>
            <family val="2"/>
          </rPr>
          <t>Ingrid Malmgren:</t>
        </r>
        <r>
          <rPr>
            <sz val="9"/>
            <color indexed="81"/>
            <rFont val="Tahoma"/>
            <family val="2"/>
          </rPr>
          <t xml:space="preserve">
prescriptive rebate program</t>
        </r>
      </text>
    </comment>
    <comment ref="IP2" authorId="0">
      <text>
        <r>
          <rPr>
            <b/>
            <sz val="9"/>
            <color indexed="81"/>
            <rFont val="Tahoma"/>
            <family val="2"/>
          </rPr>
          <t>Ingrid Malmgren:</t>
        </r>
        <r>
          <rPr>
            <sz val="9"/>
            <color indexed="81"/>
            <rFont val="Tahoma"/>
            <family val="2"/>
          </rPr>
          <t xml:space="preserve">
prescriptive rebate program</t>
        </r>
      </text>
    </comment>
    <comment ref="IQ2" authorId="0">
      <text>
        <r>
          <rPr>
            <b/>
            <sz val="9"/>
            <color indexed="81"/>
            <rFont val="Tahoma"/>
            <family val="2"/>
          </rPr>
          <t>Ingrid Malmgren:</t>
        </r>
        <r>
          <rPr>
            <sz val="9"/>
            <color indexed="81"/>
            <rFont val="Tahoma"/>
            <family val="2"/>
          </rPr>
          <t xml:space="preserve">
prescriptive rebate program</t>
        </r>
      </text>
    </comment>
    <comment ref="IR2" authorId="0">
      <text>
        <r>
          <rPr>
            <b/>
            <sz val="9"/>
            <color indexed="81"/>
            <rFont val="Tahoma"/>
            <family val="2"/>
          </rPr>
          <t>Ingrid Malmgren:</t>
        </r>
        <r>
          <rPr>
            <sz val="9"/>
            <color indexed="81"/>
            <rFont val="Tahoma"/>
            <family val="2"/>
          </rPr>
          <t xml:space="preserve">
prescriptive rebate program</t>
        </r>
      </text>
    </comment>
    <comment ref="IS2" authorId="0">
      <text>
        <r>
          <rPr>
            <b/>
            <sz val="9"/>
            <color indexed="81"/>
            <rFont val="Tahoma"/>
            <family val="2"/>
          </rPr>
          <t>Ingrid Malmgren:</t>
        </r>
        <r>
          <rPr>
            <sz val="9"/>
            <color indexed="81"/>
            <rFont val="Tahoma"/>
            <family val="2"/>
          </rPr>
          <t xml:space="preserve">
prescriptive rebate program</t>
        </r>
      </text>
    </comment>
    <comment ref="IT2" authorId="0">
      <text>
        <r>
          <rPr>
            <b/>
            <sz val="9"/>
            <color indexed="81"/>
            <rFont val="Tahoma"/>
            <family val="2"/>
          </rPr>
          <t>Ingrid Malmgren:</t>
        </r>
        <r>
          <rPr>
            <sz val="9"/>
            <color indexed="81"/>
            <rFont val="Tahoma"/>
            <family val="2"/>
          </rPr>
          <t xml:space="preserve">
prescriptive rebate program</t>
        </r>
      </text>
    </comment>
    <comment ref="IU2" authorId="0">
      <text>
        <r>
          <rPr>
            <b/>
            <sz val="9"/>
            <color indexed="81"/>
            <rFont val="Tahoma"/>
            <family val="2"/>
          </rPr>
          <t>Ingrid Malmgren:</t>
        </r>
        <r>
          <rPr>
            <sz val="9"/>
            <color indexed="81"/>
            <rFont val="Tahoma"/>
            <family val="2"/>
          </rPr>
          <t xml:space="preserve">
prescriptive rebate program</t>
        </r>
      </text>
    </comment>
    <comment ref="IV2" authorId="0">
      <text>
        <r>
          <rPr>
            <b/>
            <sz val="9"/>
            <color indexed="81"/>
            <rFont val="Tahoma"/>
            <family val="2"/>
          </rPr>
          <t>Ingrid Malmgren:</t>
        </r>
        <r>
          <rPr>
            <sz val="9"/>
            <color indexed="81"/>
            <rFont val="Tahoma"/>
            <family val="2"/>
          </rPr>
          <t xml:space="preserve">
prescriptive rebate program</t>
        </r>
      </text>
    </comment>
    <comment ref="IW2" authorId="0">
      <text>
        <r>
          <rPr>
            <b/>
            <sz val="9"/>
            <color indexed="81"/>
            <rFont val="Tahoma"/>
            <family val="2"/>
          </rPr>
          <t>Ingrid Malmgren:</t>
        </r>
        <r>
          <rPr>
            <sz val="9"/>
            <color indexed="81"/>
            <rFont val="Tahoma"/>
            <family val="2"/>
          </rPr>
          <t xml:space="preserve">
prescriptive rebate program</t>
        </r>
      </text>
    </comment>
    <comment ref="IX2" authorId="0">
      <text>
        <r>
          <rPr>
            <b/>
            <sz val="9"/>
            <color indexed="81"/>
            <rFont val="Tahoma"/>
            <family val="2"/>
          </rPr>
          <t>Ingrid Malmgren:</t>
        </r>
        <r>
          <rPr>
            <sz val="9"/>
            <color indexed="81"/>
            <rFont val="Tahoma"/>
            <family val="2"/>
          </rPr>
          <t xml:space="preserve">
prescriptive rebate program</t>
        </r>
      </text>
    </comment>
    <comment ref="IY2" authorId="0">
      <text>
        <r>
          <rPr>
            <b/>
            <sz val="9"/>
            <color indexed="81"/>
            <rFont val="Tahoma"/>
            <family val="2"/>
          </rPr>
          <t>Ingrid Malmgren:</t>
        </r>
        <r>
          <rPr>
            <sz val="9"/>
            <color indexed="81"/>
            <rFont val="Tahoma"/>
            <family val="2"/>
          </rPr>
          <t xml:space="preserve">
prescriptive rebate program</t>
        </r>
      </text>
    </comment>
    <comment ref="IZ2" authorId="0">
      <text>
        <r>
          <rPr>
            <b/>
            <sz val="9"/>
            <color indexed="81"/>
            <rFont val="Tahoma"/>
            <family val="2"/>
          </rPr>
          <t>Ingrid Malmgren:</t>
        </r>
        <r>
          <rPr>
            <sz val="9"/>
            <color indexed="81"/>
            <rFont val="Tahoma"/>
            <family val="2"/>
          </rPr>
          <t xml:space="preserve">
prescriptive rebate program</t>
        </r>
      </text>
    </comment>
    <comment ref="JA2" authorId="0">
      <text>
        <r>
          <rPr>
            <b/>
            <sz val="9"/>
            <color indexed="81"/>
            <rFont val="Tahoma"/>
            <family val="2"/>
          </rPr>
          <t>Ingrid Malmgren:</t>
        </r>
        <r>
          <rPr>
            <sz val="9"/>
            <color indexed="81"/>
            <rFont val="Tahoma"/>
            <family val="2"/>
          </rPr>
          <t xml:space="preserve">
prescriptive rebate program</t>
        </r>
      </text>
    </comment>
    <comment ref="JB2" authorId="0">
      <text>
        <r>
          <rPr>
            <b/>
            <sz val="9"/>
            <color indexed="81"/>
            <rFont val="Tahoma"/>
            <family val="2"/>
          </rPr>
          <t>Ingrid Malmgren:</t>
        </r>
        <r>
          <rPr>
            <sz val="9"/>
            <color indexed="81"/>
            <rFont val="Tahoma"/>
            <family val="2"/>
          </rPr>
          <t xml:space="preserve">
prescriptive rebate program</t>
        </r>
      </text>
    </comment>
    <comment ref="JC2" authorId="0">
      <text>
        <r>
          <rPr>
            <b/>
            <sz val="9"/>
            <color indexed="81"/>
            <rFont val="Tahoma"/>
            <family val="2"/>
          </rPr>
          <t>Ingrid Malmgren:</t>
        </r>
        <r>
          <rPr>
            <sz val="9"/>
            <color indexed="81"/>
            <rFont val="Tahoma"/>
            <family val="2"/>
          </rPr>
          <t xml:space="preserve">
prescriptive rebate program</t>
        </r>
      </text>
    </comment>
    <comment ref="JD2" authorId="0">
      <text>
        <r>
          <rPr>
            <b/>
            <sz val="9"/>
            <color indexed="81"/>
            <rFont val="Tahoma"/>
            <family val="2"/>
          </rPr>
          <t>Ingrid Malmgren:</t>
        </r>
        <r>
          <rPr>
            <sz val="9"/>
            <color indexed="81"/>
            <rFont val="Tahoma"/>
            <family val="2"/>
          </rPr>
          <t xml:space="preserve">
prescriptive rebate program</t>
        </r>
      </text>
    </comment>
    <comment ref="JE2" authorId="0">
      <text>
        <r>
          <rPr>
            <b/>
            <sz val="9"/>
            <color indexed="81"/>
            <rFont val="Tahoma"/>
            <family val="2"/>
          </rPr>
          <t>Ingrid Malmgren:</t>
        </r>
        <r>
          <rPr>
            <sz val="9"/>
            <color indexed="81"/>
            <rFont val="Tahoma"/>
            <family val="2"/>
          </rPr>
          <t xml:space="preserve">
prescriptive rebate program</t>
        </r>
      </text>
    </comment>
    <comment ref="JF2" authorId="0">
      <text>
        <r>
          <rPr>
            <b/>
            <sz val="9"/>
            <color indexed="81"/>
            <rFont val="Tahoma"/>
            <family val="2"/>
          </rPr>
          <t>Ingrid Malmgren:</t>
        </r>
        <r>
          <rPr>
            <sz val="9"/>
            <color indexed="81"/>
            <rFont val="Tahoma"/>
            <family val="2"/>
          </rPr>
          <t xml:space="preserve">
prescriptive rebate program</t>
        </r>
      </text>
    </comment>
    <comment ref="JG2" authorId="0">
      <text>
        <r>
          <rPr>
            <b/>
            <sz val="9"/>
            <color indexed="81"/>
            <rFont val="Tahoma"/>
            <family val="2"/>
          </rPr>
          <t>Ingrid Malmgren:</t>
        </r>
        <r>
          <rPr>
            <sz val="9"/>
            <color indexed="81"/>
            <rFont val="Tahoma"/>
            <family val="2"/>
          </rPr>
          <t xml:space="preserve">
prescriptive rebate program</t>
        </r>
      </text>
    </comment>
    <comment ref="JH2" authorId="0">
      <text>
        <r>
          <rPr>
            <b/>
            <sz val="9"/>
            <color indexed="81"/>
            <rFont val="Tahoma"/>
            <family val="2"/>
          </rPr>
          <t>Ingrid Malmgren:</t>
        </r>
        <r>
          <rPr>
            <sz val="9"/>
            <color indexed="81"/>
            <rFont val="Tahoma"/>
            <family val="2"/>
          </rPr>
          <t xml:space="preserve">
prescriptive rebate program</t>
        </r>
      </text>
    </comment>
    <comment ref="JI2" authorId="0">
      <text>
        <r>
          <rPr>
            <b/>
            <sz val="9"/>
            <color indexed="81"/>
            <rFont val="Tahoma"/>
            <family val="2"/>
          </rPr>
          <t>Ingrid Malmgren:</t>
        </r>
        <r>
          <rPr>
            <sz val="9"/>
            <color indexed="81"/>
            <rFont val="Tahoma"/>
            <family val="2"/>
          </rPr>
          <t xml:space="preserve">
prescriptive rebate program</t>
        </r>
      </text>
    </comment>
    <comment ref="JJ2" authorId="0">
      <text>
        <r>
          <rPr>
            <b/>
            <sz val="9"/>
            <color indexed="81"/>
            <rFont val="Tahoma"/>
            <family val="2"/>
          </rPr>
          <t>Ingrid Malmgren:</t>
        </r>
        <r>
          <rPr>
            <sz val="9"/>
            <color indexed="81"/>
            <rFont val="Tahoma"/>
            <family val="2"/>
          </rPr>
          <t xml:space="preserve">
prescriptive rebate program</t>
        </r>
      </text>
    </comment>
    <comment ref="JK2" authorId="0">
      <text>
        <r>
          <rPr>
            <b/>
            <sz val="9"/>
            <color indexed="81"/>
            <rFont val="Tahoma"/>
            <family val="2"/>
          </rPr>
          <t>Ingrid Malmgren:</t>
        </r>
        <r>
          <rPr>
            <sz val="9"/>
            <color indexed="81"/>
            <rFont val="Tahoma"/>
            <family val="2"/>
          </rPr>
          <t xml:space="preserve">
prescriptive rebate program</t>
        </r>
      </text>
    </comment>
    <comment ref="JL2" authorId="0">
      <text>
        <r>
          <rPr>
            <b/>
            <sz val="9"/>
            <color indexed="81"/>
            <rFont val="Tahoma"/>
            <family val="2"/>
          </rPr>
          <t>Ingrid Malmgren:</t>
        </r>
        <r>
          <rPr>
            <sz val="9"/>
            <color indexed="81"/>
            <rFont val="Tahoma"/>
            <family val="2"/>
          </rPr>
          <t xml:space="preserve">
prescriptive rebate program</t>
        </r>
      </text>
    </comment>
    <comment ref="JM2" authorId="0">
      <text>
        <r>
          <rPr>
            <b/>
            <sz val="9"/>
            <color indexed="81"/>
            <rFont val="Tahoma"/>
            <family val="2"/>
          </rPr>
          <t>Ingrid Malmgren:</t>
        </r>
        <r>
          <rPr>
            <sz val="9"/>
            <color indexed="81"/>
            <rFont val="Tahoma"/>
            <family val="2"/>
          </rPr>
          <t xml:space="preserve">
prescriptive rebate program</t>
        </r>
      </text>
    </comment>
    <comment ref="JN2" authorId="0">
      <text>
        <r>
          <rPr>
            <b/>
            <sz val="9"/>
            <color indexed="81"/>
            <rFont val="Tahoma"/>
            <family val="2"/>
          </rPr>
          <t>Ingrid Malmgren:</t>
        </r>
        <r>
          <rPr>
            <sz val="9"/>
            <color indexed="81"/>
            <rFont val="Tahoma"/>
            <family val="2"/>
          </rPr>
          <t xml:space="preserve">
prescriptive rebate program</t>
        </r>
      </text>
    </comment>
    <comment ref="JO2" authorId="0">
      <text>
        <r>
          <rPr>
            <b/>
            <sz val="9"/>
            <color indexed="81"/>
            <rFont val="Tahoma"/>
            <family val="2"/>
          </rPr>
          <t>Ingrid Malmgren:</t>
        </r>
        <r>
          <rPr>
            <sz val="9"/>
            <color indexed="81"/>
            <rFont val="Tahoma"/>
            <family val="2"/>
          </rPr>
          <t xml:space="preserve">
prescriptive rebate program</t>
        </r>
      </text>
    </comment>
    <comment ref="JP2" authorId="0">
      <text>
        <r>
          <rPr>
            <b/>
            <sz val="9"/>
            <color indexed="81"/>
            <rFont val="Tahoma"/>
            <family val="2"/>
          </rPr>
          <t>Ingrid Malmgren:</t>
        </r>
        <r>
          <rPr>
            <sz val="9"/>
            <color indexed="81"/>
            <rFont val="Tahoma"/>
            <family val="2"/>
          </rPr>
          <t xml:space="preserve">
prescriptive rebate program</t>
        </r>
      </text>
    </comment>
    <comment ref="JQ2" authorId="0">
      <text>
        <r>
          <rPr>
            <b/>
            <sz val="9"/>
            <color indexed="81"/>
            <rFont val="Tahoma"/>
            <family val="2"/>
          </rPr>
          <t>Ingrid Malmgren:</t>
        </r>
        <r>
          <rPr>
            <sz val="9"/>
            <color indexed="81"/>
            <rFont val="Tahoma"/>
            <family val="2"/>
          </rPr>
          <t xml:space="preserve">
prescriptive rebate program</t>
        </r>
      </text>
    </comment>
    <comment ref="JR2" authorId="0">
      <text>
        <r>
          <rPr>
            <b/>
            <sz val="9"/>
            <color indexed="81"/>
            <rFont val="Tahoma"/>
            <family val="2"/>
          </rPr>
          <t>Ingrid Malmgren:</t>
        </r>
        <r>
          <rPr>
            <sz val="9"/>
            <color indexed="81"/>
            <rFont val="Tahoma"/>
            <family val="2"/>
          </rPr>
          <t xml:space="preserve">
prescriptive rebate program</t>
        </r>
      </text>
    </comment>
    <comment ref="JS2" authorId="0">
      <text>
        <r>
          <rPr>
            <b/>
            <sz val="9"/>
            <color indexed="81"/>
            <rFont val="Tahoma"/>
            <family val="2"/>
          </rPr>
          <t>Ingrid Malmgren:</t>
        </r>
        <r>
          <rPr>
            <sz val="9"/>
            <color indexed="81"/>
            <rFont val="Tahoma"/>
            <family val="2"/>
          </rPr>
          <t xml:space="preserve">
prescriptive rebate program</t>
        </r>
      </text>
    </comment>
    <comment ref="JT2" authorId="0">
      <text>
        <r>
          <rPr>
            <b/>
            <sz val="9"/>
            <color indexed="81"/>
            <rFont val="Tahoma"/>
            <family val="2"/>
          </rPr>
          <t>Ingrid Malmgren:</t>
        </r>
        <r>
          <rPr>
            <sz val="9"/>
            <color indexed="81"/>
            <rFont val="Tahoma"/>
            <family val="2"/>
          </rPr>
          <t xml:space="preserve">
prescriptive rebate program</t>
        </r>
      </text>
    </comment>
    <comment ref="JU2" authorId="0">
      <text>
        <r>
          <rPr>
            <b/>
            <sz val="9"/>
            <color indexed="81"/>
            <rFont val="Tahoma"/>
            <family val="2"/>
          </rPr>
          <t>Ingrid Malmgren:</t>
        </r>
        <r>
          <rPr>
            <sz val="9"/>
            <color indexed="81"/>
            <rFont val="Tahoma"/>
            <family val="2"/>
          </rPr>
          <t xml:space="preserve">
prescriptive rebate program</t>
        </r>
      </text>
    </comment>
    <comment ref="JV2" authorId="0">
      <text>
        <r>
          <rPr>
            <b/>
            <sz val="9"/>
            <color indexed="81"/>
            <rFont val="Tahoma"/>
            <family val="2"/>
          </rPr>
          <t>Ingrid Malmgren:</t>
        </r>
        <r>
          <rPr>
            <sz val="9"/>
            <color indexed="81"/>
            <rFont val="Tahoma"/>
            <family val="2"/>
          </rPr>
          <t xml:space="preserve">
prescriptive rebate program</t>
        </r>
      </text>
    </comment>
    <comment ref="JW2" authorId="0">
      <text>
        <r>
          <rPr>
            <b/>
            <sz val="9"/>
            <color indexed="81"/>
            <rFont val="Tahoma"/>
            <family val="2"/>
          </rPr>
          <t>Ingrid Malmgren:</t>
        </r>
        <r>
          <rPr>
            <sz val="9"/>
            <color indexed="81"/>
            <rFont val="Tahoma"/>
            <family val="2"/>
          </rPr>
          <t xml:space="preserve">
prescriptive rebate program</t>
        </r>
      </text>
    </comment>
    <comment ref="JX2" authorId="0">
      <text>
        <r>
          <rPr>
            <b/>
            <sz val="9"/>
            <color indexed="81"/>
            <rFont val="Tahoma"/>
            <family val="2"/>
          </rPr>
          <t>Ingrid Malmgren:</t>
        </r>
        <r>
          <rPr>
            <sz val="9"/>
            <color indexed="81"/>
            <rFont val="Tahoma"/>
            <family val="2"/>
          </rPr>
          <t xml:space="preserve">
prescriptive rebate program</t>
        </r>
      </text>
    </comment>
    <comment ref="JY2" authorId="0">
      <text>
        <r>
          <rPr>
            <b/>
            <sz val="9"/>
            <color indexed="81"/>
            <rFont val="Tahoma"/>
            <family val="2"/>
          </rPr>
          <t>Ingrid Malmgren:</t>
        </r>
        <r>
          <rPr>
            <sz val="9"/>
            <color indexed="81"/>
            <rFont val="Tahoma"/>
            <family val="2"/>
          </rPr>
          <t xml:space="preserve">
prescriptive rebate program</t>
        </r>
      </text>
    </comment>
    <comment ref="JZ2" authorId="0">
      <text>
        <r>
          <rPr>
            <b/>
            <sz val="9"/>
            <color indexed="81"/>
            <rFont val="Tahoma"/>
            <family val="2"/>
          </rPr>
          <t>Ingrid Malmgren:</t>
        </r>
        <r>
          <rPr>
            <sz val="9"/>
            <color indexed="81"/>
            <rFont val="Tahoma"/>
            <family val="2"/>
          </rPr>
          <t xml:space="preserve">
prescriptive rebate program</t>
        </r>
      </text>
    </comment>
    <comment ref="KA2" authorId="0">
      <text>
        <r>
          <rPr>
            <b/>
            <sz val="9"/>
            <color indexed="81"/>
            <rFont val="Tahoma"/>
            <family val="2"/>
          </rPr>
          <t>Ingrid Malmgren:</t>
        </r>
        <r>
          <rPr>
            <sz val="9"/>
            <color indexed="81"/>
            <rFont val="Tahoma"/>
            <family val="2"/>
          </rPr>
          <t xml:space="preserve">
prescriptive rebate program</t>
        </r>
      </text>
    </comment>
    <comment ref="KB2" authorId="0">
      <text>
        <r>
          <rPr>
            <b/>
            <sz val="9"/>
            <color indexed="81"/>
            <rFont val="Tahoma"/>
            <family val="2"/>
          </rPr>
          <t>Ingrid Malmgren:</t>
        </r>
        <r>
          <rPr>
            <sz val="9"/>
            <color indexed="81"/>
            <rFont val="Tahoma"/>
            <family val="2"/>
          </rPr>
          <t xml:space="preserve">
prescriptive rebate program</t>
        </r>
      </text>
    </comment>
    <comment ref="KC2" authorId="0">
      <text>
        <r>
          <rPr>
            <b/>
            <sz val="9"/>
            <color indexed="81"/>
            <rFont val="Tahoma"/>
            <family val="2"/>
          </rPr>
          <t>Ingrid Malmgren:</t>
        </r>
        <r>
          <rPr>
            <sz val="9"/>
            <color indexed="81"/>
            <rFont val="Tahoma"/>
            <family val="2"/>
          </rPr>
          <t xml:space="preserve">
prescriptive rebate program</t>
        </r>
      </text>
    </comment>
    <comment ref="KD2" authorId="0">
      <text>
        <r>
          <rPr>
            <b/>
            <sz val="9"/>
            <color indexed="81"/>
            <rFont val="Tahoma"/>
            <family val="2"/>
          </rPr>
          <t>Ingrid Malmgren:</t>
        </r>
        <r>
          <rPr>
            <sz val="9"/>
            <color indexed="81"/>
            <rFont val="Tahoma"/>
            <family val="2"/>
          </rPr>
          <t xml:space="preserve">
prescriptive rebate program</t>
        </r>
      </text>
    </comment>
    <comment ref="KE2" authorId="0">
      <text>
        <r>
          <rPr>
            <b/>
            <sz val="9"/>
            <color indexed="81"/>
            <rFont val="Tahoma"/>
            <family val="2"/>
          </rPr>
          <t>Ingrid Malmgren:</t>
        </r>
        <r>
          <rPr>
            <sz val="9"/>
            <color indexed="81"/>
            <rFont val="Tahoma"/>
            <family val="2"/>
          </rPr>
          <t xml:space="preserve">
prescriptive rebate program</t>
        </r>
      </text>
    </comment>
    <comment ref="KF2" authorId="0">
      <text>
        <r>
          <rPr>
            <b/>
            <sz val="9"/>
            <color indexed="81"/>
            <rFont val="Tahoma"/>
            <family val="2"/>
          </rPr>
          <t>Ingrid Malmgren:</t>
        </r>
        <r>
          <rPr>
            <sz val="9"/>
            <color indexed="81"/>
            <rFont val="Tahoma"/>
            <family val="2"/>
          </rPr>
          <t xml:space="preserve">
prescriptive rebate program</t>
        </r>
      </text>
    </comment>
    <comment ref="KG2" authorId="0">
      <text>
        <r>
          <rPr>
            <b/>
            <sz val="9"/>
            <color indexed="81"/>
            <rFont val="Tahoma"/>
            <family val="2"/>
          </rPr>
          <t>Ingrid Malmgren:</t>
        </r>
        <r>
          <rPr>
            <sz val="9"/>
            <color indexed="81"/>
            <rFont val="Tahoma"/>
            <family val="2"/>
          </rPr>
          <t xml:space="preserve">
prescriptive rebate program</t>
        </r>
      </text>
    </comment>
    <comment ref="KH2" authorId="0">
      <text>
        <r>
          <rPr>
            <b/>
            <sz val="9"/>
            <color indexed="81"/>
            <rFont val="Tahoma"/>
            <family val="2"/>
          </rPr>
          <t>Ingrid Malmgren:</t>
        </r>
        <r>
          <rPr>
            <sz val="9"/>
            <color indexed="81"/>
            <rFont val="Tahoma"/>
            <family val="2"/>
          </rPr>
          <t xml:space="preserve">
prescriptive rebate program</t>
        </r>
      </text>
    </comment>
    <comment ref="KI2" authorId="0">
      <text>
        <r>
          <rPr>
            <b/>
            <sz val="9"/>
            <color indexed="81"/>
            <rFont val="Tahoma"/>
            <family val="2"/>
          </rPr>
          <t>Ingrid Malmgren:</t>
        </r>
        <r>
          <rPr>
            <sz val="9"/>
            <color indexed="81"/>
            <rFont val="Tahoma"/>
            <family val="2"/>
          </rPr>
          <t xml:space="preserve">
prescriptive rebate program</t>
        </r>
      </text>
    </comment>
    <comment ref="KJ2" authorId="0">
      <text>
        <r>
          <rPr>
            <b/>
            <sz val="9"/>
            <color indexed="81"/>
            <rFont val="Tahoma"/>
            <family val="2"/>
          </rPr>
          <t>Ingrid Malmgren:</t>
        </r>
        <r>
          <rPr>
            <sz val="9"/>
            <color indexed="81"/>
            <rFont val="Tahoma"/>
            <family val="2"/>
          </rPr>
          <t xml:space="preserve">
prescriptive rebate program</t>
        </r>
      </text>
    </comment>
    <comment ref="KK2" authorId="0">
      <text>
        <r>
          <rPr>
            <b/>
            <sz val="9"/>
            <color indexed="81"/>
            <rFont val="Tahoma"/>
            <family val="2"/>
          </rPr>
          <t>Ingrid Malmgren:</t>
        </r>
        <r>
          <rPr>
            <sz val="9"/>
            <color indexed="81"/>
            <rFont val="Tahoma"/>
            <family val="2"/>
          </rPr>
          <t xml:space="preserve">
prescriptive rebate program</t>
        </r>
      </text>
    </comment>
    <comment ref="KL2" authorId="0">
      <text>
        <r>
          <rPr>
            <b/>
            <sz val="9"/>
            <color indexed="81"/>
            <rFont val="Tahoma"/>
            <family val="2"/>
          </rPr>
          <t>Ingrid Malmgren:</t>
        </r>
        <r>
          <rPr>
            <sz val="9"/>
            <color indexed="81"/>
            <rFont val="Tahoma"/>
            <family val="2"/>
          </rPr>
          <t xml:space="preserve">
prescriptive rebate program</t>
        </r>
      </text>
    </comment>
    <comment ref="KM2" authorId="0">
      <text>
        <r>
          <rPr>
            <b/>
            <sz val="9"/>
            <color indexed="81"/>
            <rFont val="Tahoma"/>
            <family val="2"/>
          </rPr>
          <t>Ingrid Malmgren:</t>
        </r>
        <r>
          <rPr>
            <sz val="9"/>
            <color indexed="81"/>
            <rFont val="Tahoma"/>
            <family val="2"/>
          </rPr>
          <t xml:space="preserve">
prescriptive rebate program</t>
        </r>
      </text>
    </comment>
    <comment ref="KN2" authorId="0">
      <text>
        <r>
          <rPr>
            <b/>
            <sz val="9"/>
            <color indexed="81"/>
            <rFont val="Tahoma"/>
            <family val="2"/>
          </rPr>
          <t>Ingrid Malmgren:</t>
        </r>
        <r>
          <rPr>
            <sz val="9"/>
            <color indexed="81"/>
            <rFont val="Tahoma"/>
            <family val="2"/>
          </rPr>
          <t xml:space="preserve">
prescriptive rebate program</t>
        </r>
      </text>
    </comment>
    <comment ref="KO2" authorId="0">
      <text>
        <r>
          <rPr>
            <b/>
            <sz val="9"/>
            <color indexed="81"/>
            <rFont val="Tahoma"/>
            <family val="2"/>
          </rPr>
          <t>Ingrid Malmgren:</t>
        </r>
        <r>
          <rPr>
            <sz val="9"/>
            <color indexed="81"/>
            <rFont val="Tahoma"/>
            <family val="2"/>
          </rPr>
          <t xml:space="preserve">
prescriptive rebate program</t>
        </r>
      </text>
    </comment>
    <comment ref="KP2" authorId="0">
      <text>
        <r>
          <rPr>
            <b/>
            <sz val="9"/>
            <color indexed="81"/>
            <rFont val="Tahoma"/>
            <family val="2"/>
          </rPr>
          <t>Ingrid Malmgren:</t>
        </r>
        <r>
          <rPr>
            <sz val="9"/>
            <color indexed="81"/>
            <rFont val="Tahoma"/>
            <family val="2"/>
          </rPr>
          <t xml:space="preserve">
prescriptive rebate program</t>
        </r>
      </text>
    </comment>
    <comment ref="KQ2" authorId="0">
      <text>
        <r>
          <rPr>
            <b/>
            <sz val="9"/>
            <color indexed="81"/>
            <rFont val="Tahoma"/>
            <family val="2"/>
          </rPr>
          <t>Ingrid Malmgren:</t>
        </r>
        <r>
          <rPr>
            <sz val="9"/>
            <color indexed="81"/>
            <rFont val="Tahoma"/>
            <family val="2"/>
          </rPr>
          <t xml:space="preserve">
prescriptive rebate program</t>
        </r>
      </text>
    </comment>
    <comment ref="KR2" authorId="0">
      <text>
        <r>
          <rPr>
            <b/>
            <sz val="9"/>
            <color indexed="81"/>
            <rFont val="Tahoma"/>
            <family val="2"/>
          </rPr>
          <t>Ingrid Malmgren:</t>
        </r>
        <r>
          <rPr>
            <sz val="9"/>
            <color indexed="81"/>
            <rFont val="Tahoma"/>
            <family val="2"/>
          </rPr>
          <t xml:space="preserve">
prescriptive rebate program</t>
        </r>
      </text>
    </comment>
    <comment ref="KS2" authorId="0">
      <text>
        <r>
          <rPr>
            <b/>
            <sz val="9"/>
            <color indexed="81"/>
            <rFont val="Tahoma"/>
            <family val="2"/>
          </rPr>
          <t>Ingrid Malmgren:</t>
        </r>
        <r>
          <rPr>
            <sz val="9"/>
            <color indexed="81"/>
            <rFont val="Tahoma"/>
            <family val="2"/>
          </rPr>
          <t xml:space="preserve">
prescriptive rebate program</t>
        </r>
      </text>
    </comment>
    <comment ref="KT2" authorId="0">
      <text>
        <r>
          <rPr>
            <b/>
            <sz val="9"/>
            <color indexed="81"/>
            <rFont val="Tahoma"/>
            <family val="2"/>
          </rPr>
          <t>Ingrid Malmgren:</t>
        </r>
        <r>
          <rPr>
            <sz val="9"/>
            <color indexed="81"/>
            <rFont val="Tahoma"/>
            <family val="2"/>
          </rPr>
          <t xml:space="preserve">
prescriptive rebate program</t>
        </r>
      </text>
    </comment>
    <comment ref="KU2" authorId="0">
      <text>
        <r>
          <rPr>
            <b/>
            <sz val="9"/>
            <color indexed="81"/>
            <rFont val="Tahoma"/>
            <family val="2"/>
          </rPr>
          <t>Ingrid Malmgren:</t>
        </r>
        <r>
          <rPr>
            <sz val="9"/>
            <color indexed="81"/>
            <rFont val="Tahoma"/>
            <family val="2"/>
          </rPr>
          <t xml:space="preserve">
prescriptive rebate program</t>
        </r>
      </text>
    </comment>
    <comment ref="KV2" authorId="0">
      <text>
        <r>
          <rPr>
            <b/>
            <sz val="9"/>
            <color indexed="81"/>
            <rFont val="Tahoma"/>
            <family val="2"/>
          </rPr>
          <t>Ingrid Malmgren:</t>
        </r>
        <r>
          <rPr>
            <sz val="9"/>
            <color indexed="81"/>
            <rFont val="Tahoma"/>
            <family val="2"/>
          </rPr>
          <t xml:space="preserve">
prescriptive rebate program</t>
        </r>
      </text>
    </comment>
    <comment ref="KW2" authorId="0">
      <text>
        <r>
          <rPr>
            <b/>
            <sz val="9"/>
            <color indexed="81"/>
            <rFont val="Tahoma"/>
            <family val="2"/>
          </rPr>
          <t>Ingrid Malmgren:</t>
        </r>
        <r>
          <rPr>
            <sz val="9"/>
            <color indexed="81"/>
            <rFont val="Tahoma"/>
            <family val="2"/>
          </rPr>
          <t xml:space="preserve">
prescriptive rebate program</t>
        </r>
      </text>
    </comment>
    <comment ref="KX2" authorId="0">
      <text>
        <r>
          <rPr>
            <b/>
            <sz val="9"/>
            <color indexed="81"/>
            <rFont val="Tahoma"/>
            <family val="2"/>
          </rPr>
          <t>Ingrid Malmgren:</t>
        </r>
        <r>
          <rPr>
            <sz val="9"/>
            <color indexed="81"/>
            <rFont val="Tahoma"/>
            <family val="2"/>
          </rPr>
          <t xml:space="preserve">
prescriptive rebate program</t>
        </r>
      </text>
    </comment>
    <comment ref="KY2" authorId="0">
      <text>
        <r>
          <rPr>
            <b/>
            <sz val="9"/>
            <color indexed="81"/>
            <rFont val="Tahoma"/>
            <family val="2"/>
          </rPr>
          <t>Ingrid Malmgren:</t>
        </r>
        <r>
          <rPr>
            <sz val="9"/>
            <color indexed="81"/>
            <rFont val="Tahoma"/>
            <family val="2"/>
          </rPr>
          <t xml:space="preserve">
prescriptive rebate program</t>
        </r>
      </text>
    </comment>
    <comment ref="KZ2" authorId="0">
      <text>
        <r>
          <rPr>
            <b/>
            <sz val="9"/>
            <color indexed="81"/>
            <rFont val="Tahoma"/>
            <family val="2"/>
          </rPr>
          <t>Ingrid Malmgren:</t>
        </r>
        <r>
          <rPr>
            <sz val="9"/>
            <color indexed="81"/>
            <rFont val="Tahoma"/>
            <family val="2"/>
          </rPr>
          <t xml:space="preserve">
prescriptive rebate program</t>
        </r>
      </text>
    </comment>
    <comment ref="LA2" authorId="0">
      <text>
        <r>
          <rPr>
            <b/>
            <sz val="9"/>
            <color indexed="81"/>
            <rFont val="Tahoma"/>
            <family val="2"/>
          </rPr>
          <t>Ingrid Malmgren:</t>
        </r>
        <r>
          <rPr>
            <sz val="9"/>
            <color indexed="81"/>
            <rFont val="Tahoma"/>
            <family val="2"/>
          </rPr>
          <t xml:space="preserve">
prescriptive rebate program</t>
        </r>
      </text>
    </comment>
    <comment ref="LB2" authorId="0">
      <text>
        <r>
          <rPr>
            <b/>
            <sz val="9"/>
            <color indexed="81"/>
            <rFont val="Tahoma"/>
            <family val="2"/>
          </rPr>
          <t>Ingrid Malmgren:</t>
        </r>
        <r>
          <rPr>
            <sz val="9"/>
            <color indexed="81"/>
            <rFont val="Tahoma"/>
            <family val="2"/>
          </rPr>
          <t xml:space="preserve">
prescriptive rebate program</t>
        </r>
      </text>
    </comment>
    <comment ref="LC2" authorId="0">
      <text>
        <r>
          <rPr>
            <b/>
            <sz val="9"/>
            <color indexed="81"/>
            <rFont val="Tahoma"/>
            <family val="2"/>
          </rPr>
          <t>Ingrid Malmgren:</t>
        </r>
        <r>
          <rPr>
            <sz val="9"/>
            <color indexed="81"/>
            <rFont val="Tahoma"/>
            <family val="2"/>
          </rPr>
          <t xml:space="preserve">
prescriptive rebate program</t>
        </r>
      </text>
    </comment>
    <comment ref="LD2" authorId="0">
      <text>
        <r>
          <rPr>
            <b/>
            <sz val="9"/>
            <color indexed="81"/>
            <rFont val="Tahoma"/>
            <family val="2"/>
          </rPr>
          <t>Ingrid Malmgren:</t>
        </r>
        <r>
          <rPr>
            <sz val="9"/>
            <color indexed="81"/>
            <rFont val="Tahoma"/>
            <family val="2"/>
          </rPr>
          <t xml:space="preserve">
prescriptive rebate program</t>
        </r>
      </text>
    </comment>
    <comment ref="LE2" authorId="0">
      <text>
        <r>
          <rPr>
            <b/>
            <sz val="9"/>
            <color indexed="81"/>
            <rFont val="Tahoma"/>
            <family val="2"/>
          </rPr>
          <t>Ingrid Malmgren:</t>
        </r>
        <r>
          <rPr>
            <sz val="9"/>
            <color indexed="81"/>
            <rFont val="Tahoma"/>
            <family val="2"/>
          </rPr>
          <t xml:space="preserve">
prescriptive rebate program</t>
        </r>
      </text>
    </comment>
    <comment ref="LF2" authorId="0">
      <text>
        <r>
          <rPr>
            <b/>
            <sz val="9"/>
            <color indexed="81"/>
            <rFont val="Tahoma"/>
            <family val="2"/>
          </rPr>
          <t>Ingrid Malmgren:</t>
        </r>
        <r>
          <rPr>
            <sz val="9"/>
            <color indexed="81"/>
            <rFont val="Tahoma"/>
            <family val="2"/>
          </rPr>
          <t xml:space="preserve">
prescriptive rebate program</t>
        </r>
      </text>
    </comment>
    <comment ref="LG2" authorId="0">
      <text>
        <r>
          <rPr>
            <b/>
            <sz val="9"/>
            <color indexed="81"/>
            <rFont val="Tahoma"/>
            <family val="2"/>
          </rPr>
          <t>Ingrid Malmgren:</t>
        </r>
        <r>
          <rPr>
            <sz val="9"/>
            <color indexed="81"/>
            <rFont val="Tahoma"/>
            <family val="2"/>
          </rPr>
          <t xml:space="preserve">
prescriptive rebate program</t>
        </r>
      </text>
    </comment>
    <comment ref="LH2" authorId="0">
      <text>
        <r>
          <rPr>
            <b/>
            <sz val="9"/>
            <color indexed="81"/>
            <rFont val="Tahoma"/>
            <family val="2"/>
          </rPr>
          <t>Ingrid Malmgren:</t>
        </r>
        <r>
          <rPr>
            <sz val="9"/>
            <color indexed="81"/>
            <rFont val="Tahoma"/>
            <family val="2"/>
          </rPr>
          <t xml:space="preserve">
prescriptive rebate program</t>
        </r>
      </text>
    </comment>
    <comment ref="LI2" authorId="0">
      <text>
        <r>
          <rPr>
            <b/>
            <sz val="9"/>
            <color indexed="81"/>
            <rFont val="Tahoma"/>
            <family val="2"/>
          </rPr>
          <t>Ingrid Malmgren:</t>
        </r>
        <r>
          <rPr>
            <sz val="9"/>
            <color indexed="81"/>
            <rFont val="Tahoma"/>
            <family val="2"/>
          </rPr>
          <t xml:space="preserve">
prescriptive rebate program</t>
        </r>
      </text>
    </comment>
    <comment ref="LJ2" authorId="0">
      <text>
        <r>
          <rPr>
            <b/>
            <sz val="9"/>
            <color indexed="81"/>
            <rFont val="Tahoma"/>
            <family val="2"/>
          </rPr>
          <t>Ingrid Malmgren:</t>
        </r>
        <r>
          <rPr>
            <sz val="9"/>
            <color indexed="81"/>
            <rFont val="Tahoma"/>
            <family val="2"/>
          </rPr>
          <t xml:space="preserve">
prescriptive rebate program</t>
        </r>
      </text>
    </comment>
    <comment ref="LK2" authorId="0">
      <text>
        <r>
          <rPr>
            <b/>
            <sz val="9"/>
            <color indexed="81"/>
            <rFont val="Tahoma"/>
            <family val="2"/>
          </rPr>
          <t>Ingrid Malmgren:</t>
        </r>
        <r>
          <rPr>
            <sz val="9"/>
            <color indexed="81"/>
            <rFont val="Tahoma"/>
            <family val="2"/>
          </rPr>
          <t xml:space="preserve">
prescriptive rebate program</t>
        </r>
      </text>
    </comment>
    <comment ref="LL2" authorId="0">
      <text>
        <r>
          <rPr>
            <b/>
            <sz val="9"/>
            <color indexed="81"/>
            <rFont val="Tahoma"/>
            <family val="2"/>
          </rPr>
          <t>Ingrid Malmgren:</t>
        </r>
        <r>
          <rPr>
            <sz val="9"/>
            <color indexed="81"/>
            <rFont val="Tahoma"/>
            <family val="2"/>
          </rPr>
          <t xml:space="preserve">
prescriptive rebate program</t>
        </r>
      </text>
    </comment>
    <comment ref="LM2" authorId="0">
      <text>
        <r>
          <rPr>
            <b/>
            <sz val="9"/>
            <color indexed="81"/>
            <rFont val="Tahoma"/>
            <family val="2"/>
          </rPr>
          <t>Ingrid Malmgren:</t>
        </r>
        <r>
          <rPr>
            <sz val="9"/>
            <color indexed="81"/>
            <rFont val="Tahoma"/>
            <family val="2"/>
          </rPr>
          <t xml:space="preserve">
prescriptive rebate program</t>
        </r>
      </text>
    </comment>
    <comment ref="LN2" authorId="0">
      <text>
        <r>
          <rPr>
            <b/>
            <sz val="9"/>
            <color indexed="81"/>
            <rFont val="Tahoma"/>
            <family val="2"/>
          </rPr>
          <t>Ingrid Malmgren:</t>
        </r>
        <r>
          <rPr>
            <sz val="9"/>
            <color indexed="81"/>
            <rFont val="Tahoma"/>
            <family val="2"/>
          </rPr>
          <t xml:space="preserve">
prescriptive rebate program</t>
        </r>
      </text>
    </comment>
    <comment ref="LO2" authorId="0">
      <text>
        <r>
          <rPr>
            <b/>
            <sz val="9"/>
            <color indexed="81"/>
            <rFont val="Tahoma"/>
            <family val="2"/>
          </rPr>
          <t>Ingrid Malmgren:</t>
        </r>
        <r>
          <rPr>
            <sz val="9"/>
            <color indexed="81"/>
            <rFont val="Tahoma"/>
            <family val="2"/>
          </rPr>
          <t xml:space="preserve">
prescriptive rebate program</t>
        </r>
      </text>
    </comment>
    <comment ref="LP2" authorId="0">
      <text>
        <r>
          <rPr>
            <b/>
            <sz val="9"/>
            <color indexed="81"/>
            <rFont val="Tahoma"/>
            <family val="2"/>
          </rPr>
          <t>Ingrid Malmgren:</t>
        </r>
        <r>
          <rPr>
            <sz val="9"/>
            <color indexed="81"/>
            <rFont val="Tahoma"/>
            <family val="2"/>
          </rPr>
          <t xml:space="preserve">
prescriptive rebate program</t>
        </r>
      </text>
    </comment>
    <comment ref="LQ2" authorId="0">
      <text>
        <r>
          <rPr>
            <b/>
            <sz val="9"/>
            <color indexed="81"/>
            <rFont val="Tahoma"/>
            <family val="2"/>
          </rPr>
          <t>Ingrid Malmgren:</t>
        </r>
        <r>
          <rPr>
            <sz val="9"/>
            <color indexed="81"/>
            <rFont val="Tahoma"/>
            <family val="2"/>
          </rPr>
          <t xml:space="preserve">
prescriptive rebate program</t>
        </r>
      </text>
    </comment>
    <comment ref="LR2" authorId="0">
      <text>
        <r>
          <rPr>
            <b/>
            <sz val="9"/>
            <color indexed="81"/>
            <rFont val="Tahoma"/>
            <family val="2"/>
          </rPr>
          <t>Ingrid Malmgren:</t>
        </r>
        <r>
          <rPr>
            <sz val="9"/>
            <color indexed="81"/>
            <rFont val="Tahoma"/>
            <family val="2"/>
          </rPr>
          <t xml:space="preserve">
prescriptive rebate program</t>
        </r>
      </text>
    </comment>
    <comment ref="LS2" authorId="0">
      <text>
        <r>
          <rPr>
            <b/>
            <sz val="9"/>
            <color indexed="81"/>
            <rFont val="Tahoma"/>
            <family val="2"/>
          </rPr>
          <t>Ingrid Malmgren:</t>
        </r>
        <r>
          <rPr>
            <sz val="9"/>
            <color indexed="81"/>
            <rFont val="Tahoma"/>
            <family val="2"/>
          </rPr>
          <t xml:space="preserve">
prescriptive rebate program</t>
        </r>
      </text>
    </comment>
    <comment ref="LT2" authorId="0">
      <text>
        <r>
          <rPr>
            <b/>
            <sz val="9"/>
            <color indexed="81"/>
            <rFont val="Tahoma"/>
            <family val="2"/>
          </rPr>
          <t>Ingrid Malmgren:</t>
        </r>
        <r>
          <rPr>
            <sz val="9"/>
            <color indexed="81"/>
            <rFont val="Tahoma"/>
            <family val="2"/>
          </rPr>
          <t xml:space="preserve">
prescriptive rebate program</t>
        </r>
      </text>
    </comment>
    <comment ref="LU2" authorId="0">
      <text>
        <r>
          <rPr>
            <b/>
            <sz val="9"/>
            <color indexed="81"/>
            <rFont val="Tahoma"/>
            <family val="2"/>
          </rPr>
          <t>Ingrid Malmgren:</t>
        </r>
        <r>
          <rPr>
            <sz val="9"/>
            <color indexed="81"/>
            <rFont val="Tahoma"/>
            <family val="2"/>
          </rPr>
          <t xml:space="preserve">
prescriptive rebate program</t>
        </r>
      </text>
    </comment>
    <comment ref="LV2" authorId="0">
      <text>
        <r>
          <rPr>
            <b/>
            <sz val="9"/>
            <color indexed="81"/>
            <rFont val="Tahoma"/>
            <family val="2"/>
          </rPr>
          <t>Ingrid Malmgren:</t>
        </r>
        <r>
          <rPr>
            <sz val="9"/>
            <color indexed="81"/>
            <rFont val="Tahoma"/>
            <family val="2"/>
          </rPr>
          <t xml:space="preserve">
prescriptive rebate program</t>
        </r>
      </text>
    </comment>
    <comment ref="LW2" authorId="0">
      <text>
        <r>
          <rPr>
            <b/>
            <sz val="9"/>
            <color indexed="81"/>
            <rFont val="Tahoma"/>
            <family val="2"/>
          </rPr>
          <t>Ingrid Malmgren:</t>
        </r>
        <r>
          <rPr>
            <sz val="9"/>
            <color indexed="81"/>
            <rFont val="Tahoma"/>
            <family val="2"/>
          </rPr>
          <t xml:space="preserve">
prescriptive rebate program</t>
        </r>
      </text>
    </comment>
    <comment ref="LX2" authorId="0">
      <text>
        <r>
          <rPr>
            <b/>
            <sz val="9"/>
            <color indexed="81"/>
            <rFont val="Tahoma"/>
            <family val="2"/>
          </rPr>
          <t>Ingrid Malmgren:</t>
        </r>
        <r>
          <rPr>
            <sz val="9"/>
            <color indexed="81"/>
            <rFont val="Tahoma"/>
            <family val="2"/>
          </rPr>
          <t xml:space="preserve">
prescriptive rebate program</t>
        </r>
      </text>
    </comment>
    <comment ref="LY2" authorId="0">
      <text>
        <r>
          <rPr>
            <b/>
            <sz val="9"/>
            <color indexed="81"/>
            <rFont val="Tahoma"/>
            <family val="2"/>
          </rPr>
          <t>Ingrid Malmgren:</t>
        </r>
        <r>
          <rPr>
            <sz val="9"/>
            <color indexed="81"/>
            <rFont val="Tahoma"/>
            <family val="2"/>
          </rPr>
          <t xml:space="preserve">
prescriptive rebate program</t>
        </r>
      </text>
    </comment>
    <comment ref="LZ2" authorId="0">
      <text>
        <r>
          <rPr>
            <b/>
            <sz val="9"/>
            <color indexed="81"/>
            <rFont val="Tahoma"/>
            <family val="2"/>
          </rPr>
          <t>Ingrid Malmgren:</t>
        </r>
        <r>
          <rPr>
            <sz val="9"/>
            <color indexed="81"/>
            <rFont val="Tahoma"/>
            <family val="2"/>
          </rPr>
          <t xml:space="preserve">
prescriptive rebate program</t>
        </r>
      </text>
    </comment>
    <comment ref="MA2" authorId="0">
      <text>
        <r>
          <rPr>
            <b/>
            <sz val="9"/>
            <color indexed="81"/>
            <rFont val="Tahoma"/>
            <family val="2"/>
          </rPr>
          <t>Ingrid Malmgren:</t>
        </r>
        <r>
          <rPr>
            <sz val="9"/>
            <color indexed="81"/>
            <rFont val="Tahoma"/>
            <family val="2"/>
          </rPr>
          <t xml:space="preserve">
prescriptive rebate program</t>
        </r>
      </text>
    </comment>
    <comment ref="MB2" authorId="0">
      <text>
        <r>
          <rPr>
            <b/>
            <sz val="9"/>
            <color indexed="81"/>
            <rFont val="Tahoma"/>
            <family val="2"/>
          </rPr>
          <t>Ingrid Malmgren:</t>
        </r>
        <r>
          <rPr>
            <sz val="9"/>
            <color indexed="81"/>
            <rFont val="Tahoma"/>
            <family val="2"/>
          </rPr>
          <t xml:space="preserve">
prescriptive rebate program</t>
        </r>
      </text>
    </comment>
    <comment ref="MC2" authorId="0">
      <text>
        <r>
          <rPr>
            <b/>
            <sz val="9"/>
            <color indexed="81"/>
            <rFont val="Tahoma"/>
            <family val="2"/>
          </rPr>
          <t>Ingrid Malmgren:</t>
        </r>
        <r>
          <rPr>
            <sz val="9"/>
            <color indexed="81"/>
            <rFont val="Tahoma"/>
            <family val="2"/>
          </rPr>
          <t xml:space="preserve">
prescriptive rebate program</t>
        </r>
      </text>
    </comment>
    <comment ref="MD2" authorId="0">
      <text>
        <r>
          <rPr>
            <b/>
            <sz val="9"/>
            <color indexed="81"/>
            <rFont val="Tahoma"/>
            <family val="2"/>
          </rPr>
          <t>Ingrid Malmgren:</t>
        </r>
        <r>
          <rPr>
            <sz val="9"/>
            <color indexed="81"/>
            <rFont val="Tahoma"/>
            <family val="2"/>
          </rPr>
          <t xml:space="preserve">
prescriptive rebate program</t>
        </r>
      </text>
    </comment>
    <comment ref="ME2" authorId="0">
      <text>
        <r>
          <rPr>
            <b/>
            <sz val="9"/>
            <color indexed="81"/>
            <rFont val="Tahoma"/>
            <family val="2"/>
          </rPr>
          <t>Ingrid Malmgren:</t>
        </r>
        <r>
          <rPr>
            <sz val="9"/>
            <color indexed="81"/>
            <rFont val="Tahoma"/>
            <family val="2"/>
          </rPr>
          <t xml:space="preserve">
prescriptive rebate program</t>
        </r>
      </text>
    </comment>
    <comment ref="MF2" authorId="0">
      <text>
        <r>
          <rPr>
            <b/>
            <sz val="9"/>
            <color indexed="81"/>
            <rFont val="Tahoma"/>
            <family val="2"/>
          </rPr>
          <t>Ingrid Malmgren:</t>
        </r>
        <r>
          <rPr>
            <sz val="9"/>
            <color indexed="81"/>
            <rFont val="Tahoma"/>
            <family val="2"/>
          </rPr>
          <t xml:space="preserve">
prescriptive rebate program</t>
        </r>
      </text>
    </comment>
    <comment ref="MG2" authorId="0">
      <text>
        <r>
          <rPr>
            <b/>
            <sz val="9"/>
            <color indexed="81"/>
            <rFont val="Tahoma"/>
            <family val="2"/>
          </rPr>
          <t>Ingrid Malmgren:</t>
        </r>
        <r>
          <rPr>
            <sz val="9"/>
            <color indexed="81"/>
            <rFont val="Tahoma"/>
            <family val="2"/>
          </rPr>
          <t xml:space="preserve">
prescriptive rebate program</t>
        </r>
      </text>
    </comment>
    <comment ref="MH2" authorId="0">
      <text>
        <r>
          <rPr>
            <b/>
            <sz val="9"/>
            <color indexed="81"/>
            <rFont val="Tahoma"/>
            <family val="2"/>
          </rPr>
          <t>Ingrid Malmgren:</t>
        </r>
        <r>
          <rPr>
            <sz val="9"/>
            <color indexed="81"/>
            <rFont val="Tahoma"/>
            <family val="2"/>
          </rPr>
          <t xml:space="preserve">
prescriptive rebate program</t>
        </r>
      </text>
    </comment>
    <comment ref="MI2" authorId="0">
      <text>
        <r>
          <rPr>
            <b/>
            <sz val="9"/>
            <color indexed="81"/>
            <rFont val="Tahoma"/>
            <family val="2"/>
          </rPr>
          <t>Ingrid Malmgren:</t>
        </r>
        <r>
          <rPr>
            <sz val="9"/>
            <color indexed="81"/>
            <rFont val="Tahoma"/>
            <family val="2"/>
          </rPr>
          <t xml:space="preserve">
prescriptive rebate program</t>
        </r>
      </text>
    </comment>
    <comment ref="MJ2" authorId="0">
      <text>
        <r>
          <rPr>
            <b/>
            <sz val="9"/>
            <color indexed="81"/>
            <rFont val="Tahoma"/>
            <family val="2"/>
          </rPr>
          <t>Ingrid Malmgren:</t>
        </r>
        <r>
          <rPr>
            <sz val="9"/>
            <color indexed="81"/>
            <rFont val="Tahoma"/>
            <family val="2"/>
          </rPr>
          <t xml:space="preserve">
prescriptive rebate program</t>
        </r>
      </text>
    </comment>
    <comment ref="MK2" authorId="0">
      <text>
        <r>
          <rPr>
            <b/>
            <sz val="9"/>
            <color indexed="81"/>
            <rFont val="Tahoma"/>
            <family val="2"/>
          </rPr>
          <t>Ingrid Malmgren:</t>
        </r>
        <r>
          <rPr>
            <sz val="9"/>
            <color indexed="81"/>
            <rFont val="Tahoma"/>
            <family val="2"/>
          </rPr>
          <t xml:space="preserve">
prescriptive rebate program</t>
        </r>
      </text>
    </comment>
    <comment ref="ML2" authorId="0">
      <text>
        <r>
          <rPr>
            <b/>
            <sz val="9"/>
            <color indexed="81"/>
            <rFont val="Tahoma"/>
            <family val="2"/>
          </rPr>
          <t>Ingrid Malmgren:</t>
        </r>
        <r>
          <rPr>
            <sz val="9"/>
            <color indexed="81"/>
            <rFont val="Tahoma"/>
            <family val="2"/>
          </rPr>
          <t xml:space="preserve">
prescriptive rebate program</t>
        </r>
      </text>
    </comment>
    <comment ref="MM2" authorId="0">
      <text>
        <r>
          <rPr>
            <b/>
            <sz val="9"/>
            <color indexed="81"/>
            <rFont val="Tahoma"/>
            <family val="2"/>
          </rPr>
          <t>Ingrid Malmgren:</t>
        </r>
        <r>
          <rPr>
            <sz val="9"/>
            <color indexed="81"/>
            <rFont val="Tahoma"/>
            <family val="2"/>
          </rPr>
          <t xml:space="preserve">
prescriptive rebate program</t>
        </r>
      </text>
    </comment>
    <comment ref="MN2" authorId="0">
      <text>
        <r>
          <rPr>
            <b/>
            <sz val="9"/>
            <color indexed="81"/>
            <rFont val="Tahoma"/>
            <family val="2"/>
          </rPr>
          <t>Ingrid Malmgren:</t>
        </r>
        <r>
          <rPr>
            <sz val="9"/>
            <color indexed="81"/>
            <rFont val="Tahoma"/>
            <family val="2"/>
          </rPr>
          <t xml:space="preserve">
prescriptive rebate program</t>
        </r>
      </text>
    </comment>
    <comment ref="MO2" authorId="0">
      <text>
        <r>
          <rPr>
            <b/>
            <sz val="9"/>
            <color indexed="81"/>
            <rFont val="Tahoma"/>
            <family val="2"/>
          </rPr>
          <t>Ingrid Malmgren:</t>
        </r>
        <r>
          <rPr>
            <sz val="9"/>
            <color indexed="81"/>
            <rFont val="Tahoma"/>
            <family val="2"/>
          </rPr>
          <t xml:space="preserve">
prescriptive rebate program</t>
        </r>
      </text>
    </comment>
    <comment ref="MP2" authorId="0">
      <text>
        <r>
          <rPr>
            <b/>
            <sz val="9"/>
            <color indexed="81"/>
            <rFont val="Tahoma"/>
            <family val="2"/>
          </rPr>
          <t>Ingrid Malmgren:</t>
        </r>
        <r>
          <rPr>
            <sz val="9"/>
            <color indexed="81"/>
            <rFont val="Tahoma"/>
            <family val="2"/>
          </rPr>
          <t xml:space="preserve">
prescriptive rebate program</t>
        </r>
      </text>
    </comment>
    <comment ref="MQ2" authorId="0">
      <text>
        <r>
          <rPr>
            <b/>
            <sz val="9"/>
            <color indexed="81"/>
            <rFont val="Tahoma"/>
            <family val="2"/>
          </rPr>
          <t>Ingrid Malmgren:</t>
        </r>
        <r>
          <rPr>
            <sz val="9"/>
            <color indexed="81"/>
            <rFont val="Tahoma"/>
            <family val="2"/>
          </rPr>
          <t xml:space="preserve">
prescriptive rebate program</t>
        </r>
      </text>
    </comment>
    <comment ref="MR2" authorId="0">
      <text>
        <r>
          <rPr>
            <b/>
            <sz val="9"/>
            <color indexed="81"/>
            <rFont val="Tahoma"/>
            <family val="2"/>
          </rPr>
          <t>Ingrid Malmgren:</t>
        </r>
        <r>
          <rPr>
            <sz val="9"/>
            <color indexed="81"/>
            <rFont val="Tahoma"/>
            <family val="2"/>
          </rPr>
          <t xml:space="preserve">
prescriptive rebate program</t>
        </r>
      </text>
    </comment>
    <comment ref="MS2" authorId="0">
      <text>
        <r>
          <rPr>
            <b/>
            <sz val="9"/>
            <color indexed="81"/>
            <rFont val="Tahoma"/>
            <family val="2"/>
          </rPr>
          <t>Ingrid Malmgren:</t>
        </r>
        <r>
          <rPr>
            <sz val="9"/>
            <color indexed="81"/>
            <rFont val="Tahoma"/>
            <family val="2"/>
          </rPr>
          <t xml:space="preserve">
prescriptive rebate program</t>
        </r>
      </text>
    </comment>
    <comment ref="MT2" authorId="0">
      <text>
        <r>
          <rPr>
            <b/>
            <sz val="9"/>
            <color indexed="81"/>
            <rFont val="Tahoma"/>
            <family val="2"/>
          </rPr>
          <t>Ingrid Malmgren:</t>
        </r>
        <r>
          <rPr>
            <sz val="9"/>
            <color indexed="81"/>
            <rFont val="Tahoma"/>
            <family val="2"/>
          </rPr>
          <t xml:space="preserve">
prescriptive rebate program</t>
        </r>
      </text>
    </comment>
    <comment ref="MU2" authorId="0">
      <text>
        <r>
          <rPr>
            <b/>
            <sz val="9"/>
            <color indexed="81"/>
            <rFont val="Tahoma"/>
            <family val="2"/>
          </rPr>
          <t>Ingrid Malmgren:</t>
        </r>
        <r>
          <rPr>
            <sz val="9"/>
            <color indexed="81"/>
            <rFont val="Tahoma"/>
            <family val="2"/>
          </rPr>
          <t xml:space="preserve">
prescriptive rebate program</t>
        </r>
      </text>
    </comment>
    <comment ref="MV2" authorId="0">
      <text>
        <r>
          <rPr>
            <b/>
            <sz val="9"/>
            <color indexed="81"/>
            <rFont val="Tahoma"/>
            <family val="2"/>
          </rPr>
          <t>Ingrid Malmgren:</t>
        </r>
        <r>
          <rPr>
            <sz val="9"/>
            <color indexed="81"/>
            <rFont val="Tahoma"/>
            <family val="2"/>
          </rPr>
          <t xml:space="preserve">
prescriptive rebate program</t>
        </r>
      </text>
    </comment>
    <comment ref="MW2" authorId="0">
      <text>
        <r>
          <rPr>
            <b/>
            <sz val="9"/>
            <color indexed="81"/>
            <rFont val="Tahoma"/>
            <family val="2"/>
          </rPr>
          <t>Ingrid Malmgren:</t>
        </r>
        <r>
          <rPr>
            <sz val="9"/>
            <color indexed="81"/>
            <rFont val="Tahoma"/>
            <family val="2"/>
          </rPr>
          <t xml:space="preserve">
prescriptive rebate program</t>
        </r>
      </text>
    </comment>
    <comment ref="MX2" authorId="0">
      <text>
        <r>
          <rPr>
            <b/>
            <sz val="9"/>
            <color indexed="81"/>
            <rFont val="Tahoma"/>
            <family val="2"/>
          </rPr>
          <t>Ingrid Malmgren:</t>
        </r>
        <r>
          <rPr>
            <sz val="9"/>
            <color indexed="81"/>
            <rFont val="Tahoma"/>
            <family val="2"/>
          </rPr>
          <t xml:space="preserve">
prescriptive rebate program</t>
        </r>
      </text>
    </comment>
    <comment ref="MY2" authorId="0">
      <text>
        <r>
          <rPr>
            <b/>
            <sz val="9"/>
            <color indexed="81"/>
            <rFont val="Tahoma"/>
            <family val="2"/>
          </rPr>
          <t>Ingrid Malmgren:</t>
        </r>
        <r>
          <rPr>
            <sz val="9"/>
            <color indexed="81"/>
            <rFont val="Tahoma"/>
            <family val="2"/>
          </rPr>
          <t xml:space="preserve">
prescriptive rebate program</t>
        </r>
      </text>
    </comment>
    <comment ref="MZ2" authorId="0">
      <text>
        <r>
          <rPr>
            <b/>
            <sz val="9"/>
            <color indexed="81"/>
            <rFont val="Tahoma"/>
            <family val="2"/>
          </rPr>
          <t>Ingrid Malmgren:</t>
        </r>
        <r>
          <rPr>
            <sz val="9"/>
            <color indexed="81"/>
            <rFont val="Tahoma"/>
            <family val="2"/>
          </rPr>
          <t xml:space="preserve">
prescriptive rebate program</t>
        </r>
      </text>
    </comment>
    <comment ref="NA2" authorId="0">
      <text>
        <r>
          <rPr>
            <b/>
            <sz val="9"/>
            <color indexed="81"/>
            <rFont val="Tahoma"/>
            <family val="2"/>
          </rPr>
          <t>Ingrid Malmgren:</t>
        </r>
        <r>
          <rPr>
            <sz val="9"/>
            <color indexed="81"/>
            <rFont val="Tahoma"/>
            <family val="2"/>
          </rPr>
          <t xml:space="preserve">
prescriptive rebate program</t>
        </r>
      </text>
    </comment>
    <comment ref="NB2" authorId="0">
      <text>
        <r>
          <rPr>
            <b/>
            <sz val="9"/>
            <color indexed="81"/>
            <rFont val="Tahoma"/>
            <family val="2"/>
          </rPr>
          <t>Ingrid Malmgren:</t>
        </r>
        <r>
          <rPr>
            <sz val="9"/>
            <color indexed="81"/>
            <rFont val="Tahoma"/>
            <family val="2"/>
          </rPr>
          <t xml:space="preserve">
prescriptive rebate program</t>
        </r>
      </text>
    </comment>
    <comment ref="NC2" authorId="0">
      <text>
        <r>
          <rPr>
            <b/>
            <sz val="9"/>
            <color indexed="81"/>
            <rFont val="Tahoma"/>
            <family val="2"/>
          </rPr>
          <t>Ingrid Malmgren:</t>
        </r>
        <r>
          <rPr>
            <sz val="9"/>
            <color indexed="81"/>
            <rFont val="Tahoma"/>
            <family val="2"/>
          </rPr>
          <t xml:space="preserve">
prescriptive rebate program</t>
        </r>
      </text>
    </comment>
    <comment ref="ND2" authorId="0">
      <text>
        <r>
          <rPr>
            <b/>
            <sz val="9"/>
            <color indexed="81"/>
            <rFont val="Tahoma"/>
            <family val="2"/>
          </rPr>
          <t>Ingrid Malmgren:</t>
        </r>
        <r>
          <rPr>
            <sz val="9"/>
            <color indexed="81"/>
            <rFont val="Tahoma"/>
            <family val="2"/>
          </rPr>
          <t xml:space="preserve">
prescriptive rebate program</t>
        </r>
      </text>
    </comment>
    <comment ref="NE2" authorId="0">
      <text>
        <r>
          <rPr>
            <b/>
            <sz val="9"/>
            <color indexed="81"/>
            <rFont val="Tahoma"/>
            <family val="2"/>
          </rPr>
          <t>Ingrid Malmgren:</t>
        </r>
        <r>
          <rPr>
            <sz val="9"/>
            <color indexed="81"/>
            <rFont val="Tahoma"/>
            <family val="2"/>
          </rPr>
          <t xml:space="preserve">
prescriptive rebate program</t>
        </r>
      </text>
    </comment>
    <comment ref="NF2" authorId="0">
      <text>
        <r>
          <rPr>
            <b/>
            <sz val="9"/>
            <color indexed="81"/>
            <rFont val="Tahoma"/>
            <family val="2"/>
          </rPr>
          <t>Ingrid Malmgren:</t>
        </r>
        <r>
          <rPr>
            <sz val="9"/>
            <color indexed="81"/>
            <rFont val="Tahoma"/>
            <family val="2"/>
          </rPr>
          <t xml:space="preserve">
prescriptive rebate program</t>
        </r>
      </text>
    </comment>
    <comment ref="NG2" authorId="0">
      <text>
        <r>
          <rPr>
            <b/>
            <sz val="9"/>
            <color indexed="81"/>
            <rFont val="Tahoma"/>
            <family val="2"/>
          </rPr>
          <t>Ingrid Malmgren:</t>
        </r>
        <r>
          <rPr>
            <sz val="9"/>
            <color indexed="81"/>
            <rFont val="Tahoma"/>
            <family val="2"/>
          </rPr>
          <t xml:space="preserve">
prescriptive rebate program</t>
        </r>
      </text>
    </comment>
    <comment ref="NH2" authorId="0">
      <text>
        <r>
          <rPr>
            <b/>
            <sz val="9"/>
            <color indexed="81"/>
            <rFont val="Tahoma"/>
            <family val="2"/>
          </rPr>
          <t>Ingrid Malmgren:</t>
        </r>
        <r>
          <rPr>
            <sz val="9"/>
            <color indexed="81"/>
            <rFont val="Tahoma"/>
            <family val="2"/>
          </rPr>
          <t xml:space="preserve">
prescriptive rebate program</t>
        </r>
      </text>
    </comment>
    <comment ref="NI2" authorId="0">
      <text>
        <r>
          <rPr>
            <b/>
            <sz val="9"/>
            <color indexed="81"/>
            <rFont val="Tahoma"/>
            <family val="2"/>
          </rPr>
          <t>Ingrid Malmgren:</t>
        </r>
        <r>
          <rPr>
            <sz val="9"/>
            <color indexed="81"/>
            <rFont val="Tahoma"/>
            <family val="2"/>
          </rPr>
          <t xml:space="preserve">
prescriptive rebate program</t>
        </r>
      </text>
    </comment>
    <comment ref="NJ2" authorId="0">
      <text>
        <r>
          <rPr>
            <b/>
            <sz val="9"/>
            <color indexed="81"/>
            <rFont val="Tahoma"/>
            <family val="2"/>
          </rPr>
          <t>Ingrid Malmgren:</t>
        </r>
        <r>
          <rPr>
            <sz val="9"/>
            <color indexed="81"/>
            <rFont val="Tahoma"/>
            <family val="2"/>
          </rPr>
          <t xml:space="preserve">
prescriptive rebate program</t>
        </r>
      </text>
    </comment>
    <comment ref="NK2" authorId="0">
      <text>
        <r>
          <rPr>
            <b/>
            <sz val="9"/>
            <color indexed="81"/>
            <rFont val="Tahoma"/>
            <family val="2"/>
          </rPr>
          <t>Ingrid Malmgren:</t>
        </r>
        <r>
          <rPr>
            <sz val="9"/>
            <color indexed="81"/>
            <rFont val="Tahoma"/>
            <family val="2"/>
          </rPr>
          <t xml:space="preserve">
prescriptive rebate program</t>
        </r>
      </text>
    </comment>
    <comment ref="NL2" authorId="0">
      <text>
        <r>
          <rPr>
            <b/>
            <sz val="9"/>
            <color indexed="81"/>
            <rFont val="Tahoma"/>
            <family val="2"/>
          </rPr>
          <t>Ingrid Malmgren:</t>
        </r>
        <r>
          <rPr>
            <sz val="9"/>
            <color indexed="81"/>
            <rFont val="Tahoma"/>
            <family val="2"/>
          </rPr>
          <t xml:space="preserve">
prescriptive rebate program</t>
        </r>
      </text>
    </comment>
    <comment ref="NM2" authorId="0">
      <text>
        <r>
          <rPr>
            <b/>
            <sz val="9"/>
            <color indexed="81"/>
            <rFont val="Tahoma"/>
            <family val="2"/>
          </rPr>
          <t>Ingrid Malmgren:</t>
        </r>
        <r>
          <rPr>
            <sz val="9"/>
            <color indexed="81"/>
            <rFont val="Tahoma"/>
            <family val="2"/>
          </rPr>
          <t xml:space="preserve">
prescriptive rebate program</t>
        </r>
      </text>
    </comment>
    <comment ref="NN2" authorId="0">
      <text>
        <r>
          <rPr>
            <b/>
            <sz val="9"/>
            <color indexed="81"/>
            <rFont val="Tahoma"/>
            <family val="2"/>
          </rPr>
          <t>Ingrid Malmgren:</t>
        </r>
        <r>
          <rPr>
            <sz val="9"/>
            <color indexed="81"/>
            <rFont val="Tahoma"/>
            <family val="2"/>
          </rPr>
          <t xml:space="preserve">
prescriptive rebate program</t>
        </r>
      </text>
    </comment>
    <comment ref="NO2" authorId="0">
      <text>
        <r>
          <rPr>
            <b/>
            <sz val="9"/>
            <color indexed="81"/>
            <rFont val="Tahoma"/>
            <family val="2"/>
          </rPr>
          <t>Ingrid Malmgren:</t>
        </r>
        <r>
          <rPr>
            <sz val="9"/>
            <color indexed="81"/>
            <rFont val="Tahoma"/>
            <family val="2"/>
          </rPr>
          <t xml:space="preserve">
prescriptive rebate program</t>
        </r>
      </text>
    </comment>
    <comment ref="NP2" authorId="0">
      <text>
        <r>
          <rPr>
            <b/>
            <sz val="9"/>
            <color indexed="81"/>
            <rFont val="Tahoma"/>
            <family val="2"/>
          </rPr>
          <t>Ingrid Malmgren:</t>
        </r>
        <r>
          <rPr>
            <sz val="9"/>
            <color indexed="81"/>
            <rFont val="Tahoma"/>
            <family val="2"/>
          </rPr>
          <t xml:space="preserve">
prescriptive rebate program</t>
        </r>
      </text>
    </comment>
    <comment ref="NQ2" authorId="0">
      <text>
        <r>
          <rPr>
            <b/>
            <sz val="9"/>
            <color indexed="81"/>
            <rFont val="Tahoma"/>
            <family val="2"/>
          </rPr>
          <t>Ingrid Malmgren:</t>
        </r>
        <r>
          <rPr>
            <sz val="9"/>
            <color indexed="81"/>
            <rFont val="Tahoma"/>
            <family val="2"/>
          </rPr>
          <t xml:space="preserve">
prescriptive rebate program</t>
        </r>
      </text>
    </comment>
    <comment ref="NR2" authorId="0">
      <text>
        <r>
          <rPr>
            <b/>
            <sz val="9"/>
            <color indexed="81"/>
            <rFont val="Tahoma"/>
            <family val="2"/>
          </rPr>
          <t>Ingrid Malmgren:</t>
        </r>
        <r>
          <rPr>
            <sz val="9"/>
            <color indexed="81"/>
            <rFont val="Tahoma"/>
            <family val="2"/>
          </rPr>
          <t xml:space="preserve">
prescriptive rebate program</t>
        </r>
      </text>
    </comment>
    <comment ref="NS2" authorId="0">
      <text>
        <r>
          <rPr>
            <b/>
            <sz val="9"/>
            <color indexed="81"/>
            <rFont val="Tahoma"/>
            <family val="2"/>
          </rPr>
          <t>Ingrid Malmgren:</t>
        </r>
        <r>
          <rPr>
            <sz val="9"/>
            <color indexed="81"/>
            <rFont val="Tahoma"/>
            <family val="2"/>
          </rPr>
          <t xml:space="preserve">
prescriptive rebate program</t>
        </r>
      </text>
    </comment>
    <comment ref="NT2" authorId="0">
      <text>
        <r>
          <rPr>
            <b/>
            <sz val="9"/>
            <color indexed="81"/>
            <rFont val="Tahoma"/>
            <family val="2"/>
          </rPr>
          <t>Ingrid Malmgren:</t>
        </r>
        <r>
          <rPr>
            <sz val="9"/>
            <color indexed="81"/>
            <rFont val="Tahoma"/>
            <family val="2"/>
          </rPr>
          <t xml:space="preserve">
prescriptive rebate program</t>
        </r>
      </text>
    </comment>
    <comment ref="NU2" authorId="0">
      <text>
        <r>
          <rPr>
            <b/>
            <sz val="9"/>
            <color indexed="81"/>
            <rFont val="Tahoma"/>
            <family val="2"/>
          </rPr>
          <t>Ingrid Malmgren:</t>
        </r>
        <r>
          <rPr>
            <sz val="9"/>
            <color indexed="81"/>
            <rFont val="Tahoma"/>
            <family val="2"/>
          </rPr>
          <t xml:space="preserve">
prescriptive rebate program</t>
        </r>
      </text>
    </comment>
    <comment ref="NV2" authorId="0">
      <text>
        <r>
          <rPr>
            <b/>
            <sz val="9"/>
            <color indexed="81"/>
            <rFont val="Tahoma"/>
            <family val="2"/>
          </rPr>
          <t>Ingrid Malmgren:</t>
        </r>
        <r>
          <rPr>
            <sz val="9"/>
            <color indexed="81"/>
            <rFont val="Tahoma"/>
            <family val="2"/>
          </rPr>
          <t xml:space="preserve">
prescriptive rebate program</t>
        </r>
      </text>
    </comment>
    <comment ref="NW2" authorId="0">
      <text>
        <r>
          <rPr>
            <b/>
            <sz val="9"/>
            <color indexed="81"/>
            <rFont val="Tahoma"/>
            <family val="2"/>
          </rPr>
          <t>Ingrid Malmgren:</t>
        </r>
        <r>
          <rPr>
            <sz val="9"/>
            <color indexed="81"/>
            <rFont val="Tahoma"/>
            <family val="2"/>
          </rPr>
          <t xml:space="preserve">
prescriptive rebate program</t>
        </r>
      </text>
    </comment>
    <comment ref="NX2" authorId="0">
      <text>
        <r>
          <rPr>
            <b/>
            <sz val="9"/>
            <color indexed="81"/>
            <rFont val="Tahoma"/>
            <family val="2"/>
          </rPr>
          <t>Ingrid Malmgren:</t>
        </r>
        <r>
          <rPr>
            <sz val="9"/>
            <color indexed="81"/>
            <rFont val="Tahoma"/>
            <family val="2"/>
          </rPr>
          <t xml:space="preserve">
prescriptive rebate program</t>
        </r>
      </text>
    </comment>
    <comment ref="NY2" authorId="0">
      <text>
        <r>
          <rPr>
            <b/>
            <sz val="9"/>
            <color indexed="81"/>
            <rFont val="Tahoma"/>
            <family val="2"/>
          </rPr>
          <t>Ingrid Malmgren:</t>
        </r>
        <r>
          <rPr>
            <sz val="9"/>
            <color indexed="81"/>
            <rFont val="Tahoma"/>
            <family val="2"/>
          </rPr>
          <t xml:space="preserve">
prescriptive rebate program</t>
        </r>
      </text>
    </comment>
    <comment ref="NZ2" authorId="0">
      <text>
        <r>
          <rPr>
            <b/>
            <sz val="9"/>
            <color indexed="81"/>
            <rFont val="Tahoma"/>
            <family val="2"/>
          </rPr>
          <t>Ingrid Malmgren:</t>
        </r>
        <r>
          <rPr>
            <sz val="9"/>
            <color indexed="81"/>
            <rFont val="Tahoma"/>
            <family val="2"/>
          </rPr>
          <t xml:space="preserve">
prescriptive rebate program</t>
        </r>
      </text>
    </comment>
    <comment ref="OA2" authorId="0">
      <text>
        <r>
          <rPr>
            <b/>
            <sz val="9"/>
            <color indexed="81"/>
            <rFont val="Tahoma"/>
            <family val="2"/>
          </rPr>
          <t>Ingrid Malmgren:</t>
        </r>
        <r>
          <rPr>
            <sz val="9"/>
            <color indexed="81"/>
            <rFont val="Tahoma"/>
            <family val="2"/>
          </rPr>
          <t xml:space="preserve">
prescriptive rebate program</t>
        </r>
      </text>
    </comment>
    <comment ref="OB2" authorId="0">
      <text>
        <r>
          <rPr>
            <b/>
            <sz val="9"/>
            <color indexed="81"/>
            <rFont val="Tahoma"/>
            <family val="2"/>
          </rPr>
          <t>Ingrid Malmgren:</t>
        </r>
        <r>
          <rPr>
            <sz val="9"/>
            <color indexed="81"/>
            <rFont val="Tahoma"/>
            <family val="2"/>
          </rPr>
          <t xml:space="preserve">
prescriptive rebate program</t>
        </r>
      </text>
    </comment>
    <comment ref="OC2" authorId="0">
      <text>
        <r>
          <rPr>
            <b/>
            <sz val="9"/>
            <color indexed="81"/>
            <rFont val="Tahoma"/>
            <family val="2"/>
          </rPr>
          <t>Ingrid Malmgren:</t>
        </r>
        <r>
          <rPr>
            <sz val="9"/>
            <color indexed="81"/>
            <rFont val="Tahoma"/>
            <family val="2"/>
          </rPr>
          <t xml:space="preserve">
prescriptive rebate program</t>
        </r>
      </text>
    </comment>
    <comment ref="OD2" authorId="0">
      <text>
        <r>
          <rPr>
            <b/>
            <sz val="9"/>
            <color indexed="81"/>
            <rFont val="Tahoma"/>
            <family val="2"/>
          </rPr>
          <t>Ingrid Malmgren:</t>
        </r>
        <r>
          <rPr>
            <sz val="9"/>
            <color indexed="81"/>
            <rFont val="Tahoma"/>
            <family val="2"/>
          </rPr>
          <t xml:space="preserve">
prescriptive rebate program</t>
        </r>
      </text>
    </comment>
    <comment ref="OE2" authorId="0">
      <text>
        <r>
          <rPr>
            <b/>
            <sz val="9"/>
            <color indexed="81"/>
            <rFont val="Tahoma"/>
            <family val="2"/>
          </rPr>
          <t>Ingrid Malmgren:</t>
        </r>
        <r>
          <rPr>
            <sz val="9"/>
            <color indexed="81"/>
            <rFont val="Tahoma"/>
            <family val="2"/>
          </rPr>
          <t xml:space="preserve">
prescriptive rebate program</t>
        </r>
      </text>
    </comment>
    <comment ref="OF2" authorId="0">
      <text>
        <r>
          <rPr>
            <b/>
            <sz val="9"/>
            <color indexed="81"/>
            <rFont val="Tahoma"/>
            <family val="2"/>
          </rPr>
          <t>Ingrid Malmgren:</t>
        </r>
        <r>
          <rPr>
            <sz val="9"/>
            <color indexed="81"/>
            <rFont val="Tahoma"/>
            <family val="2"/>
          </rPr>
          <t xml:space="preserve">
prescriptive rebate program</t>
        </r>
      </text>
    </comment>
    <comment ref="OG2" authorId="0">
      <text>
        <r>
          <rPr>
            <b/>
            <sz val="9"/>
            <color indexed="81"/>
            <rFont val="Tahoma"/>
            <family val="2"/>
          </rPr>
          <t>Ingrid Malmgren:</t>
        </r>
        <r>
          <rPr>
            <sz val="9"/>
            <color indexed="81"/>
            <rFont val="Tahoma"/>
            <family val="2"/>
          </rPr>
          <t xml:space="preserve">
prescriptive rebate program</t>
        </r>
      </text>
    </comment>
    <comment ref="OH2" authorId="0">
      <text>
        <r>
          <rPr>
            <b/>
            <sz val="9"/>
            <color indexed="81"/>
            <rFont val="Tahoma"/>
            <family val="2"/>
          </rPr>
          <t>Ingrid Malmgren:</t>
        </r>
        <r>
          <rPr>
            <sz val="9"/>
            <color indexed="81"/>
            <rFont val="Tahoma"/>
            <family val="2"/>
          </rPr>
          <t xml:space="preserve">
prescriptive rebate program</t>
        </r>
      </text>
    </comment>
    <comment ref="OI2" authorId="0">
      <text>
        <r>
          <rPr>
            <b/>
            <sz val="9"/>
            <color indexed="81"/>
            <rFont val="Tahoma"/>
            <family val="2"/>
          </rPr>
          <t>Ingrid Malmgren:</t>
        </r>
        <r>
          <rPr>
            <sz val="9"/>
            <color indexed="81"/>
            <rFont val="Tahoma"/>
            <family val="2"/>
          </rPr>
          <t xml:space="preserve">
prescriptive rebate program</t>
        </r>
      </text>
    </comment>
    <comment ref="OJ2" authorId="0">
      <text>
        <r>
          <rPr>
            <b/>
            <sz val="9"/>
            <color indexed="81"/>
            <rFont val="Tahoma"/>
            <family val="2"/>
          </rPr>
          <t>Ingrid Malmgren:</t>
        </r>
        <r>
          <rPr>
            <sz val="9"/>
            <color indexed="81"/>
            <rFont val="Tahoma"/>
            <family val="2"/>
          </rPr>
          <t xml:space="preserve">
prescriptive rebate program</t>
        </r>
      </text>
    </comment>
    <comment ref="OK2" authorId="0">
      <text>
        <r>
          <rPr>
            <b/>
            <sz val="9"/>
            <color indexed="81"/>
            <rFont val="Tahoma"/>
            <family val="2"/>
          </rPr>
          <t>Ingrid Malmgren:</t>
        </r>
        <r>
          <rPr>
            <sz val="9"/>
            <color indexed="81"/>
            <rFont val="Tahoma"/>
            <family val="2"/>
          </rPr>
          <t xml:space="preserve">
prescriptive rebate program</t>
        </r>
      </text>
    </comment>
    <comment ref="OL2" authorId="0">
      <text>
        <r>
          <rPr>
            <b/>
            <sz val="9"/>
            <color indexed="81"/>
            <rFont val="Tahoma"/>
            <family val="2"/>
          </rPr>
          <t>Ingrid Malmgren:</t>
        </r>
        <r>
          <rPr>
            <sz val="9"/>
            <color indexed="81"/>
            <rFont val="Tahoma"/>
            <family val="2"/>
          </rPr>
          <t xml:space="preserve">
prescriptive rebate program</t>
        </r>
      </text>
    </comment>
    <comment ref="OM2" authorId="0">
      <text>
        <r>
          <rPr>
            <b/>
            <sz val="9"/>
            <color indexed="81"/>
            <rFont val="Tahoma"/>
            <family val="2"/>
          </rPr>
          <t>Ingrid Malmgren:</t>
        </r>
        <r>
          <rPr>
            <sz val="9"/>
            <color indexed="81"/>
            <rFont val="Tahoma"/>
            <family val="2"/>
          </rPr>
          <t xml:space="preserve">
prescriptive rebate program</t>
        </r>
      </text>
    </comment>
    <comment ref="ON2" authorId="0">
      <text>
        <r>
          <rPr>
            <b/>
            <sz val="9"/>
            <color indexed="81"/>
            <rFont val="Tahoma"/>
            <family val="2"/>
          </rPr>
          <t>Ingrid Malmgren:</t>
        </r>
        <r>
          <rPr>
            <sz val="9"/>
            <color indexed="81"/>
            <rFont val="Tahoma"/>
            <family val="2"/>
          </rPr>
          <t xml:space="preserve">
prescriptive rebate program</t>
        </r>
      </text>
    </comment>
    <comment ref="OO2" authorId="0">
      <text>
        <r>
          <rPr>
            <b/>
            <sz val="9"/>
            <color indexed="81"/>
            <rFont val="Tahoma"/>
            <family val="2"/>
          </rPr>
          <t>Ingrid Malmgren:</t>
        </r>
        <r>
          <rPr>
            <sz val="9"/>
            <color indexed="81"/>
            <rFont val="Tahoma"/>
            <family val="2"/>
          </rPr>
          <t xml:space="preserve">
prescriptive rebate program</t>
        </r>
      </text>
    </comment>
    <comment ref="OP2" authorId="0">
      <text>
        <r>
          <rPr>
            <b/>
            <sz val="9"/>
            <color indexed="81"/>
            <rFont val="Tahoma"/>
            <family val="2"/>
          </rPr>
          <t>Ingrid Malmgren:</t>
        </r>
        <r>
          <rPr>
            <sz val="9"/>
            <color indexed="81"/>
            <rFont val="Tahoma"/>
            <family val="2"/>
          </rPr>
          <t xml:space="preserve">
prescriptive rebate program</t>
        </r>
      </text>
    </comment>
    <comment ref="OQ2" authorId="0">
      <text>
        <r>
          <rPr>
            <b/>
            <sz val="9"/>
            <color indexed="81"/>
            <rFont val="Tahoma"/>
            <family val="2"/>
          </rPr>
          <t>Ingrid Malmgren:</t>
        </r>
        <r>
          <rPr>
            <sz val="9"/>
            <color indexed="81"/>
            <rFont val="Tahoma"/>
            <family val="2"/>
          </rPr>
          <t xml:space="preserve">
prescriptive rebate program</t>
        </r>
      </text>
    </comment>
    <comment ref="OR2" authorId="0">
      <text>
        <r>
          <rPr>
            <b/>
            <sz val="9"/>
            <color indexed="81"/>
            <rFont val="Tahoma"/>
            <family val="2"/>
          </rPr>
          <t>Ingrid Malmgren:</t>
        </r>
        <r>
          <rPr>
            <sz val="9"/>
            <color indexed="81"/>
            <rFont val="Tahoma"/>
            <family val="2"/>
          </rPr>
          <t xml:space="preserve">
prescriptive rebate program</t>
        </r>
      </text>
    </comment>
    <comment ref="OS2" authorId="0">
      <text>
        <r>
          <rPr>
            <b/>
            <sz val="9"/>
            <color indexed="81"/>
            <rFont val="Tahoma"/>
            <family val="2"/>
          </rPr>
          <t>Ingrid Malmgren:</t>
        </r>
        <r>
          <rPr>
            <sz val="9"/>
            <color indexed="81"/>
            <rFont val="Tahoma"/>
            <family val="2"/>
          </rPr>
          <t xml:space="preserve">
prescriptive rebate program</t>
        </r>
      </text>
    </comment>
    <comment ref="OT2" authorId="0">
      <text>
        <r>
          <rPr>
            <b/>
            <sz val="9"/>
            <color indexed="81"/>
            <rFont val="Tahoma"/>
            <family val="2"/>
          </rPr>
          <t>Ingrid Malmgren:</t>
        </r>
        <r>
          <rPr>
            <sz val="9"/>
            <color indexed="81"/>
            <rFont val="Tahoma"/>
            <family val="2"/>
          </rPr>
          <t xml:space="preserve">
prescriptive rebate program</t>
        </r>
      </text>
    </comment>
    <comment ref="OU2" authorId="0">
      <text>
        <r>
          <rPr>
            <b/>
            <sz val="9"/>
            <color indexed="81"/>
            <rFont val="Tahoma"/>
            <family val="2"/>
          </rPr>
          <t>Ingrid Malmgren:</t>
        </r>
        <r>
          <rPr>
            <sz val="9"/>
            <color indexed="81"/>
            <rFont val="Tahoma"/>
            <family val="2"/>
          </rPr>
          <t xml:space="preserve">
prescriptive rebate program</t>
        </r>
      </text>
    </comment>
    <comment ref="OV2" authorId="0">
      <text>
        <r>
          <rPr>
            <b/>
            <sz val="9"/>
            <color indexed="81"/>
            <rFont val="Tahoma"/>
            <family val="2"/>
          </rPr>
          <t>Ingrid Malmgren:</t>
        </r>
        <r>
          <rPr>
            <sz val="9"/>
            <color indexed="81"/>
            <rFont val="Tahoma"/>
            <family val="2"/>
          </rPr>
          <t xml:space="preserve">
prescriptive rebate program</t>
        </r>
      </text>
    </comment>
    <comment ref="OW2" authorId="0">
      <text>
        <r>
          <rPr>
            <b/>
            <sz val="9"/>
            <color indexed="81"/>
            <rFont val="Tahoma"/>
            <family val="2"/>
          </rPr>
          <t>Ingrid Malmgren:</t>
        </r>
        <r>
          <rPr>
            <sz val="9"/>
            <color indexed="81"/>
            <rFont val="Tahoma"/>
            <family val="2"/>
          </rPr>
          <t xml:space="preserve">
prescriptive rebate program</t>
        </r>
      </text>
    </comment>
    <comment ref="OX2" authorId="0">
      <text>
        <r>
          <rPr>
            <b/>
            <sz val="9"/>
            <color indexed="81"/>
            <rFont val="Tahoma"/>
            <family val="2"/>
          </rPr>
          <t>Ingrid Malmgren:</t>
        </r>
        <r>
          <rPr>
            <sz val="9"/>
            <color indexed="81"/>
            <rFont val="Tahoma"/>
            <family val="2"/>
          </rPr>
          <t xml:space="preserve">
prescriptive rebate program</t>
        </r>
      </text>
    </comment>
    <comment ref="OY2" authorId="0">
      <text>
        <r>
          <rPr>
            <b/>
            <sz val="9"/>
            <color indexed="81"/>
            <rFont val="Tahoma"/>
            <family val="2"/>
          </rPr>
          <t>Ingrid Malmgren:</t>
        </r>
        <r>
          <rPr>
            <sz val="9"/>
            <color indexed="81"/>
            <rFont val="Tahoma"/>
            <family val="2"/>
          </rPr>
          <t xml:space="preserve">
prescriptive rebate program</t>
        </r>
      </text>
    </comment>
    <comment ref="OZ2" authorId="0">
      <text>
        <r>
          <rPr>
            <b/>
            <sz val="9"/>
            <color indexed="81"/>
            <rFont val="Tahoma"/>
            <family val="2"/>
          </rPr>
          <t>Ingrid Malmgren:</t>
        </r>
        <r>
          <rPr>
            <sz val="9"/>
            <color indexed="81"/>
            <rFont val="Tahoma"/>
            <family val="2"/>
          </rPr>
          <t xml:space="preserve">
prescriptive rebate program</t>
        </r>
      </text>
    </comment>
    <comment ref="PA2" authorId="0">
      <text>
        <r>
          <rPr>
            <b/>
            <sz val="9"/>
            <color indexed="81"/>
            <rFont val="Tahoma"/>
            <family val="2"/>
          </rPr>
          <t>Ingrid Malmgren:</t>
        </r>
        <r>
          <rPr>
            <sz val="9"/>
            <color indexed="81"/>
            <rFont val="Tahoma"/>
            <family val="2"/>
          </rPr>
          <t xml:space="preserve">
prescriptive rebate program</t>
        </r>
      </text>
    </comment>
    <comment ref="PB2" authorId="0">
      <text>
        <r>
          <rPr>
            <b/>
            <sz val="9"/>
            <color indexed="81"/>
            <rFont val="Tahoma"/>
            <family val="2"/>
          </rPr>
          <t>Ingrid Malmgren:</t>
        </r>
        <r>
          <rPr>
            <sz val="9"/>
            <color indexed="81"/>
            <rFont val="Tahoma"/>
            <family val="2"/>
          </rPr>
          <t xml:space="preserve">
prescriptive rebate program</t>
        </r>
      </text>
    </comment>
    <comment ref="PC2" authorId="0">
      <text>
        <r>
          <rPr>
            <b/>
            <sz val="9"/>
            <color indexed="81"/>
            <rFont val="Tahoma"/>
            <family val="2"/>
          </rPr>
          <t>Ingrid Malmgren:</t>
        </r>
        <r>
          <rPr>
            <sz val="9"/>
            <color indexed="81"/>
            <rFont val="Tahoma"/>
            <family val="2"/>
          </rPr>
          <t xml:space="preserve">
prescriptive rebate program</t>
        </r>
      </text>
    </comment>
    <comment ref="PD2" authorId="0">
      <text>
        <r>
          <rPr>
            <b/>
            <sz val="9"/>
            <color indexed="81"/>
            <rFont val="Tahoma"/>
            <family val="2"/>
          </rPr>
          <t>Ingrid Malmgren:</t>
        </r>
        <r>
          <rPr>
            <sz val="9"/>
            <color indexed="81"/>
            <rFont val="Tahoma"/>
            <family val="2"/>
          </rPr>
          <t xml:space="preserve">
prescriptive rebate program</t>
        </r>
      </text>
    </comment>
    <comment ref="PE2" authorId="0">
      <text>
        <r>
          <rPr>
            <b/>
            <sz val="9"/>
            <color indexed="81"/>
            <rFont val="Tahoma"/>
            <family val="2"/>
          </rPr>
          <t>Ingrid Malmgren:</t>
        </r>
        <r>
          <rPr>
            <sz val="9"/>
            <color indexed="81"/>
            <rFont val="Tahoma"/>
            <family val="2"/>
          </rPr>
          <t xml:space="preserve">
prescriptive rebate program</t>
        </r>
      </text>
    </comment>
    <comment ref="PF2" authorId="0">
      <text>
        <r>
          <rPr>
            <b/>
            <sz val="9"/>
            <color indexed="81"/>
            <rFont val="Tahoma"/>
            <family val="2"/>
          </rPr>
          <t>Ingrid Malmgren:</t>
        </r>
        <r>
          <rPr>
            <sz val="9"/>
            <color indexed="81"/>
            <rFont val="Tahoma"/>
            <family val="2"/>
          </rPr>
          <t xml:space="preserve">
prescriptive rebate program</t>
        </r>
      </text>
    </comment>
    <comment ref="PG2" authorId="0">
      <text>
        <r>
          <rPr>
            <b/>
            <sz val="9"/>
            <color indexed="81"/>
            <rFont val="Tahoma"/>
            <family val="2"/>
          </rPr>
          <t>Ingrid Malmgren:</t>
        </r>
        <r>
          <rPr>
            <sz val="9"/>
            <color indexed="81"/>
            <rFont val="Tahoma"/>
            <family val="2"/>
          </rPr>
          <t xml:space="preserve">
prescriptive rebate program</t>
        </r>
      </text>
    </comment>
    <comment ref="PH2" authorId="0">
      <text>
        <r>
          <rPr>
            <b/>
            <sz val="9"/>
            <color indexed="81"/>
            <rFont val="Tahoma"/>
            <family val="2"/>
          </rPr>
          <t>Ingrid Malmgren:</t>
        </r>
        <r>
          <rPr>
            <sz val="9"/>
            <color indexed="81"/>
            <rFont val="Tahoma"/>
            <family val="2"/>
          </rPr>
          <t xml:space="preserve">
prescriptive rebate program</t>
        </r>
      </text>
    </comment>
    <comment ref="PI2" authorId="0">
      <text>
        <r>
          <rPr>
            <b/>
            <sz val="9"/>
            <color indexed="81"/>
            <rFont val="Tahoma"/>
            <family val="2"/>
          </rPr>
          <t>Ingrid Malmgren:</t>
        </r>
        <r>
          <rPr>
            <sz val="9"/>
            <color indexed="81"/>
            <rFont val="Tahoma"/>
            <family val="2"/>
          </rPr>
          <t xml:space="preserve">
prescriptive rebate program</t>
        </r>
      </text>
    </comment>
    <comment ref="PJ2" authorId="0">
      <text>
        <r>
          <rPr>
            <b/>
            <sz val="9"/>
            <color indexed="81"/>
            <rFont val="Tahoma"/>
            <family val="2"/>
          </rPr>
          <t>Ingrid Malmgren:</t>
        </r>
        <r>
          <rPr>
            <sz val="9"/>
            <color indexed="81"/>
            <rFont val="Tahoma"/>
            <family val="2"/>
          </rPr>
          <t xml:space="preserve">
prescriptive rebate program</t>
        </r>
      </text>
    </comment>
    <comment ref="PK2" authorId="0">
      <text>
        <r>
          <rPr>
            <b/>
            <sz val="9"/>
            <color indexed="81"/>
            <rFont val="Tahoma"/>
            <family val="2"/>
          </rPr>
          <t>Ingrid Malmgren:</t>
        </r>
        <r>
          <rPr>
            <sz val="9"/>
            <color indexed="81"/>
            <rFont val="Tahoma"/>
            <family val="2"/>
          </rPr>
          <t xml:space="preserve">
prescriptive rebate program</t>
        </r>
      </text>
    </comment>
    <comment ref="PL2" authorId="0">
      <text>
        <r>
          <rPr>
            <b/>
            <sz val="9"/>
            <color indexed="81"/>
            <rFont val="Tahoma"/>
            <family val="2"/>
          </rPr>
          <t>Ingrid Malmgren:</t>
        </r>
        <r>
          <rPr>
            <sz val="9"/>
            <color indexed="81"/>
            <rFont val="Tahoma"/>
            <family val="2"/>
          </rPr>
          <t xml:space="preserve">
prescriptive rebate program</t>
        </r>
      </text>
    </comment>
    <comment ref="PM2" authorId="0">
      <text>
        <r>
          <rPr>
            <b/>
            <sz val="9"/>
            <color indexed="81"/>
            <rFont val="Tahoma"/>
            <family val="2"/>
          </rPr>
          <t>Ingrid Malmgren:</t>
        </r>
        <r>
          <rPr>
            <sz val="9"/>
            <color indexed="81"/>
            <rFont val="Tahoma"/>
            <family val="2"/>
          </rPr>
          <t xml:space="preserve">
prescriptive rebate program</t>
        </r>
      </text>
    </comment>
    <comment ref="PN2" authorId="0">
      <text>
        <r>
          <rPr>
            <b/>
            <sz val="9"/>
            <color indexed="81"/>
            <rFont val="Tahoma"/>
            <family val="2"/>
          </rPr>
          <t>Ingrid Malmgren:</t>
        </r>
        <r>
          <rPr>
            <sz val="9"/>
            <color indexed="81"/>
            <rFont val="Tahoma"/>
            <family val="2"/>
          </rPr>
          <t xml:space="preserve">
prescriptive rebate program</t>
        </r>
      </text>
    </comment>
    <comment ref="PO2" authorId="0">
      <text>
        <r>
          <rPr>
            <b/>
            <sz val="9"/>
            <color indexed="81"/>
            <rFont val="Tahoma"/>
            <family val="2"/>
          </rPr>
          <t>Ingrid Malmgren:</t>
        </r>
        <r>
          <rPr>
            <sz val="9"/>
            <color indexed="81"/>
            <rFont val="Tahoma"/>
            <family val="2"/>
          </rPr>
          <t xml:space="preserve">
prescriptive rebate program</t>
        </r>
      </text>
    </comment>
    <comment ref="PP2" authorId="0">
      <text>
        <r>
          <rPr>
            <b/>
            <sz val="9"/>
            <color indexed="81"/>
            <rFont val="Tahoma"/>
            <family val="2"/>
          </rPr>
          <t>Ingrid Malmgren:</t>
        </r>
        <r>
          <rPr>
            <sz val="9"/>
            <color indexed="81"/>
            <rFont val="Tahoma"/>
            <family val="2"/>
          </rPr>
          <t xml:space="preserve">
prescriptive rebate program</t>
        </r>
      </text>
    </comment>
    <comment ref="PQ2" authorId="0">
      <text>
        <r>
          <rPr>
            <b/>
            <sz val="9"/>
            <color indexed="81"/>
            <rFont val="Tahoma"/>
            <family val="2"/>
          </rPr>
          <t>Ingrid Malmgren:</t>
        </r>
        <r>
          <rPr>
            <sz val="9"/>
            <color indexed="81"/>
            <rFont val="Tahoma"/>
            <family val="2"/>
          </rPr>
          <t xml:space="preserve">
prescriptive rebate program</t>
        </r>
      </text>
    </comment>
    <comment ref="PR2" authorId="0">
      <text>
        <r>
          <rPr>
            <b/>
            <sz val="9"/>
            <color indexed="81"/>
            <rFont val="Tahoma"/>
            <family val="2"/>
          </rPr>
          <t>Ingrid Malmgren:</t>
        </r>
        <r>
          <rPr>
            <sz val="9"/>
            <color indexed="81"/>
            <rFont val="Tahoma"/>
            <family val="2"/>
          </rPr>
          <t xml:space="preserve">
prescriptive rebate program</t>
        </r>
      </text>
    </comment>
    <comment ref="PS2" authorId="0">
      <text>
        <r>
          <rPr>
            <b/>
            <sz val="9"/>
            <color indexed="81"/>
            <rFont val="Tahoma"/>
            <family val="2"/>
          </rPr>
          <t>Ingrid Malmgren:</t>
        </r>
        <r>
          <rPr>
            <sz val="9"/>
            <color indexed="81"/>
            <rFont val="Tahoma"/>
            <family val="2"/>
          </rPr>
          <t xml:space="preserve">
prescriptive rebate program</t>
        </r>
      </text>
    </comment>
    <comment ref="PT2" authorId="0">
      <text>
        <r>
          <rPr>
            <b/>
            <sz val="9"/>
            <color indexed="81"/>
            <rFont val="Tahoma"/>
            <family val="2"/>
          </rPr>
          <t>Ingrid Malmgren:</t>
        </r>
        <r>
          <rPr>
            <sz val="9"/>
            <color indexed="81"/>
            <rFont val="Tahoma"/>
            <family val="2"/>
          </rPr>
          <t xml:space="preserve">
prescriptive rebate program</t>
        </r>
      </text>
    </comment>
    <comment ref="PU2" authorId="0">
      <text>
        <r>
          <rPr>
            <b/>
            <sz val="9"/>
            <color indexed="81"/>
            <rFont val="Tahoma"/>
            <family val="2"/>
          </rPr>
          <t>Ingrid Malmgren:</t>
        </r>
        <r>
          <rPr>
            <sz val="9"/>
            <color indexed="81"/>
            <rFont val="Tahoma"/>
            <family val="2"/>
          </rPr>
          <t xml:space="preserve">
prescriptive rebate program</t>
        </r>
      </text>
    </comment>
    <comment ref="PV2" authorId="0">
      <text>
        <r>
          <rPr>
            <b/>
            <sz val="9"/>
            <color indexed="81"/>
            <rFont val="Tahoma"/>
            <family val="2"/>
          </rPr>
          <t>Ingrid Malmgren:</t>
        </r>
        <r>
          <rPr>
            <sz val="9"/>
            <color indexed="81"/>
            <rFont val="Tahoma"/>
            <family val="2"/>
          </rPr>
          <t xml:space="preserve">
prescriptive rebate program</t>
        </r>
      </text>
    </comment>
    <comment ref="PW2" authorId="0">
      <text>
        <r>
          <rPr>
            <b/>
            <sz val="9"/>
            <color indexed="81"/>
            <rFont val="Tahoma"/>
            <family val="2"/>
          </rPr>
          <t>Ingrid Malmgren:</t>
        </r>
        <r>
          <rPr>
            <sz val="9"/>
            <color indexed="81"/>
            <rFont val="Tahoma"/>
            <family val="2"/>
          </rPr>
          <t xml:space="preserve">
prescriptive rebate program</t>
        </r>
      </text>
    </comment>
    <comment ref="PX2" authorId="0">
      <text>
        <r>
          <rPr>
            <b/>
            <sz val="9"/>
            <color indexed="81"/>
            <rFont val="Tahoma"/>
            <family val="2"/>
          </rPr>
          <t>Ingrid Malmgren:</t>
        </r>
        <r>
          <rPr>
            <sz val="9"/>
            <color indexed="81"/>
            <rFont val="Tahoma"/>
            <family val="2"/>
          </rPr>
          <t xml:space="preserve">
prescriptive rebate program</t>
        </r>
      </text>
    </comment>
    <comment ref="PY2" authorId="0">
      <text>
        <r>
          <rPr>
            <b/>
            <sz val="9"/>
            <color indexed="81"/>
            <rFont val="Tahoma"/>
            <family val="2"/>
          </rPr>
          <t>Ingrid Malmgren:</t>
        </r>
        <r>
          <rPr>
            <sz val="9"/>
            <color indexed="81"/>
            <rFont val="Tahoma"/>
            <family val="2"/>
          </rPr>
          <t xml:space="preserve">
prescriptive rebate program</t>
        </r>
      </text>
    </comment>
    <comment ref="PZ2" authorId="0">
      <text>
        <r>
          <rPr>
            <b/>
            <sz val="9"/>
            <color indexed="81"/>
            <rFont val="Tahoma"/>
            <family val="2"/>
          </rPr>
          <t>Ingrid Malmgren:</t>
        </r>
        <r>
          <rPr>
            <sz val="9"/>
            <color indexed="81"/>
            <rFont val="Tahoma"/>
            <family val="2"/>
          </rPr>
          <t xml:space="preserve">
prescriptive rebate program</t>
        </r>
      </text>
    </comment>
    <comment ref="QA2" authorId="0">
      <text>
        <r>
          <rPr>
            <b/>
            <sz val="9"/>
            <color indexed="81"/>
            <rFont val="Tahoma"/>
            <family val="2"/>
          </rPr>
          <t>Ingrid Malmgren:</t>
        </r>
        <r>
          <rPr>
            <sz val="9"/>
            <color indexed="81"/>
            <rFont val="Tahoma"/>
            <family val="2"/>
          </rPr>
          <t xml:space="preserve">
prescriptive rebate program</t>
        </r>
      </text>
    </comment>
    <comment ref="QB2" authorId="0">
      <text>
        <r>
          <rPr>
            <b/>
            <sz val="9"/>
            <color indexed="81"/>
            <rFont val="Tahoma"/>
            <family val="2"/>
          </rPr>
          <t>Ingrid Malmgren:</t>
        </r>
        <r>
          <rPr>
            <sz val="9"/>
            <color indexed="81"/>
            <rFont val="Tahoma"/>
            <family val="2"/>
          </rPr>
          <t xml:space="preserve">
prescriptive rebate program</t>
        </r>
      </text>
    </comment>
    <comment ref="QC2" authorId="0">
      <text>
        <r>
          <rPr>
            <b/>
            <sz val="9"/>
            <color indexed="81"/>
            <rFont val="Tahoma"/>
            <family val="2"/>
          </rPr>
          <t>Ingrid Malmgren:</t>
        </r>
        <r>
          <rPr>
            <sz val="9"/>
            <color indexed="81"/>
            <rFont val="Tahoma"/>
            <family val="2"/>
          </rPr>
          <t xml:space="preserve">
prescriptive rebate program</t>
        </r>
      </text>
    </comment>
    <comment ref="QD2" authorId="0">
      <text>
        <r>
          <rPr>
            <b/>
            <sz val="9"/>
            <color indexed="81"/>
            <rFont val="Tahoma"/>
            <family val="2"/>
          </rPr>
          <t>Ingrid Malmgren:</t>
        </r>
        <r>
          <rPr>
            <sz val="9"/>
            <color indexed="81"/>
            <rFont val="Tahoma"/>
            <family val="2"/>
          </rPr>
          <t xml:space="preserve">
prescriptive rebate program</t>
        </r>
      </text>
    </comment>
    <comment ref="QE2" authorId="0">
      <text>
        <r>
          <rPr>
            <b/>
            <sz val="9"/>
            <color indexed="81"/>
            <rFont val="Tahoma"/>
            <family val="2"/>
          </rPr>
          <t>Ingrid Malmgren:</t>
        </r>
        <r>
          <rPr>
            <sz val="9"/>
            <color indexed="81"/>
            <rFont val="Tahoma"/>
            <family val="2"/>
          </rPr>
          <t xml:space="preserve">
prescriptive rebate program</t>
        </r>
      </text>
    </comment>
    <comment ref="QF2" authorId="0">
      <text>
        <r>
          <rPr>
            <b/>
            <sz val="9"/>
            <color indexed="81"/>
            <rFont val="Tahoma"/>
            <family val="2"/>
          </rPr>
          <t>Ingrid Malmgren:</t>
        </r>
        <r>
          <rPr>
            <sz val="9"/>
            <color indexed="81"/>
            <rFont val="Tahoma"/>
            <family val="2"/>
          </rPr>
          <t xml:space="preserve">
prescriptive rebate program</t>
        </r>
      </text>
    </comment>
    <comment ref="QG2" authorId="0">
      <text>
        <r>
          <rPr>
            <b/>
            <sz val="9"/>
            <color indexed="81"/>
            <rFont val="Tahoma"/>
            <family val="2"/>
          </rPr>
          <t>Ingrid Malmgren:</t>
        </r>
        <r>
          <rPr>
            <sz val="9"/>
            <color indexed="81"/>
            <rFont val="Tahoma"/>
            <family val="2"/>
          </rPr>
          <t xml:space="preserve">
prescriptive rebate program</t>
        </r>
      </text>
    </comment>
    <comment ref="QH2" authorId="0">
      <text>
        <r>
          <rPr>
            <b/>
            <sz val="9"/>
            <color indexed="81"/>
            <rFont val="Tahoma"/>
            <family val="2"/>
          </rPr>
          <t>Ingrid Malmgren:</t>
        </r>
        <r>
          <rPr>
            <sz val="9"/>
            <color indexed="81"/>
            <rFont val="Tahoma"/>
            <family val="2"/>
          </rPr>
          <t xml:space="preserve">
prescriptive rebate program</t>
        </r>
      </text>
    </comment>
    <comment ref="QI2" authorId="0">
      <text>
        <r>
          <rPr>
            <b/>
            <sz val="9"/>
            <color indexed="81"/>
            <rFont val="Tahoma"/>
            <family val="2"/>
          </rPr>
          <t>Ingrid Malmgren:</t>
        </r>
        <r>
          <rPr>
            <sz val="9"/>
            <color indexed="81"/>
            <rFont val="Tahoma"/>
            <family val="2"/>
          </rPr>
          <t xml:space="preserve">
prescriptive rebate program</t>
        </r>
      </text>
    </comment>
    <comment ref="QJ2" authorId="0">
      <text>
        <r>
          <rPr>
            <b/>
            <sz val="9"/>
            <color indexed="81"/>
            <rFont val="Tahoma"/>
            <family val="2"/>
          </rPr>
          <t>Ingrid Malmgren:</t>
        </r>
        <r>
          <rPr>
            <sz val="9"/>
            <color indexed="81"/>
            <rFont val="Tahoma"/>
            <family val="2"/>
          </rPr>
          <t xml:space="preserve">
prescriptive rebate program</t>
        </r>
      </text>
    </comment>
    <comment ref="QK2" authorId="0">
      <text>
        <r>
          <rPr>
            <b/>
            <sz val="9"/>
            <color indexed="81"/>
            <rFont val="Tahoma"/>
            <family val="2"/>
          </rPr>
          <t>Ingrid Malmgren:</t>
        </r>
        <r>
          <rPr>
            <sz val="9"/>
            <color indexed="81"/>
            <rFont val="Tahoma"/>
            <family val="2"/>
          </rPr>
          <t xml:space="preserve">
prescriptive rebate program</t>
        </r>
      </text>
    </comment>
    <comment ref="QL2" authorId="0">
      <text>
        <r>
          <rPr>
            <b/>
            <sz val="9"/>
            <color indexed="81"/>
            <rFont val="Tahoma"/>
            <family val="2"/>
          </rPr>
          <t>Ingrid Malmgren:</t>
        </r>
        <r>
          <rPr>
            <sz val="9"/>
            <color indexed="81"/>
            <rFont val="Tahoma"/>
            <family val="2"/>
          </rPr>
          <t xml:space="preserve">
prescriptive rebate program</t>
        </r>
      </text>
    </comment>
    <comment ref="QM2" authorId="0">
      <text>
        <r>
          <rPr>
            <b/>
            <sz val="9"/>
            <color indexed="81"/>
            <rFont val="Tahoma"/>
            <family val="2"/>
          </rPr>
          <t>Ingrid Malmgren:</t>
        </r>
        <r>
          <rPr>
            <sz val="9"/>
            <color indexed="81"/>
            <rFont val="Tahoma"/>
            <family val="2"/>
          </rPr>
          <t xml:space="preserve">
prescriptive rebate program</t>
        </r>
      </text>
    </comment>
    <comment ref="QN2" authorId="0">
      <text>
        <r>
          <rPr>
            <b/>
            <sz val="9"/>
            <color indexed="81"/>
            <rFont val="Tahoma"/>
            <family val="2"/>
          </rPr>
          <t>Ingrid Malmgren:</t>
        </r>
        <r>
          <rPr>
            <sz val="9"/>
            <color indexed="81"/>
            <rFont val="Tahoma"/>
            <family val="2"/>
          </rPr>
          <t xml:space="preserve">
prescriptive rebate program</t>
        </r>
      </text>
    </comment>
    <comment ref="QO2" authorId="0">
      <text>
        <r>
          <rPr>
            <b/>
            <sz val="9"/>
            <color indexed="81"/>
            <rFont val="Tahoma"/>
            <family val="2"/>
          </rPr>
          <t>Ingrid Malmgren:</t>
        </r>
        <r>
          <rPr>
            <sz val="9"/>
            <color indexed="81"/>
            <rFont val="Tahoma"/>
            <family val="2"/>
          </rPr>
          <t xml:space="preserve">
prescriptive rebate program</t>
        </r>
      </text>
    </comment>
    <comment ref="QP2" authorId="0">
      <text>
        <r>
          <rPr>
            <b/>
            <sz val="9"/>
            <color indexed="81"/>
            <rFont val="Tahoma"/>
            <family val="2"/>
          </rPr>
          <t>Ingrid Malmgren:</t>
        </r>
        <r>
          <rPr>
            <sz val="9"/>
            <color indexed="81"/>
            <rFont val="Tahoma"/>
            <family val="2"/>
          </rPr>
          <t xml:space="preserve">
prescriptive rebate program</t>
        </r>
      </text>
    </comment>
    <comment ref="QQ2" authorId="0">
      <text>
        <r>
          <rPr>
            <b/>
            <sz val="9"/>
            <color indexed="81"/>
            <rFont val="Tahoma"/>
            <family val="2"/>
          </rPr>
          <t>Ingrid Malmgren:</t>
        </r>
        <r>
          <rPr>
            <sz val="9"/>
            <color indexed="81"/>
            <rFont val="Tahoma"/>
            <family val="2"/>
          </rPr>
          <t xml:space="preserve">
prescriptive rebate program</t>
        </r>
      </text>
    </comment>
    <comment ref="QR2" authorId="0">
      <text>
        <r>
          <rPr>
            <b/>
            <sz val="9"/>
            <color indexed="81"/>
            <rFont val="Tahoma"/>
            <family val="2"/>
          </rPr>
          <t>Ingrid Malmgren:</t>
        </r>
        <r>
          <rPr>
            <sz val="9"/>
            <color indexed="81"/>
            <rFont val="Tahoma"/>
            <family val="2"/>
          </rPr>
          <t xml:space="preserve">
prescriptive rebate program</t>
        </r>
      </text>
    </comment>
    <comment ref="QS2" authorId="0">
      <text>
        <r>
          <rPr>
            <b/>
            <sz val="9"/>
            <color indexed="81"/>
            <rFont val="Tahoma"/>
            <family val="2"/>
          </rPr>
          <t>Ingrid Malmgren:</t>
        </r>
        <r>
          <rPr>
            <sz val="9"/>
            <color indexed="81"/>
            <rFont val="Tahoma"/>
            <family val="2"/>
          </rPr>
          <t xml:space="preserve">
prescriptive rebate program</t>
        </r>
      </text>
    </comment>
    <comment ref="QT2" authorId="0">
      <text>
        <r>
          <rPr>
            <b/>
            <sz val="9"/>
            <color indexed="81"/>
            <rFont val="Tahoma"/>
            <family val="2"/>
          </rPr>
          <t>Ingrid Malmgren:</t>
        </r>
        <r>
          <rPr>
            <sz val="9"/>
            <color indexed="81"/>
            <rFont val="Tahoma"/>
            <family val="2"/>
          </rPr>
          <t xml:space="preserve">
prescriptive rebate program</t>
        </r>
      </text>
    </comment>
    <comment ref="QU2" authorId="0">
      <text>
        <r>
          <rPr>
            <b/>
            <sz val="9"/>
            <color indexed="81"/>
            <rFont val="Tahoma"/>
            <family val="2"/>
          </rPr>
          <t>Ingrid Malmgren:</t>
        </r>
        <r>
          <rPr>
            <sz val="9"/>
            <color indexed="81"/>
            <rFont val="Tahoma"/>
            <family val="2"/>
          </rPr>
          <t xml:space="preserve">
prescriptive rebate program</t>
        </r>
      </text>
    </comment>
    <comment ref="QV2" authorId="0">
      <text>
        <r>
          <rPr>
            <b/>
            <sz val="9"/>
            <color indexed="81"/>
            <rFont val="Tahoma"/>
            <family val="2"/>
          </rPr>
          <t>Ingrid Malmgren:</t>
        </r>
        <r>
          <rPr>
            <sz val="9"/>
            <color indexed="81"/>
            <rFont val="Tahoma"/>
            <family val="2"/>
          </rPr>
          <t xml:space="preserve">
prescriptive rebate program</t>
        </r>
      </text>
    </comment>
    <comment ref="QW2" authorId="0">
      <text>
        <r>
          <rPr>
            <b/>
            <sz val="9"/>
            <color indexed="81"/>
            <rFont val="Tahoma"/>
            <family val="2"/>
          </rPr>
          <t>Ingrid Malmgren:</t>
        </r>
        <r>
          <rPr>
            <sz val="9"/>
            <color indexed="81"/>
            <rFont val="Tahoma"/>
            <family val="2"/>
          </rPr>
          <t xml:space="preserve">
prescriptive rebate program</t>
        </r>
      </text>
    </comment>
    <comment ref="QX2" authorId="0">
      <text>
        <r>
          <rPr>
            <b/>
            <sz val="9"/>
            <color indexed="81"/>
            <rFont val="Tahoma"/>
            <family val="2"/>
          </rPr>
          <t>Ingrid Malmgren:</t>
        </r>
        <r>
          <rPr>
            <sz val="9"/>
            <color indexed="81"/>
            <rFont val="Tahoma"/>
            <family val="2"/>
          </rPr>
          <t xml:space="preserve">
prescriptive rebate program</t>
        </r>
      </text>
    </comment>
    <comment ref="QY2" authorId="0">
      <text>
        <r>
          <rPr>
            <b/>
            <sz val="9"/>
            <color indexed="81"/>
            <rFont val="Tahoma"/>
            <family val="2"/>
          </rPr>
          <t>Ingrid Malmgren:</t>
        </r>
        <r>
          <rPr>
            <sz val="9"/>
            <color indexed="81"/>
            <rFont val="Tahoma"/>
            <family val="2"/>
          </rPr>
          <t xml:space="preserve">
prescriptive rebate program</t>
        </r>
      </text>
    </comment>
    <comment ref="QZ2" authorId="0">
      <text>
        <r>
          <rPr>
            <b/>
            <sz val="9"/>
            <color indexed="81"/>
            <rFont val="Tahoma"/>
            <family val="2"/>
          </rPr>
          <t>Ingrid Malmgren:</t>
        </r>
        <r>
          <rPr>
            <sz val="9"/>
            <color indexed="81"/>
            <rFont val="Tahoma"/>
            <family val="2"/>
          </rPr>
          <t xml:space="preserve">
prescriptive rebate program</t>
        </r>
      </text>
    </comment>
    <comment ref="RA2" authorId="0">
      <text>
        <r>
          <rPr>
            <b/>
            <sz val="9"/>
            <color indexed="81"/>
            <rFont val="Tahoma"/>
            <family val="2"/>
          </rPr>
          <t>Ingrid Malmgren:</t>
        </r>
        <r>
          <rPr>
            <sz val="9"/>
            <color indexed="81"/>
            <rFont val="Tahoma"/>
            <family val="2"/>
          </rPr>
          <t xml:space="preserve">
prescriptive rebate program</t>
        </r>
      </text>
    </comment>
    <comment ref="RB2" authorId="0">
      <text>
        <r>
          <rPr>
            <b/>
            <sz val="9"/>
            <color indexed="81"/>
            <rFont val="Tahoma"/>
            <family val="2"/>
          </rPr>
          <t>Ingrid Malmgren:</t>
        </r>
        <r>
          <rPr>
            <sz val="9"/>
            <color indexed="81"/>
            <rFont val="Tahoma"/>
            <family val="2"/>
          </rPr>
          <t xml:space="preserve">
prescriptive rebate program</t>
        </r>
      </text>
    </comment>
    <comment ref="RC2" authorId="0">
      <text>
        <r>
          <rPr>
            <b/>
            <sz val="9"/>
            <color indexed="81"/>
            <rFont val="Tahoma"/>
            <family val="2"/>
          </rPr>
          <t>Ingrid Malmgren:</t>
        </r>
        <r>
          <rPr>
            <sz val="9"/>
            <color indexed="81"/>
            <rFont val="Tahoma"/>
            <family val="2"/>
          </rPr>
          <t xml:space="preserve">
prescriptive rebate program</t>
        </r>
      </text>
    </comment>
    <comment ref="RD2" authorId="0">
      <text>
        <r>
          <rPr>
            <b/>
            <sz val="9"/>
            <color indexed="81"/>
            <rFont val="Tahoma"/>
            <family val="2"/>
          </rPr>
          <t>Ingrid Malmgren:</t>
        </r>
        <r>
          <rPr>
            <sz val="9"/>
            <color indexed="81"/>
            <rFont val="Tahoma"/>
            <family val="2"/>
          </rPr>
          <t xml:space="preserve">
prescriptive rebate program</t>
        </r>
      </text>
    </comment>
    <comment ref="RE2" authorId="0">
      <text>
        <r>
          <rPr>
            <b/>
            <sz val="9"/>
            <color indexed="81"/>
            <rFont val="Tahoma"/>
            <family val="2"/>
          </rPr>
          <t>Ingrid Malmgren:</t>
        </r>
        <r>
          <rPr>
            <sz val="9"/>
            <color indexed="81"/>
            <rFont val="Tahoma"/>
            <family val="2"/>
          </rPr>
          <t xml:space="preserve">
prescriptive rebate program</t>
        </r>
      </text>
    </comment>
    <comment ref="RF2" authorId="0">
      <text>
        <r>
          <rPr>
            <b/>
            <sz val="9"/>
            <color indexed="81"/>
            <rFont val="Tahoma"/>
            <family val="2"/>
          </rPr>
          <t>Ingrid Malmgren:</t>
        </r>
        <r>
          <rPr>
            <sz val="9"/>
            <color indexed="81"/>
            <rFont val="Tahoma"/>
            <family val="2"/>
          </rPr>
          <t xml:space="preserve">
prescriptive rebate program</t>
        </r>
      </text>
    </comment>
    <comment ref="RG2" authorId="0">
      <text>
        <r>
          <rPr>
            <b/>
            <sz val="9"/>
            <color indexed="81"/>
            <rFont val="Tahoma"/>
            <family val="2"/>
          </rPr>
          <t>Ingrid Malmgren:</t>
        </r>
        <r>
          <rPr>
            <sz val="9"/>
            <color indexed="81"/>
            <rFont val="Tahoma"/>
            <family val="2"/>
          </rPr>
          <t xml:space="preserve">
prescriptive rebate program</t>
        </r>
      </text>
    </comment>
    <comment ref="RH2" authorId="0">
      <text>
        <r>
          <rPr>
            <b/>
            <sz val="9"/>
            <color indexed="81"/>
            <rFont val="Tahoma"/>
            <family val="2"/>
          </rPr>
          <t>Ingrid Malmgren:</t>
        </r>
        <r>
          <rPr>
            <sz val="9"/>
            <color indexed="81"/>
            <rFont val="Tahoma"/>
            <family val="2"/>
          </rPr>
          <t xml:space="preserve">
prescriptive rebate program</t>
        </r>
      </text>
    </comment>
    <comment ref="RI2" authorId="0">
      <text>
        <r>
          <rPr>
            <b/>
            <sz val="9"/>
            <color indexed="81"/>
            <rFont val="Tahoma"/>
            <family val="2"/>
          </rPr>
          <t>Ingrid Malmgren:</t>
        </r>
        <r>
          <rPr>
            <sz val="9"/>
            <color indexed="81"/>
            <rFont val="Tahoma"/>
            <family val="2"/>
          </rPr>
          <t xml:space="preserve">
prescriptive rebate program</t>
        </r>
      </text>
    </comment>
    <comment ref="RJ2" authorId="0">
      <text>
        <r>
          <rPr>
            <b/>
            <sz val="9"/>
            <color indexed="81"/>
            <rFont val="Tahoma"/>
            <family val="2"/>
          </rPr>
          <t>Ingrid Malmgren:</t>
        </r>
        <r>
          <rPr>
            <sz val="9"/>
            <color indexed="81"/>
            <rFont val="Tahoma"/>
            <family val="2"/>
          </rPr>
          <t xml:space="preserve">
prescriptive rebate program</t>
        </r>
      </text>
    </comment>
    <comment ref="RK2" authorId="0">
      <text>
        <r>
          <rPr>
            <b/>
            <sz val="9"/>
            <color indexed="81"/>
            <rFont val="Tahoma"/>
            <family val="2"/>
          </rPr>
          <t>Ingrid Malmgren:</t>
        </r>
        <r>
          <rPr>
            <sz val="9"/>
            <color indexed="81"/>
            <rFont val="Tahoma"/>
            <family val="2"/>
          </rPr>
          <t xml:space="preserve">
prescriptive rebate program</t>
        </r>
      </text>
    </comment>
    <comment ref="RL2" authorId="0">
      <text>
        <r>
          <rPr>
            <b/>
            <sz val="9"/>
            <color indexed="81"/>
            <rFont val="Tahoma"/>
            <family val="2"/>
          </rPr>
          <t>Ingrid Malmgren:</t>
        </r>
        <r>
          <rPr>
            <sz val="9"/>
            <color indexed="81"/>
            <rFont val="Tahoma"/>
            <family val="2"/>
          </rPr>
          <t xml:space="preserve">
prescriptive rebate program</t>
        </r>
      </text>
    </comment>
    <comment ref="RM2" authorId="0">
      <text>
        <r>
          <rPr>
            <b/>
            <sz val="9"/>
            <color indexed="81"/>
            <rFont val="Tahoma"/>
            <family val="2"/>
          </rPr>
          <t>Ingrid Malmgren:</t>
        </r>
        <r>
          <rPr>
            <sz val="9"/>
            <color indexed="81"/>
            <rFont val="Tahoma"/>
            <family val="2"/>
          </rPr>
          <t xml:space="preserve">
prescriptive rebate program</t>
        </r>
      </text>
    </comment>
    <comment ref="RN2" authorId="0">
      <text>
        <r>
          <rPr>
            <b/>
            <sz val="9"/>
            <color indexed="81"/>
            <rFont val="Tahoma"/>
            <family val="2"/>
          </rPr>
          <t>Ingrid Malmgren:</t>
        </r>
        <r>
          <rPr>
            <sz val="9"/>
            <color indexed="81"/>
            <rFont val="Tahoma"/>
            <family val="2"/>
          </rPr>
          <t xml:space="preserve">
prescriptive rebate program</t>
        </r>
      </text>
    </comment>
    <comment ref="RO2" authorId="0">
      <text>
        <r>
          <rPr>
            <b/>
            <sz val="9"/>
            <color indexed="81"/>
            <rFont val="Tahoma"/>
            <family val="2"/>
          </rPr>
          <t>Ingrid Malmgren:</t>
        </r>
        <r>
          <rPr>
            <sz val="9"/>
            <color indexed="81"/>
            <rFont val="Tahoma"/>
            <family val="2"/>
          </rPr>
          <t xml:space="preserve">
prescriptive rebate program</t>
        </r>
      </text>
    </comment>
    <comment ref="RP2" authorId="0">
      <text>
        <r>
          <rPr>
            <b/>
            <sz val="9"/>
            <color indexed="81"/>
            <rFont val="Tahoma"/>
            <family val="2"/>
          </rPr>
          <t>Ingrid Malmgren:</t>
        </r>
        <r>
          <rPr>
            <sz val="9"/>
            <color indexed="81"/>
            <rFont val="Tahoma"/>
            <family val="2"/>
          </rPr>
          <t xml:space="preserve">
prescriptive rebate program</t>
        </r>
      </text>
    </comment>
    <comment ref="RQ2" authorId="0">
      <text>
        <r>
          <rPr>
            <b/>
            <sz val="9"/>
            <color indexed="81"/>
            <rFont val="Tahoma"/>
            <family val="2"/>
          </rPr>
          <t>Ingrid Malmgren:</t>
        </r>
        <r>
          <rPr>
            <sz val="9"/>
            <color indexed="81"/>
            <rFont val="Tahoma"/>
            <family val="2"/>
          </rPr>
          <t xml:space="preserve">
prescriptive rebate program</t>
        </r>
      </text>
    </comment>
    <comment ref="RR2" authorId="0">
      <text>
        <r>
          <rPr>
            <b/>
            <sz val="9"/>
            <color indexed="81"/>
            <rFont val="Tahoma"/>
            <family val="2"/>
          </rPr>
          <t>Ingrid Malmgren:</t>
        </r>
        <r>
          <rPr>
            <sz val="9"/>
            <color indexed="81"/>
            <rFont val="Tahoma"/>
            <family val="2"/>
          </rPr>
          <t xml:space="preserve">
prescriptive rebate program</t>
        </r>
      </text>
    </comment>
    <comment ref="RS2" authorId="0">
      <text>
        <r>
          <rPr>
            <b/>
            <sz val="9"/>
            <color indexed="81"/>
            <rFont val="Tahoma"/>
            <family val="2"/>
          </rPr>
          <t>Ingrid Malmgren:</t>
        </r>
        <r>
          <rPr>
            <sz val="9"/>
            <color indexed="81"/>
            <rFont val="Tahoma"/>
            <family val="2"/>
          </rPr>
          <t xml:space="preserve">
prescriptive rebate program</t>
        </r>
      </text>
    </comment>
    <comment ref="RT2" authorId="0">
      <text>
        <r>
          <rPr>
            <b/>
            <sz val="9"/>
            <color indexed="81"/>
            <rFont val="Tahoma"/>
            <family val="2"/>
          </rPr>
          <t>Ingrid Malmgren:</t>
        </r>
        <r>
          <rPr>
            <sz val="9"/>
            <color indexed="81"/>
            <rFont val="Tahoma"/>
            <family val="2"/>
          </rPr>
          <t xml:space="preserve">
prescriptive rebate program</t>
        </r>
      </text>
    </comment>
    <comment ref="RU2" authorId="0">
      <text>
        <r>
          <rPr>
            <b/>
            <sz val="9"/>
            <color indexed="81"/>
            <rFont val="Tahoma"/>
            <family val="2"/>
          </rPr>
          <t>Ingrid Malmgren:</t>
        </r>
        <r>
          <rPr>
            <sz val="9"/>
            <color indexed="81"/>
            <rFont val="Tahoma"/>
            <family val="2"/>
          </rPr>
          <t xml:space="preserve">
prescriptive rebate program</t>
        </r>
      </text>
    </comment>
    <comment ref="RV2" authorId="0">
      <text>
        <r>
          <rPr>
            <b/>
            <sz val="9"/>
            <color indexed="81"/>
            <rFont val="Tahoma"/>
            <family val="2"/>
          </rPr>
          <t>Ingrid Malmgren:</t>
        </r>
        <r>
          <rPr>
            <sz val="9"/>
            <color indexed="81"/>
            <rFont val="Tahoma"/>
            <family val="2"/>
          </rPr>
          <t xml:space="preserve">
prescriptive rebate program</t>
        </r>
      </text>
    </comment>
    <comment ref="RW2" authorId="0">
      <text>
        <r>
          <rPr>
            <b/>
            <sz val="9"/>
            <color indexed="81"/>
            <rFont val="Tahoma"/>
            <family val="2"/>
          </rPr>
          <t>Ingrid Malmgren:</t>
        </r>
        <r>
          <rPr>
            <sz val="9"/>
            <color indexed="81"/>
            <rFont val="Tahoma"/>
            <family val="2"/>
          </rPr>
          <t xml:space="preserve">
prescriptive rebate program</t>
        </r>
      </text>
    </comment>
    <comment ref="RX2" authorId="0">
      <text>
        <r>
          <rPr>
            <b/>
            <sz val="9"/>
            <color indexed="81"/>
            <rFont val="Tahoma"/>
            <family val="2"/>
          </rPr>
          <t>Ingrid Malmgren:</t>
        </r>
        <r>
          <rPr>
            <sz val="9"/>
            <color indexed="81"/>
            <rFont val="Tahoma"/>
            <family val="2"/>
          </rPr>
          <t xml:space="preserve">
prescriptive rebate program</t>
        </r>
      </text>
    </comment>
    <comment ref="RY2" authorId="0">
      <text>
        <r>
          <rPr>
            <b/>
            <sz val="9"/>
            <color indexed="81"/>
            <rFont val="Tahoma"/>
            <family val="2"/>
          </rPr>
          <t>Ingrid Malmgren:</t>
        </r>
        <r>
          <rPr>
            <sz val="9"/>
            <color indexed="81"/>
            <rFont val="Tahoma"/>
            <family val="2"/>
          </rPr>
          <t xml:space="preserve">
prescriptive rebate program</t>
        </r>
      </text>
    </comment>
    <comment ref="RZ2" authorId="0">
      <text>
        <r>
          <rPr>
            <b/>
            <sz val="9"/>
            <color indexed="81"/>
            <rFont val="Tahoma"/>
            <family val="2"/>
          </rPr>
          <t>Ingrid Malmgren:</t>
        </r>
        <r>
          <rPr>
            <sz val="9"/>
            <color indexed="81"/>
            <rFont val="Tahoma"/>
            <family val="2"/>
          </rPr>
          <t xml:space="preserve">
prescriptive rebate program</t>
        </r>
      </text>
    </comment>
    <comment ref="SA2" authorId="0">
      <text>
        <r>
          <rPr>
            <b/>
            <sz val="9"/>
            <color indexed="81"/>
            <rFont val="Tahoma"/>
            <family val="2"/>
          </rPr>
          <t>Ingrid Malmgren:</t>
        </r>
        <r>
          <rPr>
            <sz val="9"/>
            <color indexed="81"/>
            <rFont val="Tahoma"/>
            <family val="2"/>
          </rPr>
          <t xml:space="preserve">
prescriptive rebate program</t>
        </r>
      </text>
    </comment>
    <comment ref="SB2" authorId="0">
      <text>
        <r>
          <rPr>
            <b/>
            <sz val="9"/>
            <color indexed="81"/>
            <rFont val="Tahoma"/>
            <family val="2"/>
          </rPr>
          <t>Ingrid Malmgren:</t>
        </r>
        <r>
          <rPr>
            <sz val="9"/>
            <color indexed="81"/>
            <rFont val="Tahoma"/>
            <family val="2"/>
          </rPr>
          <t xml:space="preserve">
prescriptive rebate program</t>
        </r>
      </text>
    </comment>
    <comment ref="SC2" authorId="0">
      <text>
        <r>
          <rPr>
            <b/>
            <sz val="9"/>
            <color indexed="81"/>
            <rFont val="Tahoma"/>
            <family val="2"/>
          </rPr>
          <t>Ingrid Malmgren:</t>
        </r>
        <r>
          <rPr>
            <sz val="9"/>
            <color indexed="81"/>
            <rFont val="Tahoma"/>
            <family val="2"/>
          </rPr>
          <t xml:space="preserve">
prescriptive rebate program</t>
        </r>
      </text>
    </comment>
    <comment ref="SD2" authorId="0">
      <text>
        <r>
          <rPr>
            <b/>
            <sz val="9"/>
            <color indexed="81"/>
            <rFont val="Tahoma"/>
            <family val="2"/>
          </rPr>
          <t>Ingrid Malmgren:</t>
        </r>
        <r>
          <rPr>
            <sz val="9"/>
            <color indexed="81"/>
            <rFont val="Tahoma"/>
            <family val="2"/>
          </rPr>
          <t xml:space="preserve">
prescriptive rebate program</t>
        </r>
      </text>
    </comment>
    <comment ref="SE2" authorId="0">
      <text>
        <r>
          <rPr>
            <b/>
            <sz val="9"/>
            <color indexed="81"/>
            <rFont val="Tahoma"/>
            <family val="2"/>
          </rPr>
          <t>Ingrid Malmgren:</t>
        </r>
        <r>
          <rPr>
            <sz val="9"/>
            <color indexed="81"/>
            <rFont val="Tahoma"/>
            <family val="2"/>
          </rPr>
          <t xml:space="preserve">
prescriptive rebate program</t>
        </r>
      </text>
    </comment>
    <comment ref="SF2" authorId="0">
      <text>
        <r>
          <rPr>
            <b/>
            <sz val="9"/>
            <color indexed="81"/>
            <rFont val="Tahoma"/>
            <family val="2"/>
          </rPr>
          <t>Ingrid Malmgren:</t>
        </r>
        <r>
          <rPr>
            <sz val="9"/>
            <color indexed="81"/>
            <rFont val="Tahoma"/>
            <family val="2"/>
          </rPr>
          <t xml:space="preserve">
prescriptive rebate program</t>
        </r>
      </text>
    </comment>
    <comment ref="SG2" authorId="0">
      <text>
        <r>
          <rPr>
            <b/>
            <sz val="9"/>
            <color indexed="81"/>
            <rFont val="Tahoma"/>
            <family val="2"/>
          </rPr>
          <t>Ingrid Malmgren:</t>
        </r>
        <r>
          <rPr>
            <sz val="9"/>
            <color indexed="81"/>
            <rFont val="Tahoma"/>
            <family val="2"/>
          </rPr>
          <t xml:space="preserve">
prescriptive rebate program</t>
        </r>
      </text>
    </comment>
    <comment ref="SH2" authorId="0">
      <text>
        <r>
          <rPr>
            <b/>
            <sz val="9"/>
            <color indexed="81"/>
            <rFont val="Tahoma"/>
            <family val="2"/>
          </rPr>
          <t>Ingrid Malmgren:</t>
        </r>
        <r>
          <rPr>
            <sz val="9"/>
            <color indexed="81"/>
            <rFont val="Tahoma"/>
            <family val="2"/>
          </rPr>
          <t xml:space="preserve">
prescriptive rebate program</t>
        </r>
      </text>
    </comment>
    <comment ref="SI2" authorId="0">
      <text>
        <r>
          <rPr>
            <b/>
            <sz val="9"/>
            <color indexed="81"/>
            <rFont val="Tahoma"/>
            <family val="2"/>
          </rPr>
          <t>Ingrid Malmgren:</t>
        </r>
        <r>
          <rPr>
            <sz val="9"/>
            <color indexed="81"/>
            <rFont val="Tahoma"/>
            <family val="2"/>
          </rPr>
          <t xml:space="preserve">
prescriptive rebate program</t>
        </r>
      </text>
    </comment>
    <comment ref="SJ2" authorId="0">
      <text>
        <r>
          <rPr>
            <b/>
            <sz val="9"/>
            <color indexed="81"/>
            <rFont val="Tahoma"/>
            <family val="2"/>
          </rPr>
          <t>Ingrid Malmgren:</t>
        </r>
        <r>
          <rPr>
            <sz val="9"/>
            <color indexed="81"/>
            <rFont val="Tahoma"/>
            <family val="2"/>
          </rPr>
          <t xml:space="preserve">
prescriptive rebate program</t>
        </r>
      </text>
    </comment>
    <comment ref="SK2" authorId="0">
      <text>
        <r>
          <rPr>
            <b/>
            <sz val="9"/>
            <color indexed="81"/>
            <rFont val="Tahoma"/>
            <family val="2"/>
          </rPr>
          <t>Ingrid Malmgren:</t>
        </r>
        <r>
          <rPr>
            <sz val="9"/>
            <color indexed="81"/>
            <rFont val="Tahoma"/>
            <family val="2"/>
          </rPr>
          <t xml:space="preserve">
prescriptive rebate program</t>
        </r>
      </text>
    </comment>
    <comment ref="SL2" authorId="0">
      <text>
        <r>
          <rPr>
            <b/>
            <sz val="9"/>
            <color indexed="81"/>
            <rFont val="Tahoma"/>
            <family val="2"/>
          </rPr>
          <t>Ingrid Malmgren:</t>
        </r>
        <r>
          <rPr>
            <sz val="9"/>
            <color indexed="81"/>
            <rFont val="Tahoma"/>
            <family val="2"/>
          </rPr>
          <t xml:space="preserve">
prescriptive rebate program</t>
        </r>
      </text>
    </comment>
    <comment ref="SM2" authorId="0">
      <text>
        <r>
          <rPr>
            <b/>
            <sz val="9"/>
            <color indexed="81"/>
            <rFont val="Tahoma"/>
            <family val="2"/>
          </rPr>
          <t>Ingrid Malmgren:</t>
        </r>
        <r>
          <rPr>
            <sz val="9"/>
            <color indexed="81"/>
            <rFont val="Tahoma"/>
            <family val="2"/>
          </rPr>
          <t xml:space="preserve">
prescriptive rebate program</t>
        </r>
      </text>
    </comment>
    <comment ref="SN2" authorId="0">
      <text>
        <r>
          <rPr>
            <b/>
            <sz val="9"/>
            <color indexed="81"/>
            <rFont val="Tahoma"/>
            <family val="2"/>
          </rPr>
          <t>Ingrid Malmgren:</t>
        </r>
        <r>
          <rPr>
            <sz val="9"/>
            <color indexed="81"/>
            <rFont val="Tahoma"/>
            <family val="2"/>
          </rPr>
          <t xml:space="preserve">
prescriptive rebate program</t>
        </r>
      </text>
    </comment>
    <comment ref="SO2" authorId="0">
      <text>
        <r>
          <rPr>
            <b/>
            <sz val="9"/>
            <color indexed="81"/>
            <rFont val="Tahoma"/>
            <family val="2"/>
          </rPr>
          <t>Ingrid Malmgren:</t>
        </r>
        <r>
          <rPr>
            <sz val="9"/>
            <color indexed="81"/>
            <rFont val="Tahoma"/>
            <family val="2"/>
          </rPr>
          <t xml:space="preserve">
prescriptive rebate program</t>
        </r>
      </text>
    </comment>
    <comment ref="SP2" authorId="0">
      <text>
        <r>
          <rPr>
            <b/>
            <sz val="9"/>
            <color indexed="81"/>
            <rFont val="Tahoma"/>
            <family val="2"/>
          </rPr>
          <t>Ingrid Malmgren:</t>
        </r>
        <r>
          <rPr>
            <sz val="9"/>
            <color indexed="81"/>
            <rFont val="Tahoma"/>
            <family val="2"/>
          </rPr>
          <t xml:space="preserve">
prescriptive rebate program</t>
        </r>
      </text>
    </comment>
    <comment ref="SQ2" authorId="0">
      <text>
        <r>
          <rPr>
            <b/>
            <sz val="9"/>
            <color indexed="81"/>
            <rFont val="Tahoma"/>
            <family val="2"/>
          </rPr>
          <t>Ingrid Malmgren:</t>
        </r>
        <r>
          <rPr>
            <sz val="9"/>
            <color indexed="81"/>
            <rFont val="Tahoma"/>
            <family val="2"/>
          </rPr>
          <t xml:space="preserve">
prescriptive rebate program</t>
        </r>
      </text>
    </comment>
    <comment ref="SR2" authorId="0">
      <text>
        <r>
          <rPr>
            <b/>
            <sz val="9"/>
            <color indexed="81"/>
            <rFont val="Tahoma"/>
            <family val="2"/>
          </rPr>
          <t>Ingrid Malmgren:</t>
        </r>
        <r>
          <rPr>
            <sz val="9"/>
            <color indexed="81"/>
            <rFont val="Tahoma"/>
            <family val="2"/>
          </rPr>
          <t xml:space="preserve">
prescriptive rebate program</t>
        </r>
      </text>
    </comment>
    <comment ref="SS2" authorId="0">
      <text>
        <r>
          <rPr>
            <b/>
            <sz val="9"/>
            <color indexed="81"/>
            <rFont val="Tahoma"/>
            <family val="2"/>
          </rPr>
          <t>Ingrid Malmgren:</t>
        </r>
        <r>
          <rPr>
            <sz val="9"/>
            <color indexed="81"/>
            <rFont val="Tahoma"/>
            <family val="2"/>
          </rPr>
          <t xml:space="preserve">
prescriptive rebate program</t>
        </r>
      </text>
    </comment>
    <comment ref="ST2" authorId="0">
      <text>
        <r>
          <rPr>
            <b/>
            <sz val="9"/>
            <color indexed="81"/>
            <rFont val="Tahoma"/>
            <family val="2"/>
          </rPr>
          <t>Ingrid Malmgren:</t>
        </r>
        <r>
          <rPr>
            <sz val="9"/>
            <color indexed="81"/>
            <rFont val="Tahoma"/>
            <family val="2"/>
          </rPr>
          <t xml:space="preserve">
prescriptive rebate program</t>
        </r>
      </text>
    </comment>
    <comment ref="SU2" authorId="0">
      <text>
        <r>
          <rPr>
            <b/>
            <sz val="9"/>
            <color indexed="81"/>
            <rFont val="Tahoma"/>
            <family val="2"/>
          </rPr>
          <t>Ingrid Malmgren:</t>
        </r>
        <r>
          <rPr>
            <sz val="9"/>
            <color indexed="81"/>
            <rFont val="Tahoma"/>
            <family val="2"/>
          </rPr>
          <t xml:space="preserve">
prescriptive rebate program</t>
        </r>
      </text>
    </comment>
    <comment ref="SV2" authorId="0">
      <text>
        <r>
          <rPr>
            <b/>
            <sz val="9"/>
            <color indexed="81"/>
            <rFont val="Tahoma"/>
            <family val="2"/>
          </rPr>
          <t>Ingrid Malmgren:</t>
        </r>
        <r>
          <rPr>
            <sz val="9"/>
            <color indexed="81"/>
            <rFont val="Tahoma"/>
            <family val="2"/>
          </rPr>
          <t xml:space="preserve">
prescriptive rebate program</t>
        </r>
      </text>
    </comment>
    <comment ref="SW2" authorId="0">
      <text>
        <r>
          <rPr>
            <b/>
            <sz val="9"/>
            <color indexed="81"/>
            <rFont val="Tahoma"/>
            <family val="2"/>
          </rPr>
          <t>Ingrid Malmgren:</t>
        </r>
        <r>
          <rPr>
            <sz val="9"/>
            <color indexed="81"/>
            <rFont val="Tahoma"/>
            <family val="2"/>
          </rPr>
          <t xml:space="preserve">
prescriptive rebate program</t>
        </r>
      </text>
    </comment>
    <comment ref="SX2" authorId="0">
      <text>
        <r>
          <rPr>
            <b/>
            <sz val="9"/>
            <color indexed="81"/>
            <rFont val="Tahoma"/>
            <family val="2"/>
          </rPr>
          <t>Ingrid Malmgren:</t>
        </r>
        <r>
          <rPr>
            <sz val="9"/>
            <color indexed="81"/>
            <rFont val="Tahoma"/>
            <family val="2"/>
          </rPr>
          <t xml:space="preserve">
prescriptive rebate program</t>
        </r>
      </text>
    </comment>
    <comment ref="SY2" authorId="0">
      <text>
        <r>
          <rPr>
            <b/>
            <sz val="9"/>
            <color indexed="81"/>
            <rFont val="Tahoma"/>
            <family val="2"/>
          </rPr>
          <t>Ingrid Malmgren:</t>
        </r>
        <r>
          <rPr>
            <sz val="9"/>
            <color indexed="81"/>
            <rFont val="Tahoma"/>
            <family val="2"/>
          </rPr>
          <t xml:space="preserve">
prescriptive rebate program</t>
        </r>
      </text>
    </comment>
    <comment ref="SZ2" authorId="0">
      <text>
        <r>
          <rPr>
            <b/>
            <sz val="9"/>
            <color indexed="81"/>
            <rFont val="Tahoma"/>
            <family val="2"/>
          </rPr>
          <t>Ingrid Malmgren:</t>
        </r>
        <r>
          <rPr>
            <sz val="9"/>
            <color indexed="81"/>
            <rFont val="Tahoma"/>
            <family val="2"/>
          </rPr>
          <t xml:space="preserve">
prescriptive rebate program</t>
        </r>
      </text>
    </comment>
    <comment ref="TA2" authorId="0">
      <text>
        <r>
          <rPr>
            <b/>
            <sz val="9"/>
            <color indexed="81"/>
            <rFont val="Tahoma"/>
            <family val="2"/>
          </rPr>
          <t>Ingrid Malmgren:</t>
        </r>
        <r>
          <rPr>
            <sz val="9"/>
            <color indexed="81"/>
            <rFont val="Tahoma"/>
            <family val="2"/>
          </rPr>
          <t xml:space="preserve">
prescriptive rebate program</t>
        </r>
      </text>
    </comment>
    <comment ref="TB2" authorId="0">
      <text>
        <r>
          <rPr>
            <b/>
            <sz val="9"/>
            <color indexed="81"/>
            <rFont val="Tahoma"/>
            <family val="2"/>
          </rPr>
          <t>Ingrid Malmgren:</t>
        </r>
        <r>
          <rPr>
            <sz val="9"/>
            <color indexed="81"/>
            <rFont val="Tahoma"/>
            <family val="2"/>
          </rPr>
          <t xml:space="preserve">
prescriptive rebate program</t>
        </r>
      </text>
    </comment>
    <comment ref="TC2" authorId="0">
      <text>
        <r>
          <rPr>
            <b/>
            <sz val="9"/>
            <color indexed="81"/>
            <rFont val="Tahoma"/>
            <family val="2"/>
          </rPr>
          <t>Ingrid Malmgren:</t>
        </r>
        <r>
          <rPr>
            <sz val="9"/>
            <color indexed="81"/>
            <rFont val="Tahoma"/>
            <family val="2"/>
          </rPr>
          <t xml:space="preserve">
prescriptive rebate program</t>
        </r>
      </text>
    </comment>
    <comment ref="TD2" authorId="0">
      <text>
        <r>
          <rPr>
            <b/>
            <sz val="9"/>
            <color indexed="81"/>
            <rFont val="Tahoma"/>
            <family val="2"/>
          </rPr>
          <t>Ingrid Malmgren:</t>
        </r>
        <r>
          <rPr>
            <sz val="9"/>
            <color indexed="81"/>
            <rFont val="Tahoma"/>
            <family val="2"/>
          </rPr>
          <t xml:space="preserve">
prescriptive rebate program</t>
        </r>
      </text>
    </comment>
    <comment ref="TE2" authorId="0">
      <text>
        <r>
          <rPr>
            <b/>
            <sz val="9"/>
            <color indexed="81"/>
            <rFont val="Tahoma"/>
            <family val="2"/>
          </rPr>
          <t>Ingrid Malmgren:</t>
        </r>
        <r>
          <rPr>
            <sz val="9"/>
            <color indexed="81"/>
            <rFont val="Tahoma"/>
            <family val="2"/>
          </rPr>
          <t xml:space="preserve">
prescriptive rebate program</t>
        </r>
      </text>
    </comment>
    <comment ref="TF2" authorId="0">
      <text>
        <r>
          <rPr>
            <b/>
            <sz val="9"/>
            <color indexed="81"/>
            <rFont val="Tahoma"/>
            <family val="2"/>
          </rPr>
          <t>Ingrid Malmgren:</t>
        </r>
        <r>
          <rPr>
            <sz val="9"/>
            <color indexed="81"/>
            <rFont val="Tahoma"/>
            <family val="2"/>
          </rPr>
          <t xml:space="preserve">
prescriptive rebate program</t>
        </r>
      </text>
    </comment>
    <comment ref="TG2" authorId="0">
      <text>
        <r>
          <rPr>
            <b/>
            <sz val="9"/>
            <color indexed="81"/>
            <rFont val="Tahoma"/>
            <family val="2"/>
          </rPr>
          <t>Ingrid Malmgren:</t>
        </r>
        <r>
          <rPr>
            <sz val="9"/>
            <color indexed="81"/>
            <rFont val="Tahoma"/>
            <family val="2"/>
          </rPr>
          <t xml:space="preserve">
prescriptive rebate program</t>
        </r>
      </text>
    </comment>
    <comment ref="TH2" authorId="0">
      <text>
        <r>
          <rPr>
            <b/>
            <sz val="9"/>
            <color indexed="81"/>
            <rFont val="Tahoma"/>
            <family val="2"/>
          </rPr>
          <t>Ingrid Malmgren:</t>
        </r>
        <r>
          <rPr>
            <sz val="9"/>
            <color indexed="81"/>
            <rFont val="Tahoma"/>
            <family val="2"/>
          </rPr>
          <t xml:space="preserve">
prescriptive rebate program</t>
        </r>
      </text>
    </comment>
    <comment ref="TI2" authorId="0">
      <text>
        <r>
          <rPr>
            <b/>
            <sz val="9"/>
            <color indexed="81"/>
            <rFont val="Tahoma"/>
            <family val="2"/>
          </rPr>
          <t>Ingrid Malmgren:</t>
        </r>
        <r>
          <rPr>
            <sz val="9"/>
            <color indexed="81"/>
            <rFont val="Tahoma"/>
            <family val="2"/>
          </rPr>
          <t xml:space="preserve">
prescriptive rebate program</t>
        </r>
      </text>
    </comment>
    <comment ref="TJ2" authorId="0">
      <text>
        <r>
          <rPr>
            <b/>
            <sz val="9"/>
            <color indexed="81"/>
            <rFont val="Tahoma"/>
            <family val="2"/>
          </rPr>
          <t>Ingrid Malmgren:</t>
        </r>
        <r>
          <rPr>
            <sz val="9"/>
            <color indexed="81"/>
            <rFont val="Tahoma"/>
            <family val="2"/>
          </rPr>
          <t xml:space="preserve">
prescriptive rebate program</t>
        </r>
      </text>
    </comment>
    <comment ref="TK2" authorId="0">
      <text>
        <r>
          <rPr>
            <b/>
            <sz val="9"/>
            <color indexed="81"/>
            <rFont val="Tahoma"/>
            <family val="2"/>
          </rPr>
          <t>Ingrid Malmgren:</t>
        </r>
        <r>
          <rPr>
            <sz val="9"/>
            <color indexed="81"/>
            <rFont val="Tahoma"/>
            <family val="2"/>
          </rPr>
          <t xml:space="preserve">
prescriptive rebate program</t>
        </r>
      </text>
    </comment>
    <comment ref="TL2" authorId="0">
      <text>
        <r>
          <rPr>
            <b/>
            <sz val="9"/>
            <color indexed="81"/>
            <rFont val="Tahoma"/>
            <family val="2"/>
          </rPr>
          <t>Ingrid Malmgren:</t>
        </r>
        <r>
          <rPr>
            <sz val="9"/>
            <color indexed="81"/>
            <rFont val="Tahoma"/>
            <family val="2"/>
          </rPr>
          <t xml:space="preserve">
prescriptive rebate program</t>
        </r>
      </text>
    </comment>
    <comment ref="TM2" authorId="0">
      <text>
        <r>
          <rPr>
            <b/>
            <sz val="9"/>
            <color indexed="81"/>
            <rFont val="Tahoma"/>
            <family val="2"/>
          </rPr>
          <t>Ingrid Malmgren:</t>
        </r>
        <r>
          <rPr>
            <sz val="9"/>
            <color indexed="81"/>
            <rFont val="Tahoma"/>
            <family val="2"/>
          </rPr>
          <t xml:space="preserve">
prescriptive rebate program</t>
        </r>
      </text>
    </comment>
    <comment ref="TN2" authorId="0">
      <text>
        <r>
          <rPr>
            <b/>
            <sz val="9"/>
            <color indexed="81"/>
            <rFont val="Tahoma"/>
            <family val="2"/>
          </rPr>
          <t>Ingrid Malmgren:</t>
        </r>
        <r>
          <rPr>
            <sz val="9"/>
            <color indexed="81"/>
            <rFont val="Tahoma"/>
            <family val="2"/>
          </rPr>
          <t xml:space="preserve">
prescriptive rebate program</t>
        </r>
      </text>
    </comment>
    <comment ref="TO2" authorId="0">
      <text>
        <r>
          <rPr>
            <b/>
            <sz val="9"/>
            <color indexed="81"/>
            <rFont val="Tahoma"/>
            <family val="2"/>
          </rPr>
          <t>Ingrid Malmgren:</t>
        </r>
        <r>
          <rPr>
            <sz val="9"/>
            <color indexed="81"/>
            <rFont val="Tahoma"/>
            <family val="2"/>
          </rPr>
          <t xml:space="preserve">
prescriptive rebate program</t>
        </r>
      </text>
    </comment>
    <comment ref="TP2" authorId="0">
      <text>
        <r>
          <rPr>
            <b/>
            <sz val="9"/>
            <color indexed="81"/>
            <rFont val="Tahoma"/>
            <family val="2"/>
          </rPr>
          <t>Ingrid Malmgren:</t>
        </r>
        <r>
          <rPr>
            <sz val="9"/>
            <color indexed="81"/>
            <rFont val="Tahoma"/>
            <family val="2"/>
          </rPr>
          <t xml:space="preserve">
prescriptive rebate program</t>
        </r>
      </text>
    </comment>
    <comment ref="TQ2" authorId="0">
      <text>
        <r>
          <rPr>
            <b/>
            <sz val="9"/>
            <color indexed="81"/>
            <rFont val="Tahoma"/>
            <family val="2"/>
          </rPr>
          <t>Ingrid Malmgren:</t>
        </r>
        <r>
          <rPr>
            <sz val="9"/>
            <color indexed="81"/>
            <rFont val="Tahoma"/>
            <family val="2"/>
          </rPr>
          <t xml:space="preserve">
prescriptive rebate program</t>
        </r>
      </text>
    </comment>
    <comment ref="TR2" authorId="0">
      <text>
        <r>
          <rPr>
            <b/>
            <sz val="9"/>
            <color indexed="81"/>
            <rFont val="Tahoma"/>
            <family val="2"/>
          </rPr>
          <t>Ingrid Malmgren:</t>
        </r>
        <r>
          <rPr>
            <sz val="9"/>
            <color indexed="81"/>
            <rFont val="Tahoma"/>
            <family val="2"/>
          </rPr>
          <t xml:space="preserve">
prescriptive rebate program</t>
        </r>
      </text>
    </comment>
    <comment ref="TS2" authorId="0">
      <text>
        <r>
          <rPr>
            <b/>
            <sz val="9"/>
            <color indexed="81"/>
            <rFont val="Tahoma"/>
            <family val="2"/>
          </rPr>
          <t>Ingrid Malmgren:</t>
        </r>
        <r>
          <rPr>
            <sz val="9"/>
            <color indexed="81"/>
            <rFont val="Tahoma"/>
            <family val="2"/>
          </rPr>
          <t xml:space="preserve">
prescriptive rebate program</t>
        </r>
      </text>
    </comment>
    <comment ref="TT2" authorId="0">
      <text>
        <r>
          <rPr>
            <b/>
            <sz val="9"/>
            <color indexed="81"/>
            <rFont val="Tahoma"/>
            <family val="2"/>
          </rPr>
          <t>Ingrid Malmgren:</t>
        </r>
        <r>
          <rPr>
            <sz val="9"/>
            <color indexed="81"/>
            <rFont val="Tahoma"/>
            <family val="2"/>
          </rPr>
          <t xml:space="preserve">
prescriptive rebate program</t>
        </r>
      </text>
    </comment>
    <comment ref="TU2" authorId="0">
      <text>
        <r>
          <rPr>
            <b/>
            <sz val="9"/>
            <color indexed="81"/>
            <rFont val="Tahoma"/>
            <family val="2"/>
          </rPr>
          <t>Ingrid Malmgren:</t>
        </r>
        <r>
          <rPr>
            <sz val="9"/>
            <color indexed="81"/>
            <rFont val="Tahoma"/>
            <family val="2"/>
          </rPr>
          <t xml:space="preserve">
prescriptive rebate program</t>
        </r>
      </text>
    </comment>
    <comment ref="TV2" authorId="0">
      <text>
        <r>
          <rPr>
            <b/>
            <sz val="9"/>
            <color indexed="81"/>
            <rFont val="Tahoma"/>
            <family val="2"/>
          </rPr>
          <t>Ingrid Malmgren:</t>
        </r>
        <r>
          <rPr>
            <sz val="9"/>
            <color indexed="81"/>
            <rFont val="Tahoma"/>
            <family val="2"/>
          </rPr>
          <t xml:space="preserve">
prescriptive rebate program</t>
        </r>
      </text>
    </comment>
    <comment ref="TW2" authorId="0">
      <text>
        <r>
          <rPr>
            <b/>
            <sz val="9"/>
            <color indexed="81"/>
            <rFont val="Tahoma"/>
            <family val="2"/>
          </rPr>
          <t>Ingrid Malmgren:</t>
        </r>
        <r>
          <rPr>
            <sz val="9"/>
            <color indexed="81"/>
            <rFont val="Tahoma"/>
            <family val="2"/>
          </rPr>
          <t xml:space="preserve">
prescriptive rebate program</t>
        </r>
      </text>
    </comment>
    <comment ref="TX2" authorId="0">
      <text>
        <r>
          <rPr>
            <b/>
            <sz val="9"/>
            <color indexed="81"/>
            <rFont val="Tahoma"/>
            <family val="2"/>
          </rPr>
          <t>Ingrid Malmgren:</t>
        </r>
        <r>
          <rPr>
            <sz val="9"/>
            <color indexed="81"/>
            <rFont val="Tahoma"/>
            <family val="2"/>
          </rPr>
          <t xml:space="preserve">
prescriptive rebate program</t>
        </r>
      </text>
    </comment>
    <comment ref="TY2" authorId="0">
      <text>
        <r>
          <rPr>
            <b/>
            <sz val="9"/>
            <color indexed="81"/>
            <rFont val="Tahoma"/>
            <family val="2"/>
          </rPr>
          <t>Ingrid Malmgren:</t>
        </r>
        <r>
          <rPr>
            <sz val="9"/>
            <color indexed="81"/>
            <rFont val="Tahoma"/>
            <family val="2"/>
          </rPr>
          <t xml:space="preserve">
prescriptive rebate program</t>
        </r>
      </text>
    </comment>
    <comment ref="TZ2" authorId="0">
      <text>
        <r>
          <rPr>
            <b/>
            <sz val="9"/>
            <color indexed="81"/>
            <rFont val="Tahoma"/>
            <family val="2"/>
          </rPr>
          <t>Ingrid Malmgren:</t>
        </r>
        <r>
          <rPr>
            <sz val="9"/>
            <color indexed="81"/>
            <rFont val="Tahoma"/>
            <family val="2"/>
          </rPr>
          <t xml:space="preserve">
prescriptive rebate program</t>
        </r>
      </text>
    </comment>
    <comment ref="UA2" authorId="0">
      <text>
        <r>
          <rPr>
            <b/>
            <sz val="9"/>
            <color indexed="81"/>
            <rFont val="Tahoma"/>
            <family val="2"/>
          </rPr>
          <t>Ingrid Malmgren:</t>
        </r>
        <r>
          <rPr>
            <sz val="9"/>
            <color indexed="81"/>
            <rFont val="Tahoma"/>
            <family val="2"/>
          </rPr>
          <t xml:space="preserve">
prescriptive rebate program</t>
        </r>
      </text>
    </comment>
    <comment ref="UB2" authorId="0">
      <text>
        <r>
          <rPr>
            <b/>
            <sz val="9"/>
            <color indexed="81"/>
            <rFont val="Tahoma"/>
            <family val="2"/>
          </rPr>
          <t>Ingrid Malmgren:</t>
        </r>
        <r>
          <rPr>
            <sz val="9"/>
            <color indexed="81"/>
            <rFont val="Tahoma"/>
            <family val="2"/>
          </rPr>
          <t xml:space="preserve">
prescriptive rebate program</t>
        </r>
      </text>
    </comment>
    <comment ref="UC2" authorId="0">
      <text>
        <r>
          <rPr>
            <b/>
            <sz val="9"/>
            <color indexed="81"/>
            <rFont val="Tahoma"/>
            <family val="2"/>
          </rPr>
          <t>Ingrid Malmgren:</t>
        </r>
        <r>
          <rPr>
            <sz val="9"/>
            <color indexed="81"/>
            <rFont val="Tahoma"/>
            <family val="2"/>
          </rPr>
          <t xml:space="preserve">
prescriptive rebate program</t>
        </r>
      </text>
    </comment>
    <comment ref="UD2" authorId="0">
      <text>
        <r>
          <rPr>
            <b/>
            <sz val="9"/>
            <color indexed="81"/>
            <rFont val="Tahoma"/>
            <family val="2"/>
          </rPr>
          <t>Ingrid Malmgren:</t>
        </r>
        <r>
          <rPr>
            <sz val="9"/>
            <color indexed="81"/>
            <rFont val="Tahoma"/>
            <family val="2"/>
          </rPr>
          <t xml:space="preserve">
prescriptive rebate program</t>
        </r>
      </text>
    </comment>
    <comment ref="UE2" authorId="0">
      <text>
        <r>
          <rPr>
            <b/>
            <sz val="9"/>
            <color indexed="81"/>
            <rFont val="Tahoma"/>
            <family val="2"/>
          </rPr>
          <t>Ingrid Malmgren:</t>
        </r>
        <r>
          <rPr>
            <sz val="9"/>
            <color indexed="81"/>
            <rFont val="Tahoma"/>
            <family val="2"/>
          </rPr>
          <t xml:space="preserve">
prescriptive rebate program</t>
        </r>
      </text>
    </comment>
    <comment ref="UF2" authorId="0">
      <text>
        <r>
          <rPr>
            <b/>
            <sz val="9"/>
            <color indexed="81"/>
            <rFont val="Tahoma"/>
            <family val="2"/>
          </rPr>
          <t>Ingrid Malmgren:</t>
        </r>
        <r>
          <rPr>
            <sz val="9"/>
            <color indexed="81"/>
            <rFont val="Tahoma"/>
            <family val="2"/>
          </rPr>
          <t xml:space="preserve">
prescriptive rebate program</t>
        </r>
      </text>
    </comment>
    <comment ref="UG2" authorId="0">
      <text>
        <r>
          <rPr>
            <b/>
            <sz val="9"/>
            <color indexed="81"/>
            <rFont val="Tahoma"/>
            <family val="2"/>
          </rPr>
          <t>Ingrid Malmgren:</t>
        </r>
        <r>
          <rPr>
            <sz val="9"/>
            <color indexed="81"/>
            <rFont val="Tahoma"/>
            <family val="2"/>
          </rPr>
          <t xml:space="preserve">
prescriptive rebate program</t>
        </r>
      </text>
    </comment>
    <comment ref="UH2" authorId="0">
      <text>
        <r>
          <rPr>
            <b/>
            <sz val="9"/>
            <color indexed="81"/>
            <rFont val="Tahoma"/>
            <family val="2"/>
          </rPr>
          <t>Ingrid Malmgren:</t>
        </r>
        <r>
          <rPr>
            <sz val="9"/>
            <color indexed="81"/>
            <rFont val="Tahoma"/>
            <family val="2"/>
          </rPr>
          <t xml:space="preserve">
prescriptive rebate program</t>
        </r>
      </text>
    </comment>
    <comment ref="UI2" authorId="0">
      <text>
        <r>
          <rPr>
            <b/>
            <sz val="9"/>
            <color indexed="81"/>
            <rFont val="Tahoma"/>
            <family val="2"/>
          </rPr>
          <t>Ingrid Malmgren:</t>
        </r>
        <r>
          <rPr>
            <sz val="9"/>
            <color indexed="81"/>
            <rFont val="Tahoma"/>
            <family val="2"/>
          </rPr>
          <t xml:space="preserve">
prescriptive rebate program</t>
        </r>
      </text>
    </comment>
    <comment ref="UJ2" authorId="0">
      <text>
        <r>
          <rPr>
            <b/>
            <sz val="9"/>
            <color indexed="81"/>
            <rFont val="Tahoma"/>
            <family val="2"/>
          </rPr>
          <t>Ingrid Malmgren:</t>
        </r>
        <r>
          <rPr>
            <sz val="9"/>
            <color indexed="81"/>
            <rFont val="Tahoma"/>
            <family val="2"/>
          </rPr>
          <t xml:space="preserve">
prescriptive rebate program</t>
        </r>
      </text>
    </comment>
    <comment ref="UK2" authorId="0">
      <text>
        <r>
          <rPr>
            <b/>
            <sz val="9"/>
            <color indexed="81"/>
            <rFont val="Tahoma"/>
            <family val="2"/>
          </rPr>
          <t>Ingrid Malmgren:</t>
        </r>
        <r>
          <rPr>
            <sz val="9"/>
            <color indexed="81"/>
            <rFont val="Tahoma"/>
            <family val="2"/>
          </rPr>
          <t xml:space="preserve">
prescriptive rebate program</t>
        </r>
      </text>
    </comment>
    <comment ref="UL2" authorId="0">
      <text>
        <r>
          <rPr>
            <b/>
            <sz val="9"/>
            <color indexed="81"/>
            <rFont val="Tahoma"/>
            <family val="2"/>
          </rPr>
          <t>Ingrid Malmgren:</t>
        </r>
        <r>
          <rPr>
            <sz val="9"/>
            <color indexed="81"/>
            <rFont val="Tahoma"/>
            <family val="2"/>
          </rPr>
          <t xml:space="preserve">
prescriptive rebate program</t>
        </r>
      </text>
    </comment>
    <comment ref="UM2" authorId="0">
      <text>
        <r>
          <rPr>
            <b/>
            <sz val="9"/>
            <color indexed="81"/>
            <rFont val="Tahoma"/>
            <family val="2"/>
          </rPr>
          <t>Ingrid Malmgren:</t>
        </r>
        <r>
          <rPr>
            <sz val="9"/>
            <color indexed="81"/>
            <rFont val="Tahoma"/>
            <family val="2"/>
          </rPr>
          <t xml:space="preserve">
prescriptive rebate program</t>
        </r>
      </text>
    </comment>
    <comment ref="UN2" authorId="0">
      <text>
        <r>
          <rPr>
            <b/>
            <sz val="9"/>
            <color indexed="81"/>
            <rFont val="Tahoma"/>
            <family val="2"/>
          </rPr>
          <t>Ingrid Malmgren:</t>
        </r>
        <r>
          <rPr>
            <sz val="9"/>
            <color indexed="81"/>
            <rFont val="Tahoma"/>
            <family val="2"/>
          </rPr>
          <t xml:space="preserve">
prescriptive rebate program</t>
        </r>
      </text>
    </comment>
    <comment ref="UO2" authorId="0">
      <text>
        <r>
          <rPr>
            <b/>
            <sz val="9"/>
            <color indexed="81"/>
            <rFont val="Tahoma"/>
            <family val="2"/>
          </rPr>
          <t>Ingrid Malmgren:</t>
        </r>
        <r>
          <rPr>
            <sz val="9"/>
            <color indexed="81"/>
            <rFont val="Tahoma"/>
            <family val="2"/>
          </rPr>
          <t xml:space="preserve">
prescriptive rebate program</t>
        </r>
      </text>
    </comment>
    <comment ref="UP2" authorId="0">
      <text>
        <r>
          <rPr>
            <b/>
            <sz val="9"/>
            <color indexed="81"/>
            <rFont val="Tahoma"/>
            <family val="2"/>
          </rPr>
          <t>Ingrid Malmgren:</t>
        </r>
        <r>
          <rPr>
            <sz val="9"/>
            <color indexed="81"/>
            <rFont val="Tahoma"/>
            <family val="2"/>
          </rPr>
          <t xml:space="preserve">
prescriptive rebate program</t>
        </r>
      </text>
    </comment>
    <comment ref="UQ2" authorId="0">
      <text>
        <r>
          <rPr>
            <b/>
            <sz val="9"/>
            <color indexed="81"/>
            <rFont val="Tahoma"/>
            <family val="2"/>
          </rPr>
          <t>Ingrid Malmgren:</t>
        </r>
        <r>
          <rPr>
            <sz val="9"/>
            <color indexed="81"/>
            <rFont val="Tahoma"/>
            <family val="2"/>
          </rPr>
          <t xml:space="preserve">
prescriptive rebate program</t>
        </r>
      </text>
    </comment>
    <comment ref="UR2" authorId="0">
      <text>
        <r>
          <rPr>
            <b/>
            <sz val="9"/>
            <color indexed="81"/>
            <rFont val="Tahoma"/>
            <family val="2"/>
          </rPr>
          <t>Ingrid Malmgren:</t>
        </r>
        <r>
          <rPr>
            <sz val="9"/>
            <color indexed="81"/>
            <rFont val="Tahoma"/>
            <family val="2"/>
          </rPr>
          <t xml:space="preserve">
prescriptive rebate program</t>
        </r>
      </text>
    </comment>
    <comment ref="US2" authorId="0">
      <text>
        <r>
          <rPr>
            <b/>
            <sz val="9"/>
            <color indexed="81"/>
            <rFont val="Tahoma"/>
            <family val="2"/>
          </rPr>
          <t>Ingrid Malmgren:</t>
        </r>
        <r>
          <rPr>
            <sz val="9"/>
            <color indexed="81"/>
            <rFont val="Tahoma"/>
            <family val="2"/>
          </rPr>
          <t xml:space="preserve">
prescriptive rebate program</t>
        </r>
      </text>
    </comment>
    <comment ref="UT2" authorId="0">
      <text>
        <r>
          <rPr>
            <b/>
            <sz val="9"/>
            <color indexed="81"/>
            <rFont val="Tahoma"/>
            <family val="2"/>
          </rPr>
          <t>Ingrid Malmgren:</t>
        </r>
        <r>
          <rPr>
            <sz val="9"/>
            <color indexed="81"/>
            <rFont val="Tahoma"/>
            <family val="2"/>
          </rPr>
          <t xml:space="preserve">
prescriptive rebate program</t>
        </r>
      </text>
    </comment>
    <comment ref="UU2" authorId="0">
      <text>
        <r>
          <rPr>
            <b/>
            <sz val="9"/>
            <color indexed="81"/>
            <rFont val="Tahoma"/>
            <family val="2"/>
          </rPr>
          <t>Ingrid Malmgren:</t>
        </r>
        <r>
          <rPr>
            <sz val="9"/>
            <color indexed="81"/>
            <rFont val="Tahoma"/>
            <family val="2"/>
          </rPr>
          <t xml:space="preserve">
prescriptive rebate program</t>
        </r>
      </text>
    </comment>
    <comment ref="UV2" authorId="0">
      <text>
        <r>
          <rPr>
            <b/>
            <sz val="9"/>
            <color indexed="81"/>
            <rFont val="Tahoma"/>
            <family val="2"/>
          </rPr>
          <t>Ingrid Malmgren:</t>
        </r>
        <r>
          <rPr>
            <sz val="9"/>
            <color indexed="81"/>
            <rFont val="Tahoma"/>
            <family val="2"/>
          </rPr>
          <t xml:space="preserve">
prescriptive rebate program</t>
        </r>
      </text>
    </comment>
    <comment ref="UW2" authorId="0">
      <text>
        <r>
          <rPr>
            <b/>
            <sz val="9"/>
            <color indexed="81"/>
            <rFont val="Tahoma"/>
            <family val="2"/>
          </rPr>
          <t>Ingrid Malmgren:</t>
        </r>
        <r>
          <rPr>
            <sz val="9"/>
            <color indexed="81"/>
            <rFont val="Tahoma"/>
            <family val="2"/>
          </rPr>
          <t xml:space="preserve">
prescriptive rebate program</t>
        </r>
      </text>
    </comment>
    <comment ref="UX2" authorId="0">
      <text>
        <r>
          <rPr>
            <b/>
            <sz val="9"/>
            <color indexed="81"/>
            <rFont val="Tahoma"/>
            <family val="2"/>
          </rPr>
          <t>Ingrid Malmgren:</t>
        </r>
        <r>
          <rPr>
            <sz val="9"/>
            <color indexed="81"/>
            <rFont val="Tahoma"/>
            <family val="2"/>
          </rPr>
          <t xml:space="preserve">
prescriptive rebate program</t>
        </r>
      </text>
    </comment>
    <comment ref="UY2" authorId="0">
      <text>
        <r>
          <rPr>
            <b/>
            <sz val="9"/>
            <color indexed="81"/>
            <rFont val="Tahoma"/>
            <family val="2"/>
          </rPr>
          <t>Ingrid Malmgren:</t>
        </r>
        <r>
          <rPr>
            <sz val="9"/>
            <color indexed="81"/>
            <rFont val="Tahoma"/>
            <family val="2"/>
          </rPr>
          <t xml:space="preserve">
prescriptive rebate program</t>
        </r>
      </text>
    </comment>
    <comment ref="UZ2" authorId="0">
      <text>
        <r>
          <rPr>
            <b/>
            <sz val="9"/>
            <color indexed="81"/>
            <rFont val="Tahoma"/>
            <family val="2"/>
          </rPr>
          <t>Ingrid Malmgren:</t>
        </r>
        <r>
          <rPr>
            <sz val="9"/>
            <color indexed="81"/>
            <rFont val="Tahoma"/>
            <family val="2"/>
          </rPr>
          <t xml:space="preserve">
prescriptive rebate program</t>
        </r>
      </text>
    </comment>
    <comment ref="VA2" authorId="0">
      <text>
        <r>
          <rPr>
            <b/>
            <sz val="9"/>
            <color indexed="81"/>
            <rFont val="Tahoma"/>
            <family val="2"/>
          </rPr>
          <t>Ingrid Malmgren:</t>
        </r>
        <r>
          <rPr>
            <sz val="9"/>
            <color indexed="81"/>
            <rFont val="Tahoma"/>
            <family val="2"/>
          </rPr>
          <t xml:space="preserve">
prescriptive rebate program</t>
        </r>
      </text>
    </comment>
    <comment ref="VB2" authorId="0">
      <text>
        <r>
          <rPr>
            <b/>
            <sz val="9"/>
            <color indexed="81"/>
            <rFont val="Tahoma"/>
            <family val="2"/>
          </rPr>
          <t>Ingrid Malmgren:</t>
        </r>
        <r>
          <rPr>
            <sz val="9"/>
            <color indexed="81"/>
            <rFont val="Tahoma"/>
            <family val="2"/>
          </rPr>
          <t xml:space="preserve">
prescriptive rebate program</t>
        </r>
      </text>
    </comment>
    <comment ref="VC2" authorId="0">
      <text>
        <r>
          <rPr>
            <b/>
            <sz val="9"/>
            <color indexed="81"/>
            <rFont val="Tahoma"/>
            <family val="2"/>
          </rPr>
          <t>Ingrid Malmgren:</t>
        </r>
        <r>
          <rPr>
            <sz val="9"/>
            <color indexed="81"/>
            <rFont val="Tahoma"/>
            <family val="2"/>
          </rPr>
          <t xml:space="preserve">
prescriptive rebate program</t>
        </r>
      </text>
    </comment>
    <comment ref="VD2" authorId="0">
      <text>
        <r>
          <rPr>
            <b/>
            <sz val="9"/>
            <color indexed="81"/>
            <rFont val="Tahoma"/>
            <family val="2"/>
          </rPr>
          <t>Ingrid Malmgren:</t>
        </r>
        <r>
          <rPr>
            <sz val="9"/>
            <color indexed="81"/>
            <rFont val="Tahoma"/>
            <family val="2"/>
          </rPr>
          <t xml:space="preserve">
prescriptive rebate program</t>
        </r>
      </text>
    </comment>
    <comment ref="VE2" authorId="0">
      <text>
        <r>
          <rPr>
            <b/>
            <sz val="9"/>
            <color indexed="81"/>
            <rFont val="Tahoma"/>
            <family val="2"/>
          </rPr>
          <t>Ingrid Malmgren:</t>
        </r>
        <r>
          <rPr>
            <sz val="9"/>
            <color indexed="81"/>
            <rFont val="Tahoma"/>
            <family val="2"/>
          </rPr>
          <t xml:space="preserve">
prescriptive rebate program</t>
        </r>
      </text>
    </comment>
    <comment ref="VF2" authorId="0">
      <text>
        <r>
          <rPr>
            <b/>
            <sz val="9"/>
            <color indexed="81"/>
            <rFont val="Tahoma"/>
            <family val="2"/>
          </rPr>
          <t>Ingrid Malmgren:</t>
        </r>
        <r>
          <rPr>
            <sz val="9"/>
            <color indexed="81"/>
            <rFont val="Tahoma"/>
            <family val="2"/>
          </rPr>
          <t xml:space="preserve">
prescriptive rebate program</t>
        </r>
      </text>
    </comment>
    <comment ref="VG2" authorId="0">
      <text>
        <r>
          <rPr>
            <b/>
            <sz val="9"/>
            <color indexed="81"/>
            <rFont val="Tahoma"/>
            <family val="2"/>
          </rPr>
          <t>Ingrid Malmgren:</t>
        </r>
        <r>
          <rPr>
            <sz val="9"/>
            <color indexed="81"/>
            <rFont val="Tahoma"/>
            <family val="2"/>
          </rPr>
          <t xml:space="preserve">
prescriptive rebate program</t>
        </r>
      </text>
    </comment>
    <comment ref="VH2" authorId="0">
      <text>
        <r>
          <rPr>
            <b/>
            <sz val="9"/>
            <color indexed="81"/>
            <rFont val="Tahoma"/>
            <family val="2"/>
          </rPr>
          <t>Ingrid Malmgren:</t>
        </r>
        <r>
          <rPr>
            <sz val="9"/>
            <color indexed="81"/>
            <rFont val="Tahoma"/>
            <family val="2"/>
          </rPr>
          <t xml:space="preserve">
prescriptive rebate program</t>
        </r>
      </text>
    </comment>
    <comment ref="VI2" authorId="0">
      <text>
        <r>
          <rPr>
            <b/>
            <sz val="9"/>
            <color indexed="81"/>
            <rFont val="Tahoma"/>
            <family val="2"/>
          </rPr>
          <t>Ingrid Malmgren:</t>
        </r>
        <r>
          <rPr>
            <sz val="9"/>
            <color indexed="81"/>
            <rFont val="Tahoma"/>
            <family val="2"/>
          </rPr>
          <t xml:space="preserve">
prescriptive rebate program</t>
        </r>
      </text>
    </comment>
    <comment ref="VJ2" authorId="0">
      <text>
        <r>
          <rPr>
            <b/>
            <sz val="9"/>
            <color indexed="81"/>
            <rFont val="Tahoma"/>
            <family val="2"/>
          </rPr>
          <t>Ingrid Malmgren:</t>
        </r>
        <r>
          <rPr>
            <sz val="9"/>
            <color indexed="81"/>
            <rFont val="Tahoma"/>
            <family val="2"/>
          </rPr>
          <t xml:space="preserve">
prescriptive rebate program</t>
        </r>
      </text>
    </comment>
    <comment ref="VK2" authorId="0">
      <text>
        <r>
          <rPr>
            <b/>
            <sz val="9"/>
            <color indexed="81"/>
            <rFont val="Tahoma"/>
            <family val="2"/>
          </rPr>
          <t>Ingrid Malmgren:</t>
        </r>
        <r>
          <rPr>
            <sz val="9"/>
            <color indexed="81"/>
            <rFont val="Tahoma"/>
            <family val="2"/>
          </rPr>
          <t xml:space="preserve">
prescriptive rebate program</t>
        </r>
      </text>
    </comment>
    <comment ref="VL2" authorId="0">
      <text>
        <r>
          <rPr>
            <b/>
            <sz val="9"/>
            <color indexed="81"/>
            <rFont val="Tahoma"/>
            <family val="2"/>
          </rPr>
          <t>Ingrid Malmgren:</t>
        </r>
        <r>
          <rPr>
            <sz val="9"/>
            <color indexed="81"/>
            <rFont val="Tahoma"/>
            <family val="2"/>
          </rPr>
          <t xml:space="preserve">
prescriptive rebate program</t>
        </r>
      </text>
    </comment>
    <comment ref="VM2" authorId="0">
      <text>
        <r>
          <rPr>
            <b/>
            <sz val="9"/>
            <color indexed="81"/>
            <rFont val="Tahoma"/>
            <family val="2"/>
          </rPr>
          <t>Ingrid Malmgren:</t>
        </r>
        <r>
          <rPr>
            <sz val="9"/>
            <color indexed="81"/>
            <rFont val="Tahoma"/>
            <family val="2"/>
          </rPr>
          <t xml:space="preserve">
prescriptive rebate program</t>
        </r>
      </text>
    </comment>
    <comment ref="VN2" authorId="0">
      <text>
        <r>
          <rPr>
            <b/>
            <sz val="9"/>
            <color indexed="81"/>
            <rFont val="Tahoma"/>
            <family val="2"/>
          </rPr>
          <t>Ingrid Malmgren:</t>
        </r>
        <r>
          <rPr>
            <sz val="9"/>
            <color indexed="81"/>
            <rFont val="Tahoma"/>
            <family val="2"/>
          </rPr>
          <t xml:space="preserve">
prescriptive rebate program</t>
        </r>
      </text>
    </comment>
    <comment ref="VO2" authorId="0">
      <text>
        <r>
          <rPr>
            <b/>
            <sz val="9"/>
            <color indexed="81"/>
            <rFont val="Tahoma"/>
            <family val="2"/>
          </rPr>
          <t>Ingrid Malmgren:</t>
        </r>
        <r>
          <rPr>
            <sz val="9"/>
            <color indexed="81"/>
            <rFont val="Tahoma"/>
            <family val="2"/>
          </rPr>
          <t xml:space="preserve">
prescriptive rebate program</t>
        </r>
      </text>
    </comment>
    <comment ref="VP2" authorId="0">
      <text>
        <r>
          <rPr>
            <b/>
            <sz val="9"/>
            <color indexed="81"/>
            <rFont val="Tahoma"/>
            <family val="2"/>
          </rPr>
          <t>Ingrid Malmgren:</t>
        </r>
        <r>
          <rPr>
            <sz val="9"/>
            <color indexed="81"/>
            <rFont val="Tahoma"/>
            <family val="2"/>
          </rPr>
          <t xml:space="preserve">
prescriptive rebate program</t>
        </r>
      </text>
    </comment>
    <comment ref="VQ2" authorId="0">
      <text>
        <r>
          <rPr>
            <b/>
            <sz val="9"/>
            <color indexed="81"/>
            <rFont val="Tahoma"/>
            <family val="2"/>
          </rPr>
          <t>Ingrid Malmgren:</t>
        </r>
        <r>
          <rPr>
            <sz val="9"/>
            <color indexed="81"/>
            <rFont val="Tahoma"/>
            <family val="2"/>
          </rPr>
          <t xml:space="preserve">
prescriptive rebate program</t>
        </r>
      </text>
    </comment>
    <comment ref="VR2" authorId="0">
      <text>
        <r>
          <rPr>
            <b/>
            <sz val="9"/>
            <color indexed="81"/>
            <rFont val="Tahoma"/>
            <family val="2"/>
          </rPr>
          <t>Ingrid Malmgren:</t>
        </r>
        <r>
          <rPr>
            <sz val="9"/>
            <color indexed="81"/>
            <rFont val="Tahoma"/>
            <family val="2"/>
          </rPr>
          <t xml:space="preserve">
prescriptive rebate program</t>
        </r>
      </text>
    </comment>
    <comment ref="VS2" authorId="0">
      <text>
        <r>
          <rPr>
            <b/>
            <sz val="9"/>
            <color indexed="81"/>
            <rFont val="Tahoma"/>
            <family val="2"/>
          </rPr>
          <t>Ingrid Malmgren:</t>
        </r>
        <r>
          <rPr>
            <sz val="9"/>
            <color indexed="81"/>
            <rFont val="Tahoma"/>
            <family val="2"/>
          </rPr>
          <t xml:space="preserve">
prescriptive rebate program</t>
        </r>
      </text>
    </comment>
    <comment ref="VT2" authorId="0">
      <text>
        <r>
          <rPr>
            <b/>
            <sz val="9"/>
            <color indexed="81"/>
            <rFont val="Tahoma"/>
            <family val="2"/>
          </rPr>
          <t>Ingrid Malmgren:</t>
        </r>
        <r>
          <rPr>
            <sz val="9"/>
            <color indexed="81"/>
            <rFont val="Tahoma"/>
            <family val="2"/>
          </rPr>
          <t xml:space="preserve">
prescriptive rebate program</t>
        </r>
      </text>
    </comment>
    <comment ref="VU2" authorId="0">
      <text>
        <r>
          <rPr>
            <b/>
            <sz val="9"/>
            <color indexed="81"/>
            <rFont val="Tahoma"/>
            <family val="2"/>
          </rPr>
          <t>Ingrid Malmgren:</t>
        </r>
        <r>
          <rPr>
            <sz val="9"/>
            <color indexed="81"/>
            <rFont val="Tahoma"/>
            <family val="2"/>
          </rPr>
          <t xml:space="preserve">
prescriptive rebate program</t>
        </r>
      </text>
    </comment>
    <comment ref="VV2" authorId="0">
      <text>
        <r>
          <rPr>
            <b/>
            <sz val="9"/>
            <color indexed="81"/>
            <rFont val="Tahoma"/>
            <family val="2"/>
          </rPr>
          <t>Ingrid Malmgren:</t>
        </r>
        <r>
          <rPr>
            <sz val="9"/>
            <color indexed="81"/>
            <rFont val="Tahoma"/>
            <family val="2"/>
          </rPr>
          <t xml:space="preserve">
prescriptive rebate program</t>
        </r>
      </text>
    </comment>
    <comment ref="VW2" authorId="0">
      <text>
        <r>
          <rPr>
            <b/>
            <sz val="9"/>
            <color indexed="81"/>
            <rFont val="Tahoma"/>
            <family val="2"/>
          </rPr>
          <t>Ingrid Malmgren:</t>
        </r>
        <r>
          <rPr>
            <sz val="9"/>
            <color indexed="81"/>
            <rFont val="Tahoma"/>
            <family val="2"/>
          </rPr>
          <t xml:space="preserve">
prescriptive rebate program</t>
        </r>
      </text>
    </comment>
    <comment ref="VX2" authorId="0">
      <text>
        <r>
          <rPr>
            <b/>
            <sz val="9"/>
            <color indexed="81"/>
            <rFont val="Tahoma"/>
            <family val="2"/>
          </rPr>
          <t>Ingrid Malmgren:</t>
        </r>
        <r>
          <rPr>
            <sz val="9"/>
            <color indexed="81"/>
            <rFont val="Tahoma"/>
            <family val="2"/>
          </rPr>
          <t xml:space="preserve">
prescriptive rebate program</t>
        </r>
      </text>
    </comment>
    <comment ref="VY2" authorId="0">
      <text>
        <r>
          <rPr>
            <b/>
            <sz val="9"/>
            <color indexed="81"/>
            <rFont val="Tahoma"/>
            <family val="2"/>
          </rPr>
          <t>Ingrid Malmgren:</t>
        </r>
        <r>
          <rPr>
            <sz val="9"/>
            <color indexed="81"/>
            <rFont val="Tahoma"/>
            <family val="2"/>
          </rPr>
          <t xml:space="preserve">
prescriptive rebate program</t>
        </r>
      </text>
    </comment>
    <comment ref="VZ2" authorId="0">
      <text>
        <r>
          <rPr>
            <b/>
            <sz val="9"/>
            <color indexed="81"/>
            <rFont val="Tahoma"/>
            <family val="2"/>
          </rPr>
          <t>Ingrid Malmgren:</t>
        </r>
        <r>
          <rPr>
            <sz val="9"/>
            <color indexed="81"/>
            <rFont val="Tahoma"/>
            <family val="2"/>
          </rPr>
          <t xml:space="preserve">
prescriptive rebate program</t>
        </r>
      </text>
    </comment>
    <comment ref="WA2" authorId="0">
      <text>
        <r>
          <rPr>
            <b/>
            <sz val="9"/>
            <color indexed="81"/>
            <rFont val="Tahoma"/>
            <family val="2"/>
          </rPr>
          <t>Ingrid Malmgren:</t>
        </r>
        <r>
          <rPr>
            <sz val="9"/>
            <color indexed="81"/>
            <rFont val="Tahoma"/>
            <family val="2"/>
          </rPr>
          <t xml:space="preserve">
prescriptive rebate program</t>
        </r>
      </text>
    </comment>
    <comment ref="WB2" authorId="0">
      <text>
        <r>
          <rPr>
            <b/>
            <sz val="9"/>
            <color indexed="81"/>
            <rFont val="Tahoma"/>
            <family val="2"/>
          </rPr>
          <t>Ingrid Malmgren:</t>
        </r>
        <r>
          <rPr>
            <sz val="9"/>
            <color indexed="81"/>
            <rFont val="Tahoma"/>
            <family val="2"/>
          </rPr>
          <t xml:space="preserve">
prescriptive rebate program</t>
        </r>
      </text>
    </comment>
    <comment ref="WC2" authorId="0">
      <text>
        <r>
          <rPr>
            <b/>
            <sz val="9"/>
            <color indexed="81"/>
            <rFont val="Tahoma"/>
            <family val="2"/>
          </rPr>
          <t>Ingrid Malmgren:</t>
        </r>
        <r>
          <rPr>
            <sz val="9"/>
            <color indexed="81"/>
            <rFont val="Tahoma"/>
            <family val="2"/>
          </rPr>
          <t xml:space="preserve">
prescriptive rebate program</t>
        </r>
      </text>
    </comment>
    <comment ref="WD2" authorId="0">
      <text>
        <r>
          <rPr>
            <b/>
            <sz val="9"/>
            <color indexed="81"/>
            <rFont val="Tahoma"/>
            <family val="2"/>
          </rPr>
          <t>Ingrid Malmgren:</t>
        </r>
        <r>
          <rPr>
            <sz val="9"/>
            <color indexed="81"/>
            <rFont val="Tahoma"/>
            <family val="2"/>
          </rPr>
          <t xml:space="preserve">
prescriptive rebate program</t>
        </r>
      </text>
    </comment>
    <comment ref="WE2" authorId="0">
      <text>
        <r>
          <rPr>
            <b/>
            <sz val="9"/>
            <color indexed="81"/>
            <rFont val="Tahoma"/>
            <family val="2"/>
          </rPr>
          <t>Ingrid Malmgren:</t>
        </r>
        <r>
          <rPr>
            <sz val="9"/>
            <color indexed="81"/>
            <rFont val="Tahoma"/>
            <family val="2"/>
          </rPr>
          <t xml:space="preserve">
prescriptive rebate program</t>
        </r>
      </text>
    </comment>
    <comment ref="WF2" authorId="0">
      <text>
        <r>
          <rPr>
            <b/>
            <sz val="9"/>
            <color indexed="81"/>
            <rFont val="Tahoma"/>
            <family val="2"/>
          </rPr>
          <t>Ingrid Malmgren:</t>
        </r>
        <r>
          <rPr>
            <sz val="9"/>
            <color indexed="81"/>
            <rFont val="Tahoma"/>
            <family val="2"/>
          </rPr>
          <t xml:space="preserve">
prescriptive rebate program</t>
        </r>
      </text>
    </comment>
    <comment ref="WG2" authorId="0">
      <text>
        <r>
          <rPr>
            <b/>
            <sz val="9"/>
            <color indexed="81"/>
            <rFont val="Tahoma"/>
            <family val="2"/>
          </rPr>
          <t>Ingrid Malmgren:</t>
        </r>
        <r>
          <rPr>
            <sz val="9"/>
            <color indexed="81"/>
            <rFont val="Tahoma"/>
            <family val="2"/>
          </rPr>
          <t xml:space="preserve">
prescriptive rebate program</t>
        </r>
      </text>
    </comment>
    <comment ref="WH2" authorId="0">
      <text>
        <r>
          <rPr>
            <b/>
            <sz val="9"/>
            <color indexed="81"/>
            <rFont val="Tahoma"/>
            <family val="2"/>
          </rPr>
          <t>Ingrid Malmgren:</t>
        </r>
        <r>
          <rPr>
            <sz val="9"/>
            <color indexed="81"/>
            <rFont val="Tahoma"/>
            <family val="2"/>
          </rPr>
          <t xml:space="preserve">
prescriptive rebate program</t>
        </r>
      </text>
    </comment>
    <comment ref="WI2" authorId="0">
      <text>
        <r>
          <rPr>
            <b/>
            <sz val="9"/>
            <color indexed="81"/>
            <rFont val="Tahoma"/>
            <family val="2"/>
          </rPr>
          <t>Ingrid Malmgren:</t>
        </r>
        <r>
          <rPr>
            <sz val="9"/>
            <color indexed="81"/>
            <rFont val="Tahoma"/>
            <family val="2"/>
          </rPr>
          <t xml:space="preserve">
prescriptive rebate program</t>
        </r>
      </text>
    </comment>
    <comment ref="WJ2" authorId="0">
      <text>
        <r>
          <rPr>
            <b/>
            <sz val="9"/>
            <color indexed="81"/>
            <rFont val="Tahoma"/>
            <family val="2"/>
          </rPr>
          <t>Ingrid Malmgren:</t>
        </r>
        <r>
          <rPr>
            <sz val="9"/>
            <color indexed="81"/>
            <rFont val="Tahoma"/>
            <family val="2"/>
          </rPr>
          <t xml:space="preserve">
prescriptive rebate program</t>
        </r>
      </text>
    </comment>
    <comment ref="WK2" authorId="0">
      <text>
        <r>
          <rPr>
            <b/>
            <sz val="9"/>
            <color indexed="81"/>
            <rFont val="Tahoma"/>
            <family val="2"/>
          </rPr>
          <t>Ingrid Malmgren:</t>
        </r>
        <r>
          <rPr>
            <sz val="9"/>
            <color indexed="81"/>
            <rFont val="Tahoma"/>
            <family val="2"/>
          </rPr>
          <t xml:space="preserve">
prescriptive rebate program</t>
        </r>
      </text>
    </comment>
    <comment ref="WL2" authorId="0">
      <text>
        <r>
          <rPr>
            <b/>
            <sz val="9"/>
            <color indexed="81"/>
            <rFont val="Tahoma"/>
            <family val="2"/>
          </rPr>
          <t>Ingrid Malmgren:</t>
        </r>
        <r>
          <rPr>
            <sz val="9"/>
            <color indexed="81"/>
            <rFont val="Tahoma"/>
            <family val="2"/>
          </rPr>
          <t xml:space="preserve">
prescriptive rebate program</t>
        </r>
      </text>
    </comment>
    <comment ref="WM2" authorId="0">
      <text>
        <r>
          <rPr>
            <b/>
            <sz val="9"/>
            <color indexed="81"/>
            <rFont val="Tahoma"/>
            <family val="2"/>
          </rPr>
          <t>Ingrid Malmgren:</t>
        </r>
        <r>
          <rPr>
            <sz val="9"/>
            <color indexed="81"/>
            <rFont val="Tahoma"/>
            <family val="2"/>
          </rPr>
          <t xml:space="preserve">
prescriptive rebate program</t>
        </r>
      </text>
    </comment>
    <comment ref="WN2" authorId="0">
      <text>
        <r>
          <rPr>
            <b/>
            <sz val="9"/>
            <color indexed="81"/>
            <rFont val="Tahoma"/>
            <family val="2"/>
          </rPr>
          <t>Ingrid Malmgren:</t>
        </r>
        <r>
          <rPr>
            <sz val="9"/>
            <color indexed="81"/>
            <rFont val="Tahoma"/>
            <family val="2"/>
          </rPr>
          <t xml:space="preserve">
prescriptive rebate program</t>
        </r>
      </text>
    </comment>
    <comment ref="WO2" authorId="0">
      <text>
        <r>
          <rPr>
            <b/>
            <sz val="9"/>
            <color indexed="81"/>
            <rFont val="Tahoma"/>
            <family val="2"/>
          </rPr>
          <t>Ingrid Malmgren:</t>
        </r>
        <r>
          <rPr>
            <sz val="9"/>
            <color indexed="81"/>
            <rFont val="Tahoma"/>
            <family val="2"/>
          </rPr>
          <t xml:space="preserve">
prescriptive rebate program</t>
        </r>
      </text>
    </comment>
    <comment ref="WP2" authorId="0">
      <text>
        <r>
          <rPr>
            <b/>
            <sz val="9"/>
            <color indexed="81"/>
            <rFont val="Tahoma"/>
            <family val="2"/>
          </rPr>
          <t>Ingrid Malmgren:</t>
        </r>
        <r>
          <rPr>
            <sz val="9"/>
            <color indexed="81"/>
            <rFont val="Tahoma"/>
            <family val="2"/>
          </rPr>
          <t xml:space="preserve">
prescriptive rebate program</t>
        </r>
      </text>
    </comment>
    <comment ref="WQ2" authorId="0">
      <text>
        <r>
          <rPr>
            <b/>
            <sz val="9"/>
            <color indexed="81"/>
            <rFont val="Tahoma"/>
            <family val="2"/>
          </rPr>
          <t>Ingrid Malmgren:</t>
        </r>
        <r>
          <rPr>
            <sz val="9"/>
            <color indexed="81"/>
            <rFont val="Tahoma"/>
            <family val="2"/>
          </rPr>
          <t xml:space="preserve">
prescriptive rebate program</t>
        </r>
      </text>
    </comment>
    <comment ref="WR2" authorId="0">
      <text>
        <r>
          <rPr>
            <b/>
            <sz val="9"/>
            <color indexed="81"/>
            <rFont val="Tahoma"/>
            <family val="2"/>
          </rPr>
          <t>Ingrid Malmgren:</t>
        </r>
        <r>
          <rPr>
            <sz val="9"/>
            <color indexed="81"/>
            <rFont val="Tahoma"/>
            <family val="2"/>
          </rPr>
          <t xml:space="preserve">
prescriptive rebate program</t>
        </r>
      </text>
    </comment>
    <comment ref="WS2" authorId="0">
      <text>
        <r>
          <rPr>
            <b/>
            <sz val="9"/>
            <color indexed="81"/>
            <rFont val="Tahoma"/>
            <family val="2"/>
          </rPr>
          <t>Ingrid Malmgren:</t>
        </r>
        <r>
          <rPr>
            <sz val="9"/>
            <color indexed="81"/>
            <rFont val="Tahoma"/>
            <family val="2"/>
          </rPr>
          <t xml:space="preserve">
prescriptive rebate program</t>
        </r>
      </text>
    </comment>
    <comment ref="WT2" authorId="0">
      <text>
        <r>
          <rPr>
            <b/>
            <sz val="9"/>
            <color indexed="81"/>
            <rFont val="Tahoma"/>
            <family val="2"/>
          </rPr>
          <t>Ingrid Malmgren:</t>
        </r>
        <r>
          <rPr>
            <sz val="9"/>
            <color indexed="81"/>
            <rFont val="Tahoma"/>
            <family val="2"/>
          </rPr>
          <t xml:space="preserve">
prescriptive rebate program</t>
        </r>
      </text>
    </comment>
    <comment ref="WU2" authorId="0">
      <text>
        <r>
          <rPr>
            <b/>
            <sz val="9"/>
            <color indexed="81"/>
            <rFont val="Tahoma"/>
            <family val="2"/>
          </rPr>
          <t>Ingrid Malmgren:</t>
        </r>
        <r>
          <rPr>
            <sz val="9"/>
            <color indexed="81"/>
            <rFont val="Tahoma"/>
            <family val="2"/>
          </rPr>
          <t xml:space="preserve">
prescriptive rebate program</t>
        </r>
      </text>
    </comment>
    <comment ref="WV2" authorId="0">
      <text>
        <r>
          <rPr>
            <b/>
            <sz val="9"/>
            <color indexed="81"/>
            <rFont val="Tahoma"/>
            <family val="2"/>
          </rPr>
          <t>Ingrid Malmgren:</t>
        </r>
        <r>
          <rPr>
            <sz val="9"/>
            <color indexed="81"/>
            <rFont val="Tahoma"/>
            <family val="2"/>
          </rPr>
          <t xml:space="preserve">
prescriptive rebate program</t>
        </r>
      </text>
    </comment>
    <comment ref="WW2" authorId="0">
      <text>
        <r>
          <rPr>
            <b/>
            <sz val="9"/>
            <color indexed="81"/>
            <rFont val="Tahoma"/>
            <family val="2"/>
          </rPr>
          <t>Ingrid Malmgren:</t>
        </r>
        <r>
          <rPr>
            <sz val="9"/>
            <color indexed="81"/>
            <rFont val="Tahoma"/>
            <family val="2"/>
          </rPr>
          <t xml:space="preserve">
prescriptive rebate program</t>
        </r>
      </text>
    </comment>
    <comment ref="WX2" authorId="0">
      <text>
        <r>
          <rPr>
            <b/>
            <sz val="9"/>
            <color indexed="81"/>
            <rFont val="Tahoma"/>
            <family val="2"/>
          </rPr>
          <t>Ingrid Malmgren:</t>
        </r>
        <r>
          <rPr>
            <sz val="9"/>
            <color indexed="81"/>
            <rFont val="Tahoma"/>
            <family val="2"/>
          </rPr>
          <t xml:space="preserve">
prescriptive rebate program</t>
        </r>
      </text>
    </comment>
    <comment ref="WY2" authorId="0">
      <text>
        <r>
          <rPr>
            <b/>
            <sz val="9"/>
            <color indexed="81"/>
            <rFont val="Tahoma"/>
            <family val="2"/>
          </rPr>
          <t>Ingrid Malmgren:</t>
        </r>
        <r>
          <rPr>
            <sz val="9"/>
            <color indexed="81"/>
            <rFont val="Tahoma"/>
            <family val="2"/>
          </rPr>
          <t xml:space="preserve">
prescriptive rebate program</t>
        </r>
      </text>
    </comment>
    <comment ref="WZ2" authorId="0">
      <text>
        <r>
          <rPr>
            <b/>
            <sz val="9"/>
            <color indexed="81"/>
            <rFont val="Tahoma"/>
            <family val="2"/>
          </rPr>
          <t>Ingrid Malmgren:</t>
        </r>
        <r>
          <rPr>
            <sz val="9"/>
            <color indexed="81"/>
            <rFont val="Tahoma"/>
            <family val="2"/>
          </rPr>
          <t xml:space="preserve">
prescriptive rebate program</t>
        </r>
      </text>
    </comment>
    <comment ref="XA2" authorId="0">
      <text>
        <r>
          <rPr>
            <b/>
            <sz val="9"/>
            <color indexed="81"/>
            <rFont val="Tahoma"/>
            <family val="2"/>
          </rPr>
          <t>Ingrid Malmgren:</t>
        </r>
        <r>
          <rPr>
            <sz val="9"/>
            <color indexed="81"/>
            <rFont val="Tahoma"/>
            <family val="2"/>
          </rPr>
          <t xml:space="preserve">
prescriptive rebate program</t>
        </r>
      </text>
    </comment>
    <comment ref="XB2" authorId="0">
      <text>
        <r>
          <rPr>
            <b/>
            <sz val="9"/>
            <color indexed="81"/>
            <rFont val="Tahoma"/>
            <family val="2"/>
          </rPr>
          <t>Ingrid Malmgren:</t>
        </r>
        <r>
          <rPr>
            <sz val="9"/>
            <color indexed="81"/>
            <rFont val="Tahoma"/>
            <family val="2"/>
          </rPr>
          <t xml:space="preserve">
prescriptive rebate program</t>
        </r>
      </text>
    </comment>
    <comment ref="XC2" authorId="0">
      <text>
        <r>
          <rPr>
            <b/>
            <sz val="9"/>
            <color indexed="81"/>
            <rFont val="Tahoma"/>
            <family val="2"/>
          </rPr>
          <t>Ingrid Malmgren:</t>
        </r>
        <r>
          <rPr>
            <sz val="9"/>
            <color indexed="81"/>
            <rFont val="Tahoma"/>
            <family val="2"/>
          </rPr>
          <t xml:space="preserve">
prescriptive rebate program</t>
        </r>
      </text>
    </comment>
    <comment ref="XD2" authorId="0">
      <text>
        <r>
          <rPr>
            <b/>
            <sz val="9"/>
            <color indexed="81"/>
            <rFont val="Tahoma"/>
            <family val="2"/>
          </rPr>
          <t>Ingrid Malmgren:</t>
        </r>
        <r>
          <rPr>
            <sz val="9"/>
            <color indexed="81"/>
            <rFont val="Tahoma"/>
            <family val="2"/>
          </rPr>
          <t xml:space="preserve">
prescriptive rebate program</t>
        </r>
      </text>
    </comment>
    <comment ref="XE2" authorId="0">
      <text>
        <r>
          <rPr>
            <b/>
            <sz val="9"/>
            <color indexed="81"/>
            <rFont val="Tahoma"/>
            <family val="2"/>
          </rPr>
          <t>Ingrid Malmgren:</t>
        </r>
        <r>
          <rPr>
            <sz val="9"/>
            <color indexed="81"/>
            <rFont val="Tahoma"/>
            <family val="2"/>
          </rPr>
          <t xml:space="preserve">
prescriptive rebate program</t>
        </r>
      </text>
    </comment>
    <comment ref="XF2" authorId="0">
      <text>
        <r>
          <rPr>
            <b/>
            <sz val="9"/>
            <color indexed="81"/>
            <rFont val="Tahoma"/>
            <family val="2"/>
          </rPr>
          <t>Ingrid Malmgren:</t>
        </r>
        <r>
          <rPr>
            <sz val="9"/>
            <color indexed="81"/>
            <rFont val="Tahoma"/>
            <family val="2"/>
          </rPr>
          <t xml:space="preserve">
prescriptive rebate program</t>
        </r>
      </text>
    </comment>
    <comment ref="XG2" authorId="0">
      <text>
        <r>
          <rPr>
            <b/>
            <sz val="9"/>
            <color indexed="81"/>
            <rFont val="Tahoma"/>
            <family val="2"/>
          </rPr>
          <t>Ingrid Malmgren:</t>
        </r>
        <r>
          <rPr>
            <sz val="9"/>
            <color indexed="81"/>
            <rFont val="Tahoma"/>
            <family val="2"/>
          </rPr>
          <t xml:space="preserve">
prescriptive rebate program</t>
        </r>
      </text>
    </comment>
    <comment ref="XH2" authorId="0">
      <text>
        <r>
          <rPr>
            <b/>
            <sz val="9"/>
            <color indexed="81"/>
            <rFont val="Tahoma"/>
            <family val="2"/>
          </rPr>
          <t>Ingrid Malmgren:</t>
        </r>
        <r>
          <rPr>
            <sz val="9"/>
            <color indexed="81"/>
            <rFont val="Tahoma"/>
            <family val="2"/>
          </rPr>
          <t xml:space="preserve">
prescriptive rebate program</t>
        </r>
      </text>
    </comment>
    <comment ref="XI2" authorId="0">
      <text>
        <r>
          <rPr>
            <b/>
            <sz val="9"/>
            <color indexed="81"/>
            <rFont val="Tahoma"/>
            <family val="2"/>
          </rPr>
          <t>Ingrid Malmgren:</t>
        </r>
        <r>
          <rPr>
            <sz val="9"/>
            <color indexed="81"/>
            <rFont val="Tahoma"/>
            <family val="2"/>
          </rPr>
          <t xml:space="preserve">
prescriptive rebate program</t>
        </r>
      </text>
    </comment>
    <comment ref="XJ2" authorId="0">
      <text>
        <r>
          <rPr>
            <b/>
            <sz val="9"/>
            <color indexed="81"/>
            <rFont val="Tahoma"/>
            <family val="2"/>
          </rPr>
          <t>Ingrid Malmgren:</t>
        </r>
        <r>
          <rPr>
            <sz val="9"/>
            <color indexed="81"/>
            <rFont val="Tahoma"/>
            <family val="2"/>
          </rPr>
          <t xml:space="preserve">
prescriptive rebate program</t>
        </r>
      </text>
    </comment>
    <comment ref="XK2" authorId="0">
      <text>
        <r>
          <rPr>
            <b/>
            <sz val="9"/>
            <color indexed="81"/>
            <rFont val="Tahoma"/>
            <family val="2"/>
          </rPr>
          <t>Ingrid Malmgren:</t>
        </r>
        <r>
          <rPr>
            <sz val="9"/>
            <color indexed="81"/>
            <rFont val="Tahoma"/>
            <family val="2"/>
          </rPr>
          <t xml:space="preserve">
prescriptive rebate program</t>
        </r>
      </text>
    </comment>
    <comment ref="XL2" authorId="0">
      <text>
        <r>
          <rPr>
            <b/>
            <sz val="9"/>
            <color indexed="81"/>
            <rFont val="Tahoma"/>
            <family val="2"/>
          </rPr>
          <t>Ingrid Malmgren:</t>
        </r>
        <r>
          <rPr>
            <sz val="9"/>
            <color indexed="81"/>
            <rFont val="Tahoma"/>
            <family val="2"/>
          </rPr>
          <t xml:space="preserve">
prescriptive rebate program</t>
        </r>
      </text>
    </comment>
    <comment ref="XM2" authorId="0">
      <text>
        <r>
          <rPr>
            <b/>
            <sz val="9"/>
            <color indexed="81"/>
            <rFont val="Tahoma"/>
            <family val="2"/>
          </rPr>
          <t>Ingrid Malmgren:</t>
        </r>
        <r>
          <rPr>
            <sz val="9"/>
            <color indexed="81"/>
            <rFont val="Tahoma"/>
            <family val="2"/>
          </rPr>
          <t xml:space="preserve">
prescriptive rebate program</t>
        </r>
      </text>
    </comment>
    <comment ref="XN2" authorId="0">
      <text>
        <r>
          <rPr>
            <b/>
            <sz val="9"/>
            <color indexed="81"/>
            <rFont val="Tahoma"/>
            <family val="2"/>
          </rPr>
          <t>Ingrid Malmgren:</t>
        </r>
        <r>
          <rPr>
            <sz val="9"/>
            <color indexed="81"/>
            <rFont val="Tahoma"/>
            <family val="2"/>
          </rPr>
          <t xml:space="preserve">
prescriptive rebate program</t>
        </r>
      </text>
    </comment>
    <comment ref="XO2" authorId="0">
      <text>
        <r>
          <rPr>
            <b/>
            <sz val="9"/>
            <color indexed="81"/>
            <rFont val="Tahoma"/>
            <family val="2"/>
          </rPr>
          <t>Ingrid Malmgren:</t>
        </r>
        <r>
          <rPr>
            <sz val="9"/>
            <color indexed="81"/>
            <rFont val="Tahoma"/>
            <family val="2"/>
          </rPr>
          <t xml:space="preserve">
prescriptive rebate program</t>
        </r>
      </text>
    </comment>
    <comment ref="XP2" authorId="0">
      <text>
        <r>
          <rPr>
            <b/>
            <sz val="9"/>
            <color indexed="81"/>
            <rFont val="Tahoma"/>
            <family val="2"/>
          </rPr>
          <t>Ingrid Malmgren:</t>
        </r>
        <r>
          <rPr>
            <sz val="9"/>
            <color indexed="81"/>
            <rFont val="Tahoma"/>
            <family val="2"/>
          </rPr>
          <t xml:space="preserve">
prescriptive rebate program</t>
        </r>
      </text>
    </comment>
    <comment ref="XQ2" authorId="0">
      <text>
        <r>
          <rPr>
            <b/>
            <sz val="9"/>
            <color indexed="81"/>
            <rFont val="Tahoma"/>
            <family val="2"/>
          </rPr>
          <t>Ingrid Malmgren:</t>
        </r>
        <r>
          <rPr>
            <sz val="9"/>
            <color indexed="81"/>
            <rFont val="Tahoma"/>
            <family val="2"/>
          </rPr>
          <t xml:space="preserve">
prescriptive rebate program</t>
        </r>
      </text>
    </comment>
    <comment ref="XR2" authorId="0">
      <text>
        <r>
          <rPr>
            <b/>
            <sz val="9"/>
            <color indexed="81"/>
            <rFont val="Tahoma"/>
            <family val="2"/>
          </rPr>
          <t>Ingrid Malmgren:</t>
        </r>
        <r>
          <rPr>
            <sz val="9"/>
            <color indexed="81"/>
            <rFont val="Tahoma"/>
            <family val="2"/>
          </rPr>
          <t xml:space="preserve">
prescriptive rebate program</t>
        </r>
      </text>
    </comment>
    <comment ref="XS2" authorId="0">
      <text>
        <r>
          <rPr>
            <b/>
            <sz val="9"/>
            <color indexed="81"/>
            <rFont val="Tahoma"/>
            <family val="2"/>
          </rPr>
          <t>Ingrid Malmgren:</t>
        </r>
        <r>
          <rPr>
            <sz val="9"/>
            <color indexed="81"/>
            <rFont val="Tahoma"/>
            <family val="2"/>
          </rPr>
          <t xml:space="preserve">
prescriptive rebate program</t>
        </r>
      </text>
    </comment>
    <comment ref="XT2" authorId="0">
      <text>
        <r>
          <rPr>
            <b/>
            <sz val="9"/>
            <color indexed="81"/>
            <rFont val="Tahoma"/>
            <family val="2"/>
          </rPr>
          <t>Ingrid Malmgren:</t>
        </r>
        <r>
          <rPr>
            <sz val="9"/>
            <color indexed="81"/>
            <rFont val="Tahoma"/>
            <family val="2"/>
          </rPr>
          <t xml:space="preserve">
prescriptive rebate program</t>
        </r>
      </text>
    </comment>
    <comment ref="XU2" authorId="0">
      <text>
        <r>
          <rPr>
            <b/>
            <sz val="9"/>
            <color indexed="81"/>
            <rFont val="Tahoma"/>
            <family val="2"/>
          </rPr>
          <t>Ingrid Malmgren:</t>
        </r>
        <r>
          <rPr>
            <sz val="9"/>
            <color indexed="81"/>
            <rFont val="Tahoma"/>
            <family val="2"/>
          </rPr>
          <t xml:space="preserve">
prescriptive rebate program</t>
        </r>
      </text>
    </comment>
    <comment ref="XV2" authorId="0">
      <text>
        <r>
          <rPr>
            <b/>
            <sz val="9"/>
            <color indexed="81"/>
            <rFont val="Tahoma"/>
            <family val="2"/>
          </rPr>
          <t>Ingrid Malmgren:</t>
        </r>
        <r>
          <rPr>
            <sz val="9"/>
            <color indexed="81"/>
            <rFont val="Tahoma"/>
            <family val="2"/>
          </rPr>
          <t xml:space="preserve">
prescriptive rebate program</t>
        </r>
      </text>
    </comment>
    <comment ref="XW2" authorId="0">
      <text>
        <r>
          <rPr>
            <b/>
            <sz val="9"/>
            <color indexed="81"/>
            <rFont val="Tahoma"/>
            <family val="2"/>
          </rPr>
          <t>Ingrid Malmgren:</t>
        </r>
        <r>
          <rPr>
            <sz val="9"/>
            <color indexed="81"/>
            <rFont val="Tahoma"/>
            <family val="2"/>
          </rPr>
          <t xml:space="preserve">
prescriptive rebate program</t>
        </r>
      </text>
    </comment>
    <comment ref="XX2" authorId="0">
      <text>
        <r>
          <rPr>
            <b/>
            <sz val="9"/>
            <color indexed="81"/>
            <rFont val="Tahoma"/>
            <family val="2"/>
          </rPr>
          <t>Ingrid Malmgren:</t>
        </r>
        <r>
          <rPr>
            <sz val="9"/>
            <color indexed="81"/>
            <rFont val="Tahoma"/>
            <family val="2"/>
          </rPr>
          <t xml:space="preserve">
prescriptive rebate program</t>
        </r>
      </text>
    </comment>
    <comment ref="XY2" authorId="0">
      <text>
        <r>
          <rPr>
            <b/>
            <sz val="9"/>
            <color indexed="81"/>
            <rFont val="Tahoma"/>
            <family val="2"/>
          </rPr>
          <t>Ingrid Malmgren:</t>
        </r>
        <r>
          <rPr>
            <sz val="9"/>
            <color indexed="81"/>
            <rFont val="Tahoma"/>
            <family val="2"/>
          </rPr>
          <t xml:space="preserve">
prescriptive rebate program</t>
        </r>
      </text>
    </comment>
    <comment ref="XZ2" authorId="0">
      <text>
        <r>
          <rPr>
            <b/>
            <sz val="9"/>
            <color indexed="81"/>
            <rFont val="Tahoma"/>
            <family val="2"/>
          </rPr>
          <t>Ingrid Malmgren:</t>
        </r>
        <r>
          <rPr>
            <sz val="9"/>
            <color indexed="81"/>
            <rFont val="Tahoma"/>
            <family val="2"/>
          </rPr>
          <t xml:space="preserve">
prescriptive rebate program</t>
        </r>
      </text>
    </comment>
    <comment ref="YA2" authorId="0">
      <text>
        <r>
          <rPr>
            <b/>
            <sz val="9"/>
            <color indexed="81"/>
            <rFont val="Tahoma"/>
            <family val="2"/>
          </rPr>
          <t>Ingrid Malmgren:</t>
        </r>
        <r>
          <rPr>
            <sz val="9"/>
            <color indexed="81"/>
            <rFont val="Tahoma"/>
            <family val="2"/>
          </rPr>
          <t xml:space="preserve">
prescriptive rebate program</t>
        </r>
      </text>
    </comment>
    <comment ref="YB2" authorId="0">
      <text>
        <r>
          <rPr>
            <b/>
            <sz val="9"/>
            <color indexed="81"/>
            <rFont val="Tahoma"/>
            <family val="2"/>
          </rPr>
          <t>Ingrid Malmgren:</t>
        </r>
        <r>
          <rPr>
            <sz val="9"/>
            <color indexed="81"/>
            <rFont val="Tahoma"/>
            <family val="2"/>
          </rPr>
          <t xml:space="preserve">
prescriptive rebate program</t>
        </r>
      </text>
    </comment>
    <comment ref="YC2" authorId="0">
      <text>
        <r>
          <rPr>
            <b/>
            <sz val="9"/>
            <color indexed="81"/>
            <rFont val="Tahoma"/>
            <family val="2"/>
          </rPr>
          <t>Ingrid Malmgren:</t>
        </r>
        <r>
          <rPr>
            <sz val="9"/>
            <color indexed="81"/>
            <rFont val="Tahoma"/>
            <family val="2"/>
          </rPr>
          <t xml:space="preserve">
prescriptive rebate program</t>
        </r>
      </text>
    </comment>
    <comment ref="YD2" authorId="0">
      <text>
        <r>
          <rPr>
            <b/>
            <sz val="9"/>
            <color indexed="81"/>
            <rFont val="Tahoma"/>
            <family val="2"/>
          </rPr>
          <t>Ingrid Malmgren:</t>
        </r>
        <r>
          <rPr>
            <sz val="9"/>
            <color indexed="81"/>
            <rFont val="Tahoma"/>
            <family val="2"/>
          </rPr>
          <t xml:space="preserve">
prescriptive rebate program</t>
        </r>
      </text>
    </comment>
    <comment ref="YE2" authorId="0">
      <text>
        <r>
          <rPr>
            <b/>
            <sz val="9"/>
            <color indexed="81"/>
            <rFont val="Tahoma"/>
            <family val="2"/>
          </rPr>
          <t>Ingrid Malmgren:</t>
        </r>
        <r>
          <rPr>
            <sz val="9"/>
            <color indexed="81"/>
            <rFont val="Tahoma"/>
            <family val="2"/>
          </rPr>
          <t xml:space="preserve">
prescriptive rebate program</t>
        </r>
      </text>
    </comment>
    <comment ref="YF2" authorId="0">
      <text>
        <r>
          <rPr>
            <b/>
            <sz val="9"/>
            <color indexed="81"/>
            <rFont val="Tahoma"/>
            <family val="2"/>
          </rPr>
          <t>Ingrid Malmgren:</t>
        </r>
        <r>
          <rPr>
            <sz val="9"/>
            <color indexed="81"/>
            <rFont val="Tahoma"/>
            <family val="2"/>
          </rPr>
          <t xml:space="preserve">
prescriptive rebate program</t>
        </r>
      </text>
    </comment>
    <comment ref="YG2" authorId="0">
      <text>
        <r>
          <rPr>
            <b/>
            <sz val="9"/>
            <color indexed="81"/>
            <rFont val="Tahoma"/>
            <family val="2"/>
          </rPr>
          <t>Ingrid Malmgren:</t>
        </r>
        <r>
          <rPr>
            <sz val="9"/>
            <color indexed="81"/>
            <rFont val="Tahoma"/>
            <family val="2"/>
          </rPr>
          <t xml:space="preserve">
prescriptive rebate program</t>
        </r>
      </text>
    </comment>
    <comment ref="YH2" authorId="0">
      <text>
        <r>
          <rPr>
            <b/>
            <sz val="9"/>
            <color indexed="81"/>
            <rFont val="Tahoma"/>
            <family val="2"/>
          </rPr>
          <t>Ingrid Malmgren:</t>
        </r>
        <r>
          <rPr>
            <sz val="9"/>
            <color indexed="81"/>
            <rFont val="Tahoma"/>
            <family val="2"/>
          </rPr>
          <t xml:space="preserve">
prescriptive rebate program</t>
        </r>
      </text>
    </comment>
    <comment ref="YI2" authorId="0">
      <text>
        <r>
          <rPr>
            <b/>
            <sz val="9"/>
            <color indexed="81"/>
            <rFont val="Tahoma"/>
            <family val="2"/>
          </rPr>
          <t>Ingrid Malmgren:</t>
        </r>
        <r>
          <rPr>
            <sz val="9"/>
            <color indexed="81"/>
            <rFont val="Tahoma"/>
            <family val="2"/>
          </rPr>
          <t xml:space="preserve">
prescriptive rebate program</t>
        </r>
      </text>
    </comment>
    <comment ref="YJ2" authorId="0">
      <text>
        <r>
          <rPr>
            <b/>
            <sz val="9"/>
            <color indexed="81"/>
            <rFont val="Tahoma"/>
            <family val="2"/>
          </rPr>
          <t>Ingrid Malmgren:</t>
        </r>
        <r>
          <rPr>
            <sz val="9"/>
            <color indexed="81"/>
            <rFont val="Tahoma"/>
            <family val="2"/>
          </rPr>
          <t xml:space="preserve">
prescriptive rebate program</t>
        </r>
      </text>
    </comment>
    <comment ref="YK2" authorId="0">
      <text>
        <r>
          <rPr>
            <b/>
            <sz val="9"/>
            <color indexed="81"/>
            <rFont val="Tahoma"/>
            <family val="2"/>
          </rPr>
          <t>Ingrid Malmgren:</t>
        </r>
        <r>
          <rPr>
            <sz val="9"/>
            <color indexed="81"/>
            <rFont val="Tahoma"/>
            <family val="2"/>
          </rPr>
          <t xml:space="preserve">
prescriptive rebate program</t>
        </r>
      </text>
    </comment>
    <comment ref="YL2" authorId="0">
      <text>
        <r>
          <rPr>
            <b/>
            <sz val="9"/>
            <color indexed="81"/>
            <rFont val="Tahoma"/>
            <family val="2"/>
          </rPr>
          <t>Ingrid Malmgren:</t>
        </r>
        <r>
          <rPr>
            <sz val="9"/>
            <color indexed="81"/>
            <rFont val="Tahoma"/>
            <family val="2"/>
          </rPr>
          <t xml:space="preserve">
prescriptive rebate program</t>
        </r>
      </text>
    </comment>
    <comment ref="YM2" authorId="0">
      <text>
        <r>
          <rPr>
            <b/>
            <sz val="9"/>
            <color indexed="81"/>
            <rFont val="Tahoma"/>
            <family val="2"/>
          </rPr>
          <t>Ingrid Malmgren:</t>
        </r>
        <r>
          <rPr>
            <sz val="9"/>
            <color indexed="81"/>
            <rFont val="Tahoma"/>
            <family val="2"/>
          </rPr>
          <t xml:space="preserve">
prescriptive rebate program</t>
        </r>
      </text>
    </comment>
    <comment ref="YN2" authorId="0">
      <text>
        <r>
          <rPr>
            <b/>
            <sz val="9"/>
            <color indexed="81"/>
            <rFont val="Tahoma"/>
            <family val="2"/>
          </rPr>
          <t>Ingrid Malmgren:</t>
        </r>
        <r>
          <rPr>
            <sz val="9"/>
            <color indexed="81"/>
            <rFont val="Tahoma"/>
            <family val="2"/>
          </rPr>
          <t xml:space="preserve">
prescriptive rebate program</t>
        </r>
      </text>
    </comment>
    <comment ref="YO2" authorId="0">
      <text>
        <r>
          <rPr>
            <b/>
            <sz val="9"/>
            <color indexed="81"/>
            <rFont val="Tahoma"/>
            <family val="2"/>
          </rPr>
          <t>Ingrid Malmgren:</t>
        </r>
        <r>
          <rPr>
            <sz val="9"/>
            <color indexed="81"/>
            <rFont val="Tahoma"/>
            <family val="2"/>
          </rPr>
          <t xml:space="preserve">
prescriptive rebate program</t>
        </r>
      </text>
    </comment>
    <comment ref="YP2" authorId="0">
      <text>
        <r>
          <rPr>
            <b/>
            <sz val="9"/>
            <color indexed="81"/>
            <rFont val="Tahoma"/>
            <family val="2"/>
          </rPr>
          <t>Ingrid Malmgren:</t>
        </r>
        <r>
          <rPr>
            <sz val="9"/>
            <color indexed="81"/>
            <rFont val="Tahoma"/>
            <family val="2"/>
          </rPr>
          <t xml:space="preserve">
prescriptive rebate program</t>
        </r>
      </text>
    </comment>
    <comment ref="YQ2" authorId="0">
      <text>
        <r>
          <rPr>
            <b/>
            <sz val="9"/>
            <color indexed="81"/>
            <rFont val="Tahoma"/>
            <family val="2"/>
          </rPr>
          <t>Ingrid Malmgren:</t>
        </r>
        <r>
          <rPr>
            <sz val="9"/>
            <color indexed="81"/>
            <rFont val="Tahoma"/>
            <family val="2"/>
          </rPr>
          <t xml:space="preserve">
prescriptive rebate program</t>
        </r>
      </text>
    </comment>
    <comment ref="YR2" authorId="0">
      <text>
        <r>
          <rPr>
            <b/>
            <sz val="9"/>
            <color indexed="81"/>
            <rFont val="Tahoma"/>
            <family val="2"/>
          </rPr>
          <t>Ingrid Malmgren:</t>
        </r>
        <r>
          <rPr>
            <sz val="9"/>
            <color indexed="81"/>
            <rFont val="Tahoma"/>
            <family val="2"/>
          </rPr>
          <t xml:space="preserve">
prescriptive rebate program</t>
        </r>
      </text>
    </comment>
    <comment ref="YS2" authorId="0">
      <text>
        <r>
          <rPr>
            <b/>
            <sz val="9"/>
            <color indexed="81"/>
            <rFont val="Tahoma"/>
            <family val="2"/>
          </rPr>
          <t>Ingrid Malmgren:</t>
        </r>
        <r>
          <rPr>
            <sz val="9"/>
            <color indexed="81"/>
            <rFont val="Tahoma"/>
            <family val="2"/>
          </rPr>
          <t xml:space="preserve">
prescriptive rebate program</t>
        </r>
      </text>
    </comment>
    <comment ref="YT2" authorId="0">
      <text>
        <r>
          <rPr>
            <b/>
            <sz val="9"/>
            <color indexed="81"/>
            <rFont val="Tahoma"/>
            <family val="2"/>
          </rPr>
          <t>Ingrid Malmgren:</t>
        </r>
        <r>
          <rPr>
            <sz val="9"/>
            <color indexed="81"/>
            <rFont val="Tahoma"/>
            <family val="2"/>
          </rPr>
          <t xml:space="preserve">
prescriptive rebate program</t>
        </r>
      </text>
    </comment>
    <comment ref="YU2" authorId="0">
      <text>
        <r>
          <rPr>
            <b/>
            <sz val="9"/>
            <color indexed="81"/>
            <rFont val="Tahoma"/>
            <family val="2"/>
          </rPr>
          <t>Ingrid Malmgren:</t>
        </r>
        <r>
          <rPr>
            <sz val="9"/>
            <color indexed="81"/>
            <rFont val="Tahoma"/>
            <family val="2"/>
          </rPr>
          <t xml:space="preserve">
prescriptive rebate program</t>
        </r>
      </text>
    </comment>
    <comment ref="YV2" authorId="0">
      <text>
        <r>
          <rPr>
            <b/>
            <sz val="9"/>
            <color indexed="81"/>
            <rFont val="Tahoma"/>
            <family val="2"/>
          </rPr>
          <t>Ingrid Malmgren:</t>
        </r>
        <r>
          <rPr>
            <sz val="9"/>
            <color indexed="81"/>
            <rFont val="Tahoma"/>
            <family val="2"/>
          </rPr>
          <t xml:space="preserve">
prescriptive rebate program</t>
        </r>
      </text>
    </comment>
    <comment ref="YW2" authorId="0">
      <text>
        <r>
          <rPr>
            <b/>
            <sz val="9"/>
            <color indexed="81"/>
            <rFont val="Tahoma"/>
            <family val="2"/>
          </rPr>
          <t>Ingrid Malmgren:</t>
        </r>
        <r>
          <rPr>
            <sz val="9"/>
            <color indexed="81"/>
            <rFont val="Tahoma"/>
            <family val="2"/>
          </rPr>
          <t xml:space="preserve">
prescriptive rebate program</t>
        </r>
      </text>
    </comment>
    <comment ref="YX2" authorId="0">
      <text>
        <r>
          <rPr>
            <b/>
            <sz val="9"/>
            <color indexed="81"/>
            <rFont val="Tahoma"/>
            <family val="2"/>
          </rPr>
          <t>Ingrid Malmgren:</t>
        </r>
        <r>
          <rPr>
            <sz val="9"/>
            <color indexed="81"/>
            <rFont val="Tahoma"/>
            <family val="2"/>
          </rPr>
          <t xml:space="preserve">
prescriptive rebate program</t>
        </r>
      </text>
    </comment>
    <comment ref="YY2" authorId="0">
      <text>
        <r>
          <rPr>
            <b/>
            <sz val="9"/>
            <color indexed="81"/>
            <rFont val="Tahoma"/>
            <family val="2"/>
          </rPr>
          <t>Ingrid Malmgren:</t>
        </r>
        <r>
          <rPr>
            <sz val="9"/>
            <color indexed="81"/>
            <rFont val="Tahoma"/>
            <family val="2"/>
          </rPr>
          <t xml:space="preserve">
prescriptive rebate program</t>
        </r>
      </text>
    </comment>
    <comment ref="YZ2" authorId="0">
      <text>
        <r>
          <rPr>
            <b/>
            <sz val="9"/>
            <color indexed="81"/>
            <rFont val="Tahoma"/>
            <family val="2"/>
          </rPr>
          <t>Ingrid Malmgren:</t>
        </r>
        <r>
          <rPr>
            <sz val="9"/>
            <color indexed="81"/>
            <rFont val="Tahoma"/>
            <family val="2"/>
          </rPr>
          <t xml:space="preserve">
prescriptive rebate program</t>
        </r>
      </text>
    </comment>
    <comment ref="ZA2" authorId="0">
      <text>
        <r>
          <rPr>
            <b/>
            <sz val="9"/>
            <color indexed="81"/>
            <rFont val="Tahoma"/>
            <family val="2"/>
          </rPr>
          <t>Ingrid Malmgren:</t>
        </r>
        <r>
          <rPr>
            <sz val="9"/>
            <color indexed="81"/>
            <rFont val="Tahoma"/>
            <family val="2"/>
          </rPr>
          <t xml:space="preserve">
prescriptive rebate program</t>
        </r>
      </text>
    </comment>
    <comment ref="ZB2" authorId="0">
      <text>
        <r>
          <rPr>
            <b/>
            <sz val="9"/>
            <color indexed="81"/>
            <rFont val="Tahoma"/>
            <family val="2"/>
          </rPr>
          <t>Ingrid Malmgren:</t>
        </r>
        <r>
          <rPr>
            <sz val="9"/>
            <color indexed="81"/>
            <rFont val="Tahoma"/>
            <family val="2"/>
          </rPr>
          <t xml:space="preserve">
prescriptive rebate program</t>
        </r>
      </text>
    </comment>
    <comment ref="ZC2" authorId="0">
      <text>
        <r>
          <rPr>
            <b/>
            <sz val="9"/>
            <color indexed="81"/>
            <rFont val="Tahoma"/>
            <family val="2"/>
          </rPr>
          <t>Ingrid Malmgren:</t>
        </r>
        <r>
          <rPr>
            <sz val="9"/>
            <color indexed="81"/>
            <rFont val="Tahoma"/>
            <family val="2"/>
          </rPr>
          <t xml:space="preserve">
prescriptive rebate program</t>
        </r>
      </text>
    </comment>
    <comment ref="ZD2" authorId="0">
      <text>
        <r>
          <rPr>
            <b/>
            <sz val="9"/>
            <color indexed="81"/>
            <rFont val="Tahoma"/>
            <family val="2"/>
          </rPr>
          <t>Ingrid Malmgren:</t>
        </r>
        <r>
          <rPr>
            <sz val="9"/>
            <color indexed="81"/>
            <rFont val="Tahoma"/>
            <family val="2"/>
          </rPr>
          <t xml:space="preserve">
prescriptive rebate program</t>
        </r>
      </text>
    </comment>
    <comment ref="ZE2" authorId="0">
      <text>
        <r>
          <rPr>
            <b/>
            <sz val="9"/>
            <color indexed="81"/>
            <rFont val="Tahoma"/>
            <family val="2"/>
          </rPr>
          <t>Ingrid Malmgren:</t>
        </r>
        <r>
          <rPr>
            <sz val="9"/>
            <color indexed="81"/>
            <rFont val="Tahoma"/>
            <family val="2"/>
          </rPr>
          <t xml:space="preserve">
prescriptive rebate program</t>
        </r>
      </text>
    </comment>
    <comment ref="ZF2" authorId="0">
      <text>
        <r>
          <rPr>
            <b/>
            <sz val="9"/>
            <color indexed="81"/>
            <rFont val="Tahoma"/>
            <family val="2"/>
          </rPr>
          <t>Ingrid Malmgren:</t>
        </r>
        <r>
          <rPr>
            <sz val="9"/>
            <color indexed="81"/>
            <rFont val="Tahoma"/>
            <family val="2"/>
          </rPr>
          <t xml:space="preserve">
prescriptive rebate program</t>
        </r>
      </text>
    </comment>
    <comment ref="ZG2" authorId="0">
      <text>
        <r>
          <rPr>
            <b/>
            <sz val="9"/>
            <color indexed="81"/>
            <rFont val="Tahoma"/>
            <family val="2"/>
          </rPr>
          <t>Ingrid Malmgren:</t>
        </r>
        <r>
          <rPr>
            <sz val="9"/>
            <color indexed="81"/>
            <rFont val="Tahoma"/>
            <family val="2"/>
          </rPr>
          <t xml:space="preserve">
prescriptive rebate program</t>
        </r>
      </text>
    </comment>
    <comment ref="ZH2" authorId="0">
      <text>
        <r>
          <rPr>
            <b/>
            <sz val="9"/>
            <color indexed="81"/>
            <rFont val="Tahoma"/>
            <family val="2"/>
          </rPr>
          <t>Ingrid Malmgren:</t>
        </r>
        <r>
          <rPr>
            <sz val="9"/>
            <color indexed="81"/>
            <rFont val="Tahoma"/>
            <family val="2"/>
          </rPr>
          <t xml:space="preserve">
prescriptive rebate program</t>
        </r>
      </text>
    </comment>
    <comment ref="ZI2" authorId="0">
      <text>
        <r>
          <rPr>
            <b/>
            <sz val="9"/>
            <color indexed="81"/>
            <rFont val="Tahoma"/>
            <family val="2"/>
          </rPr>
          <t>Ingrid Malmgren:</t>
        </r>
        <r>
          <rPr>
            <sz val="9"/>
            <color indexed="81"/>
            <rFont val="Tahoma"/>
            <family val="2"/>
          </rPr>
          <t xml:space="preserve">
prescriptive rebate program</t>
        </r>
      </text>
    </comment>
    <comment ref="ZJ2" authorId="0">
      <text>
        <r>
          <rPr>
            <b/>
            <sz val="9"/>
            <color indexed="81"/>
            <rFont val="Tahoma"/>
            <family val="2"/>
          </rPr>
          <t>Ingrid Malmgren:</t>
        </r>
        <r>
          <rPr>
            <sz val="9"/>
            <color indexed="81"/>
            <rFont val="Tahoma"/>
            <family val="2"/>
          </rPr>
          <t xml:space="preserve">
prescriptive rebate program</t>
        </r>
      </text>
    </comment>
    <comment ref="ZK2" authorId="0">
      <text>
        <r>
          <rPr>
            <b/>
            <sz val="9"/>
            <color indexed="81"/>
            <rFont val="Tahoma"/>
            <family val="2"/>
          </rPr>
          <t>Ingrid Malmgren:</t>
        </r>
        <r>
          <rPr>
            <sz val="9"/>
            <color indexed="81"/>
            <rFont val="Tahoma"/>
            <family val="2"/>
          </rPr>
          <t xml:space="preserve">
prescriptive rebate program</t>
        </r>
      </text>
    </comment>
    <comment ref="ZL2" authorId="0">
      <text>
        <r>
          <rPr>
            <b/>
            <sz val="9"/>
            <color indexed="81"/>
            <rFont val="Tahoma"/>
            <family val="2"/>
          </rPr>
          <t>Ingrid Malmgren:</t>
        </r>
        <r>
          <rPr>
            <sz val="9"/>
            <color indexed="81"/>
            <rFont val="Tahoma"/>
            <family val="2"/>
          </rPr>
          <t xml:space="preserve">
prescriptive rebate program</t>
        </r>
      </text>
    </comment>
    <comment ref="ZM2" authorId="0">
      <text>
        <r>
          <rPr>
            <b/>
            <sz val="9"/>
            <color indexed="81"/>
            <rFont val="Tahoma"/>
            <family val="2"/>
          </rPr>
          <t>Ingrid Malmgren:</t>
        </r>
        <r>
          <rPr>
            <sz val="9"/>
            <color indexed="81"/>
            <rFont val="Tahoma"/>
            <family val="2"/>
          </rPr>
          <t xml:space="preserve">
prescriptive rebate program</t>
        </r>
      </text>
    </comment>
    <comment ref="ZN2" authorId="0">
      <text>
        <r>
          <rPr>
            <b/>
            <sz val="9"/>
            <color indexed="81"/>
            <rFont val="Tahoma"/>
            <family val="2"/>
          </rPr>
          <t>Ingrid Malmgren:</t>
        </r>
        <r>
          <rPr>
            <sz val="9"/>
            <color indexed="81"/>
            <rFont val="Tahoma"/>
            <family val="2"/>
          </rPr>
          <t xml:space="preserve">
prescriptive rebate program</t>
        </r>
      </text>
    </comment>
    <comment ref="ZO2" authorId="0">
      <text>
        <r>
          <rPr>
            <b/>
            <sz val="9"/>
            <color indexed="81"/>
            <rFont val="Tahoma"/>
            <family val="2"/>
          </rPr>
          <t>Ingrid Malmgren:</t>
        </r>
        <r>
          <rPr>
            <sz val="9"/>
            <color indexed="81"/>
            <rFont val="Tahoma"/>
            <family val="2"/>
          </rPr>
          <t xml:space="preserve">
prescriptive rebate program</t>
        </r>
      </text>
    </comment>
    <comment ref="ZP2" authorId="0">
      <text>
        <r>
          <rPr>
            <b/>
            <sz val="9"/>
            <color indexed="81"/>
            <rFont val="Tahoma"/>
            <family val="2"/>
          </rPr>
          <t>Ingrid Malmgren:</t>
        </r>
        <r>
          <rPr>
            <sz val="9"/>
            <color indexed="81"/>
            <rFont val="Tahoma"/>
            <family val="2"/>
          </rPr>
          <t xml:space="preserve">
prescriptive rebate program</t>
        </r>
      </text>
    </comment>
    <comment ref="ZQ2" authorId="0">
      <text>
        <r>
          <rPr>
            <b/>
            <sz val="9"/>
            <color indexed="81"/>
            <rFont val="Tahoma"/>
            <family val="2"/>
          </rPr>
          <t>Ingrid Malmgren:</t>
        </r>
        <r>
          <rPr>
            <sz val="9"/>
            <color indexed="81"/>
            <rFont val="Tahoma"/>
            <family val="2"/>
          </rPr>
          <t xml:space="preserve">
prescriptive rebate program</t>
        </r>
      </text>
    </comment>
    <comment ref="ZR2" authorId="0">
      <text>
        <r>
          <rPr>
            <b/>
            <sz val="9"/>
            <color indexed="81"/>
            <rFont val="Tahoma"/>
            <family val="2"/>
          </rPr>
          <t>Ingrid Malmgren:</t>
        </r>
        <r>
          <rPr>
            <sz val="9"/>
            <color indexed="81"/>
            <rFont val="Tahoma"/>
            <family val="2"/>
          </rPr>
          <t xml:space="preserve">
prescriptive rebate program</t>
        </r>
      </text>
    </comment>
    <comment ref="ZS2" authorId="0">
      <text>
        <r>
          <rPr>
            <b/>
            <sz val="9"/>
            <color indexed="81"/>
            <rFont val="Tahoma"/>
            <family val="2"/>
          </rPr>
          <t>Ingrid Malmgren:</t>
        </r>
        <r>
          <rPr>
            <sz val="9"/>
            <color indexed="81"/>
            <rFont val="Tahoma"/>
            <family val="2"/>
          </rPr>
          <t xml:space="preserve">
prescriptive rebate program</t>
        </r>
      </text>
    </comment>
    <comment ref="ZT2" authorId="0">
      <text>
        <r>
          <rPr>
            <b/>
            <sz val="9"/>
            <color indexed="81"/>
            <rFont val="Tahoma"/>
            <family val="2"/>
          </rPr>
          <t>Ingrid Malmgren:</t>
        </r>
        <r>
          <rPr>
            <sz val="9"/>
            <color indexed="81"/>
            <rFont val="Tahoma"/>
            <family val="2"/>
          </rPr>
          <t xml:space="preserve">
prescriptive rebate program</t>
        </r>
      </text>
    </comment>
    <comment ref="ZU2" authorId="0">
      <text>
        <r>
          <rPr>
            <b/>
            <sz val="9"/>
            <color indexed="81"/>
            <rFont val="Tahoma"/>
            <family val="2"/>
          </rPr>
          <t>Ingrid Malmgren:</t>
        </r>
        <r>
          <rPr>
            <sz val="9"/>
            <color indexed="81"/>
            <rFont val="Tahoma"/>
            <family val="2"/>
          </rPr>
          <t xml:space="preserve">
prescriptive rebate program</t>
        </r>
      </text>
    </comment>
    <comment ref="ZV2" authorId="0">
      <text>
        <r>
          <rPr>
            <b/>
            <sz val="9"/>
            <color indexed="81"/>
            <rFont val="Tahoma"/>
            <family val="2"/>
          </rPr>
          <t>Ingrid Malmgren:</t>
        </r>
        <r>
          <rPr>
            <sz val="9"/>
            <color indexed="81"/>
            <rFont val="Tahoma"/>
            <family val="2"/>
          </rPr>
          <t xml:space="preserve">
prescriptive rebate program</t>
        </r>
      </text>
    </comment>
    <comment ref="ZW2" authorId="0">
      <text>
        <r>
          <rPr>
            <b/>
            <sz val="9"/>
            <color indexed="81"/>
            <rFont val="Tahoma"/>
            <family val="2"/>
          </rPr>
          <t>Ingrid Malmgren:</t>
        </r>
        <r>
          <rPr>
            <sz val="9"/>
            <color indexed="81"/>
            <rFont val="Tahoma"/>
            <family val="2"/>
          </rPr>
          <t xml:space="preserve">
prescriptive rebate program</t>
        </r>
      </text>
    </comment>
    <comment ref="ZX2" authorId="0">
      <text>
        <r>
          <rPr>
            <b/>
            <sz val="9"/>
            <color indexed="81"/>
            <rFont val="Tahoma"/>
            <family val="2"/>
          </rPr>
          <t>Ingrid Malmgren:</t>
        </r>
        <r>
          <rPr>
            <sz val="9"/>
            <color indexed="81"/>
            <rFont val="Tahoma"/>
            <family val="2"/>
          </rPr>
          <t xml:space="preserve">
prescriptive rebate program</t>
        </r>
      </text>
    </comment>
    <comment ref="ZY2" authorId="0">
      <text>
        <r>
          <rPr>
            <b/>
            <sz val="9"/>
            <color indexed="81"/>
            <rFont val="Tahoma"/>
            <family val="2"/>
          </rPr>
          <t>Ingrid Malmgren:</t>
        </r>
        <r>
          <rPr>
            <sz val="9"/>
            <color indexed="81"/>
            <rFont val="Tahoma"/>
            <family val="2"/>
          </rPr>
          <t xml:space="preserve">
prescriptive rebate program</t>
        </r>
      </text>
    </comment>
    <comment ref="ZZ2" authorId="0">
      <text>
        <r>
          <rPr>
            <b/>
            <sz val="9"/>
            <color indexed="81"/>
            <rFont val="Tahoma"/>
            <family val="2"/>
          </rPr>
          <t>Ingrid Malmgren:</t>
        </r>
        <r>
          <rPr>
            <sz val="9"/>
            <color indexed="81"/>
            <rFont val="Tahoma"/>
            <family val="2"/>
          </rPr>
          <t xml:space="preserve">
prescriptive rebate program</t>
        </r>
      </text>
    </comment>
    <comment ref="AAA2" authorId="0">
      <text>
        <r>
          <rPr>
            <b/>
            <sz val="9"/>
            <color indexed="81"/>
            <rFont val="Tahoma"/>
            <family val="2"/>
          </rPr>
          <t>Ingrid Malmgren:</t>
        </r>
        <r>
          <rPr>
            <sz val="9"/>
            <color indexed="81"/>
            <rFont val="Tahoma"/>
            <family val="2"/>
          </rPr>
          <t xml:space="preserve">
prescriptive rebate program</t>
        </r>
      </text>
    </comment>
    <comment ref="AAB2" authorId="0">
      <text>
        <r>
          <rPr>
            <b/>
            <sz val="9"/>
            <color indexed="81"/>
            <rFont val="Tahoma"/>
            <family val="2"/>
          </rPr>
          <t>Ingrid Malmgren:</t>
        </r>
        <r>
          <rPr>
            <sz val="9"/>
            <color indexed="81"/>
            <rFont val="Tahoma"/>
            <family val="2"/>
          </rPr>
          <t xml:space="preserve">
prescriptive rebate program</t>
        </r>
      </text>
    </comment>
    <comment ref="AAC2" authorId="0">
      <text>
        <r>
          <rPr>
            <b/>
            <sz val="9"/>
            <color indexed="81"/>
            <rFont val="Tahoma"/>
            <family val="2"/>
          </rPr>
          <t>Ingrid Malmgren:</t>
        </r>
        <r>
          <rPr>
            <sz val="9"/>
            <color indexed="81"/>
            <rFont val="Tahoma"/>
            <family val="2"/>
          </rPr>
          <t xml:space="preserve">
prescriptive rebate program</t>
        </r>
      </text>
    </comment>
    <comment ref="AAD2" authorId="0">
      <text>
        <r>
          <rPr>
            <b/>
            <sz val="9"/>
            <color indexed="81"/>
            <rFont val="Tahoma"/>
            <family val="2"/>
          </rPr>
          <t>Ingrid Malmgren:</t>
        </r>
        <r>
          <rPr>
            <sz val="9"/>
            <color indexed="81"/>
            <rFont val="Tahoma"/>
            <family val="2"/>
          </rPr>
          <t xml:space="preserve">
prescriptive rebate program</t>
        </r>
      </text>
    </comment>
    <comment ref="AAE2" authorId="0">
      <text>
        <r>
          <rPr>
            <b/>
            <sz val="9"/>
            <color indexed="81"/>
            <rFont val="Tahoma"/>
            <family val="2"/>
          </rPr>
          <t>Ingrid Malmgren:</t>
        </r>
        <r>
          <rPr>
            <sz val="9"/>
            <color indexed="81"/>
            <rFont val="Tahoma"/>
            <family val="2"/>
          </rPr>
          <t xml:space="preserve">
prescriptive rebate program</t>
        </r>
      </text>
    </comment>
    <comment ref="AAF2" authorId="0">
      <text>
        <r>
          <rPr>
            <b/>
            <sz val="9"/>
            <color indexed="81"/>
            <rFont val="Tahoma"/>
            <family val="2"/>
          </rPr>
          <t>Ingrid Malmgren:</t>
        </r>
        <r>
          <rPr>
            <sz val="9"/>
            <color indexed="81"/>
            <rFont val="Tahoma"/>
            <family val="2"/>
          </rPr>
          <t xml:space="preserve">
prescriptive rebate program</t>
        </r>
      </text>
    </comment>
    <comment ref="AAG2" authorId="0">
      <text>
        <r>
          <rPr>
            <b/>
            <sz val="9"/>
            <color indexed="81"/>
            <rFont val="Tahoma"/>
            <family val="2"/>
          </rPr>
          <t>Ingrid Malmgren:</t>
        </r>
        <r>
          <rPr>
            <sz val="9"/>
            <color indexed="81"/>
            <rFont val="Tahoma"/>
            <family val="2"/>
          </rPr>
          <t xml:space="preserve">
prescriptive rebate program</t>
        </r>
      </text>
    </comment>
    <comment ref="AAH2" authorId="0">
      <text>
        <r>
          <rPr>
            <b/>
            <sz val="9"/>
            <color indexed="81"/>
            <rFont val="Tahoma"/>
            <family val="2"/>
          </rPr>
          <t>Ingrid Malmgren:</t>
        </r>
        <r>
          <rPr>
            <sz val="9"/>
            <color indexed="81"/>
            <rFont val="Tahoma"/>
            <family val="2"/>
          </rPr>
          <t xml:space="preserve">
prescriptive rebate program</t>
        </r>
      </text>
    </comment>
    <comment ref="AAI2" authorId="0">
      <text>
        <r>
          <rPr>
            <b/>
            <sz val="9"/>
            <color indexed="81"/>
            <rFont val="Tahoma"/>
            <family val="2"/>
          </rPr>
          <t>Ingrid Malmgren:</t>
        </r>
        <r>
          <rPr>
            <sz val="9"/>
            <color indexed="81"/>
            <rFont val="Tahoma"/>
            <family val="2"/>
          </rPr>
          <t xml:space="preserve">
prescriptive rebate program</t>
        </r>
      </text>
    </comment>
    <comment ref="AAJ2" authorId="0">
      <text>
        <r>
          <rPr>
            <b/>
            <sz val="9"/>
            <color indexed="81"/>
            <rFont val="Tahoma"/>
            <family val="2"/>
          </rPr>
          <t>Ingrid Malmgren:</t>
        </r>
        <r>
          <rPr>
            <sz val="9"/>
            <color indexed="81"/>
            <rFont val="Tahoma"/>
            <family val="2"/>
          </rPr>
          <t xml:space="preserve">
prescriptive rebate program</t>
        </r>
      </text>
    </comment>
    <comment ref="AAK2" authorId="0">
      <text>
        <r>
          <rPr>
            <b/>
            <sz val="9"/>
            <color indexed="81"/>
            <rFont val="Tahoma"/>
            <family val="2"/>
          </rPr>
          <t>Ingrid Malmgren:</t>
        </r>
        <r>
          <rPr>
            <sz val="9"/>
            <color indexed="81"/>
            <rFont val="Tahoma"/>
            <family val="2"/>
          </rPr>
          <t xml:space="preserve">
prescriptive rebate program</t>
        </r>
      </text>
    </comment>
    <comment ref="AAL2" authorId="0">
      <text>
        <r>
          <rPr>
            <b/>
            <sz val="9"/>
            <color indexed="81"/>
            <rFont val="Tahoma"/>
            <family val="2"/>
          </rPr>
          <t>Ingrid Malmgren:</t>
        </r>
        <r>
          <rPr>
            <sz val="9"/>
            <color indexed="81"/>
            <rFont val="Tahoma"/>
            <family val="2"/>
          </rPr>
          <t xml:space="preserve">
prescriptive rebate program</t>
        </r>
      </text>
    </comment>
    <comment ref="AAM2" authorId="0">
      <text>
        <r>
          <rPr>
            <b/>
            <sz val="9"/>
            <color indexed="81"/>
            <rFont val="Tahoma"/>
            <family val="2"/>
          </rPr>
          <t>Ingrid Malmgren:</t>
        </r>
        <r>
          <rPr>
            <sz val="9"/>
            <color indexed="81"/>
            <rFont val="Tahoma"/>
            <family val="2"/>
          </rPr>
          <t xml:space="preserve">
prescriptive rebate program</t>
        </r>
      </text>
    </comment>
    <comment ref="AAN2" authorId="0">
      <text>
        <r>
          <rPr>
            <b/>
            <sz val="9"/>
            <color indexed="81"/>
            <rFont val="Tahoma"/>
            <family val="2"/>
          </rPr>
          <t>Ingrid Malmgren:</t>
        </r>
        <r>
          <rPr>
            <sz val="9"/>
            <color indexed="81"/>
            <rFont val="Tahoma"/>
            <family val="2"/>
          </rPr>
          <t xml:space="preserve">
prescriptive rebate program</t>
        </r>
      </text>
    </comment>
    <comment ref="AAO2" authorId="0">
      <text>
        <r>
          <rPr>
            <b/>
            <sz val="9"/>
            <color indexed="81"/>
            <rFont val="Tahoma"/>
            <family val="2"/>
          </rPr>
          <t>Ingrid Malmgren:</t>
        </r>
        <r>
          <rPr>
            <sz val="9"/>
            <color indexed="81"/>
            <rFont val="Tahoma"/>
            <family val="2"/>
          </rPr>
          <t xml:space="preserve">
prescriptive rebate program</t>
        </r>
      </text>
    </comment>
    <comment ref="AAP2" authorId="0">
      <text>
        <r>
          <rPr>
            <b/>
            <sz val="9"/>
            <color indexed="81"/>
            <rFont val="Tahoma"/>
            <family val="2"/>
          </rPr>
          <t>Ingrid Malmgren:</t>
        </r>
        <r>
          <rPr>
            <sz val="9"/>
            <color indexed="81"/>
            <rFont val="Tahoma"/>
            <family val="2"/>
          </rPr>
          <t xml:space="preserve">
prescriptive rebate program</t>
        </r>
      </text>
    </comment>
    <comment ref="AAQ2" authorId="0">
      <text>
        <r>
          <rPr>
            <b/>
            <sz val="9"/>
            <color indexed="81"/>
            <rFont val="Tahoma"/>
            <family val="2"/>
          </rPr>
          <t>Ingrid Malmgren:</t>
        </r>
        <r>
          <rPr>
            <sz val="9"/>
            <color indexed="81"/>
            <rFont val="Tahoma"/>
            <family val="2"/>
          </rPr>
          <t xml:space="preserve">
prescriptive rebate program</t>
        </r>
      </text>
    </comment>
    <comment ref="AAR2" authorId="0">
      <text>
        <r>
          <rPr>
            <b/>
            <sz val="9"/>
            <color indexed="81"/>
            <rFont val="Tahoma"/>
            <family val="2"/>
          </rPr>
          <t>Ingrid Malmgren:</t>
        </r>
        <r>
          <rPr>
            <sz val="9"/>
            <color indexed="81"/>
            <rFont val="Tahoma"/>
            <family val="2"/>
          </rPr>
          <t xml:space="preserve">
prescriptive rebate program</t>
        </r>
      </text>
    </comment>
    <comment ref="AAS2" authorId="0">
      <text>
        <r>
          <rPr>
            <b/>
            <sz val="9"/>
            <color indexed="81"/>
            <rFont val="Tahoma"/>
            <family val="2"/>
          </rPr>
          <t>Ingrid Malmgren:</t>
        </r>
        <r>
          <rPr>
            <sz val="9"/>
            <color indexed="81"/>
            <rFont val="Tahoma"/>
            <family val="2"/>
          </rPr>
          <t xml:space="preserve">
prescriptive rebate program</t>
        </r>
      </text>
    </comment>
    <comment ref="AAT2" authorId="0">
      <text>
        <r>
          <rPr>
            <b/>
            <sz val="9"/>
            <color indexed="81"/>
            <rFont val="Tahoma"/>
            <family val="2"/>
          </rPr>
          <t>Ingrid Malmgren:</t>
        </r>
        <r>
          <rPr>
            <sz val="9"/>
            <color indexed="81"/>
            <rFont val="Tahoma"/>
            <family val="2"/>
          </rPr>
          <t xml:space="preserve">
prescriptive rebate program</t>
        </r>
      </text>
    </comment>
    <comment ref="AAU2" authorId="0">
      <text>
        <r>
          <rPr>
            <b/>
            <sz val="9"/>
            <color indexed="81"/>
            <rFont val="Tahoma"/>
            <family val="2"/>
          </rPr>
          <t>Ingrid Malmgren:</t>
        </r>
        <r>
          <rPr>
            <sz val="9"/>
            <color indexed="81"/>
            <rFont val="Tahoma"/>
            <family val="2"/>
          </rPr>
          <t xml:space="preserve">
prescriptive rebate program</t>
        </r>
      </text>
    </comment>
    <comment ref="AAV2" authorId="0">
      <text>
        <r>
          <rPr>
            <b/>
            <sz val="9"/>
            <color indexed="81"/>
            <rFont val="Tahoma"/>
            <family val="2"/>
          </rPr>
          <t>Ingrid Malmgren:</t>
        </r>
        <r>
          <rPr>
            <sz val="9"/>
            <color indexed="81"/>
            <rFont val="Tahoma"/>
            <family val="2"/>
          </rPr>
          <t xml:space="preserve">
prescriptive rebate program</t>
        </r>
      </text>
    </comment>
    <comment ref="AAW2" authorId="0">
      <text>
        <r>
          <rPr>
            <b/>
            <sz val="9"/>
            <color indexed="81"/>
            <rFont val="Tahoma"/>
            <family val="2"/>
          </rPr>
          <t>Ingrid Malmgren:</t>
        </r>
        <r>
          <rPr>
            <sz val="9"/>
            <color indexed="81"/>
            <rFont val="Tahoma"/>
            <family val="2"/>
          </rPr>
          <t xml:space="preserve">
prescriptive rebate program</t>
        </r>
      </text>
    </comment>
    <comment ref="AAX2" authorId="0">
      <text>
        <r>
          <rPr>
            <b/>
            <sz val="9"/>
            <color indexed="81"/>
            <rFont val="Tahoma"/>
            <family val="2"/>
          </rPr>
          <t>Ingrid Malmgren:</t>
        </r>
        <r>
          <rPr>
            <sz val="9"/>
            <color indexed="81"/>
            <rFont val="Tahoma"/>
            <family val="2"/>
          </rPr>
          <t xml:space="preserve">
prescriptive rebate program</t>
        </r>
      </text>
    </comment>
    <comment ref="AAY2" authorId="0">
      <text>
        <r>
          <rPr>
            <b/>
            <sz val="9"/>
            <color indexed="81"/>
            <rFont val="Tahoma"/>
            <family val="2"/>
          </rPr>
          <t>Ingrid Malmgren:</t>
        </r>
        <r>
          <rPr>
            <sz val="9"/>
            <color indexed="81"/>
            <rFont val="Tahoma"/>
            <family val="2"/>
          </rPr>
          <t xml:space="preserve">
prescriptive rebate program</t>
        </r>
      </text>
    </comment>
    <comment ref="AAZ2" authorId="0">
      <text>
        <r>
          <rPr>
            <b/>
            <sz val="9"/>
            <color indexed="81"/>
            <rFont val="Tahoma"/>
            <family val="2"/>
          </rPr>
          <t>Ingrid Malmgren:</t>
        </r>
        <r>
          <rPr>
            <sz val="9"/>
            <color indexed="81"/>
            <rFont val="Tahoma"/>
            <family val="2"/>
          </rPr>
          <t xml:space="preserve">
prescriptive rebate program</t>
        </r>
      </text>
    </comment>
    <comment ref="ABA2" authorId="0">
      <text>
        <r>
          <rPr>
            <b/>
            <sz val="9"/>
            <color indexed="81"/>
            <rFont val="Tahoma"/>
            <family val="2"/>
          </rPr>
          <t>Ingrid Malmgren:</t>
        </r>
        <r>
          <rPr>
            <sz val="9"/>
            <color indexed="81"/>
            <rFont val="Tahoma"/>
            <family val="2"/>
          </rPr>
          <t xml:space="preserve">
prescriptive rebate program</t>
        </r>
      </text>
    </comment>
    <comment ref="ABB2" authorId="0">
      <text>
        <r>
          <rPr>
            <b/>
            <sz val="9"/>
            <color indexed="81"/>
            <rFont val="Tahoma"/>
            <family val="2"/>
          </rPr>
          <t>Ingrid Malmgren:</t>
        </r>
        <r>
          <rPr>
            <sz val="9"/>
            <color indexed="81"/>
            <rFont val="Tahoma"/>
            <family val="2"/>
          </rPr>
          <t xml:space="preserve">
prescriptive rebate program</t>
        </r>
      </text>
    </comment>
    <comment ref="ABC2" authorId="0">
      <text>
        <r>
          <rPr>
            <b/>
            <sz val="9"/>
            <color indexed="81"/>
            <rFont val="Tahoma"/>
            <family val="2"/>
          </rPr>
          <t>Ingrid Malmgren:</t>
        </r>
        <r>
          <rPr>
            <sz val="9"/>
            <color indexed="81"/>
            <rFont val="Tahoma"/>
            <family val="2"/>
          </rPr>
          <t xml:space="preserve">
prescriptive rebate program</t>
        </r>
      </text>
    </comment>
    <comment ref="ABD2" authorId="0">
      <text>
        <r>
          <rPr>
            <b/>
            <sz val="9"/>
            <color indexed="81"/>
            <rFont val="Tahoma"/>
            <family val="2"/>
          </rPr>
          <t>Ingrid Malmgren:</t>
        </r>
        <r>
          <rPr>
            <sz val="9"/>
            <color indexed="81"/>
            <rFont val="Tahoma"/>
            <family val="2"/>
          </rPr>
          <t xml:space="preserve">
prescriptive rebate program</t>
        </r>
      </text>
    </comment>
    <comment ref="ABE2" authorId="0">
      <text>
        <r>
          <rPr>
            <b/>
            <sz val="9"/>
            <color indexed="81"/>
            <rFont val="Tahoma"/>
            <family val="2"/>
          </rPr>
          <t>Ingrid Malmgren:</t>
        </r>
        <r>
          <rPr>
            <sz val="9"/>
            <color indexed="81"/>
            <rFont val="Tahoma"/>
            <family val="2"/>
          </rPr>
          <t xml:space="preserve">
prescriptive rebate program</t>
        </r>
      </text>
    </comment>
    <comment ref="ABF2" authorId="0">
      <text>
        <r>
          <rPr>
            <b/>
            <sz val="9"/>
            <color indexed="81"/>
            <rFont val="Tahoma"/>
            <family val="2"/>
          </rPr>
          <t>Ingrid Malmgren:</t>
        </r>
        <r>
          <rPr>
            <sz val="9"/>
            <color indexed="81"/>
            <rFont val="Tahoma"/>
            <family val="2"/>
          </rPr>
          <t xml:space="preserve">
prescriptive rebate program</t>
        </r>
      </text>
    </comment>
    <comment ref="ABG2" authorId="0">
      <text>
        <r>
          <rPr>
            <b/>
            <sz val="9"/>
            <color indexed="81"/>
            <rFont val="Tahoma"/>
            <family val="2"/>
          </rPr>
          <t>Ingrid Malmgren:</t>
        </r>
        <r>
          <rPr>
            <sz val="9"/>
            <color indexed="81"/>
            <rFont val="Tahoma"/>
            <family val="2"/>
          </rPr>
          <t xml:space="preserve">
prescriptive rebate program</t>
        </r>
      </text>
    </comment>
    <comment ref="ABH2" authorId="0">
      <text>
        <r>
          <rPr>
            <b/>
            <sz val="9"/>
            <color indexed="81"/>
            <rFont val="Tahoma"/>
            <family val="2"/>
          </rPr>
          <t>Ingrid Malmgren:</t>
        </r>
        <r>
          <rPr>
            <sz val="9"/>
            <color indexed="81"/>
            <rFont val="Tahoma"/>
            <family val="2"/>
          </rPr>
          <t xml:space="preserve">
prescriptive rebate program</t>
        </r>
      </text>
    </comment>
    <comment ref="ABI2" authorId="0">
      <text>
        <r>
          <rPr>
            <b/>
            <sz val="9"/>
            <color indexed="81"/>
            <rFont val="Tahoma"/>
            <family val="2"/>
          </rPr>
          <t>Ingrid Malmgren:</t>
        </r>
        <r>
          <rPr>
            <sz val="9"/>
            <color indexed="81"/>
            <rFont val="Tahoma"/>
            <family val="2"/>
          </rPr>
          <t xml:space="preserve">
prescriptive rebate program</t>
        </r>
      </text>
    </comment>
    <comment ref="ABJ2" authorId="0">
      <text>
        <r>
          <rPr>
            <b/>
            <sz val="9"/>
            <color indexed="81"/>
            <rFont val="Tahoma"/>
            <family val="2"/>
          </rPr>
          <t>Ingrid Malmgren:</t>
        </r>
        <r>
          <rPr>
            <sz val="9"/>
            <color indexed="81"/>
            <rFont val="Tahoma"/>
            <family val="2"/>
          </rPr>
          <t xml:space="preserve">
prescriptive rebate program</t>
        </r>
      </text>
    </comment>
    <comment ref="ABK2" authorId="0">
      <text>
        <r>
          <rPr>
            <b/>
            <sz val="9"/>
            <color indexed="81"/>
            <rFont val="Tahoma"/>
            <family val="2"/>
          </rPr>
          <t>Ingrid Malmgren:</t>
        </r>
        <r>
          <rPr>
            <sz val="9"/>
            <color indexed="81"/>
            <rFont val="Tahoma"/>
            <family val="2"/>
          </rPr>
          <t xml:space="preserve">
prescriptive rebate program</t>
        </r>
      </text>
    </comment>
    <comment ref="ABL2" authorId="0">
      <text>
        <r>
          <rPr>
            <b/>
            <sz val="9"/>
            <color indexed="81"/>
            <rFont val="Tahoma"/>
            <family val="2"/>
          </rPr>
          <t>Ingrid Malmgren:</t>
        </r>
        <r>
          <rPr>
            <sz val="9"/>
            <color indexed="81"/>
            <rFont val="Tahoma"/>
            <family val="2"/>
          </rPr>
          <t xml:space="preserve">
prescriptive rebate program</t>
        </r>
      </text>
    </comment>
    <comment ref="ABM2" authorId="0">
      <text>
        <r>
          <rPr>
            <b/>
            <sz val="9"/>
            <color indexed="81"/>
            <rFont val="Tahoma"/>
            <family val="2"/>
          </rPr>
          <t>Ingrid Malmgren:</t>
        </r>
        <r>
          <rPr>
            <sz val="9"/>
            <color indexed="81"/>
            <rFont val="Tahoma"/>
            <family val="2"/>
          </rPr>
          <t xml:space="preserve">
prescriptive rebate program</t>
        </r>
      </text>
    </comment>
    <comment ref="ABN2" authorId="0">
      <text>
        <r>
          <rPr>
            <b/>
            <sz val="9"/>
            <color indexed="81"/>
            <rFont val="Tahoma"/>
            <family val="2"/>
          </rPr>
          <t>Ingrid Malmgren:</t>
        </r>
        <r>
          <rPr>
            <sz val="9"/>
            <color indexed="81"/>
            <rFont val="Tahoma"/>
            <family val="2"/>
          </rPr>
          <t xml:space="preserve">
prescriptive rebate program</t>
        </r>
      </text>
    </comment>
    <comment ref="ABO2" authorId="0">
      <text>
        <r>
          <rPr>
            <b/>
            <sz val="9"/>
            <color indexed="81"/>
            <rFont val="Tahoma"/>
            <family val="2"/>
          </rPr>
          <t>Ingrid Malmgren:</t>
        </r>
        <r>
          <rPr>
            <sz val="9"/>
            <color indexed="81"/>
            <rFont val="Tahoma"/>
            <family val="2"/>
          </rPr>
          <t xml:space="preserve">
prescriptive rebate program</t>
        </r>
      </text>
    </comment>
    <comment ref="ABP2" authorId="0">
      <text>
        <r>
          <rPr>
            <b/>
            <sz val="9"/>
            <color indexed="81"/>
            <rFont val="Tahoma"/>
            <family val="2"/>
          </rPr>
          <t>Ingrid Malmgren:</t>
        </r>
        <r>
          <rPr>
            <sz val="9"/>
            <color indexed="81"/>
            <rFont val="Tahoma"/>
            <family val="2"/>
          </rPr>
          <t xml:space="preserve">
prescriptive rebate program</t>
        </r>
      </text>
    </comment>
    <comment ref="ABQ2" authorId="0">
      <text>
        <r>
          <rPr>
            <b/>
            <sz val="9"/>
            <color indexed="81"/>
            <rFont val="Tahoma"/>
            <family val="2"/>
          </rPr>
          <t>Ingrid Malmgren:</t>
        </r>
        <r>
          <rPr>
            <sz val="9"/>
            <color indexed="81"/>
            <rFont val="Tahoma"/>
            <family val="2"/>
          </rPr>
          <t xml:space="preserve">
prescriptive rebate program</t>
        </r>
      </text>
    </comment>
    <comment ref="ABR2" authorId="0">
      <text>
        <r>
          <rPr>
            <b/>
            <sz val="9"/>
            <color indexed="81"/>
            <rFont val="Tahoma"/>
            <family val="2"/>
          </rPr>
          <t>Ingrid Malmgren:</t>
        </r>
        <r>
          <rPr>
            <sz val="9"/>
            <color indexed="81"/>
            <rFont val="Tahoma"/>
            <family val="2"/>
          </rPr>
          <t xml:space="preserve">
prescriptive rebate program</t>
        </r>
      </text>
    </comment>
    <comment ref="ABS2" authorId="0">
      <text>
        <r>
          <rPr>
            <b/>
            <sz val="9"/>
            <color indexed="81"/>
            <rFont val="Tahoma"/>
            <family val="2"/>
          </rPr>
          <t>Ingrid Malmgren:</t>
        </r>
        <r>
          <rPr>
            <sz val="9"/>
            <color indexed="81"/>
            <rFont val="Tahoma"/>
            <family val="2"/>
          </rPr>
          <t xml:space="preserve">
prescriptive rebate program</t>
        </r>
      </text>
    </comment>
    <comment ref="ABT2" authorId="0">
      <text>
        <r>
          <rPr>
            <b/>
            <sz val="9"/>
            <color indexed="81"/>
            <rFont val="Tahoma"/>
            <family val="2"/>
          </rPr>
          <t>Ingrid Malmgren:</t>
        </r>
        <r>
          <rPr>
            <sz val="9"/>
            <color indexed="81"/>
            <rFont val="Tahoma"/>
            <family val="2"/>
          </rPr>
          <t xml:space="preserve">
prescriptive rebate program</t>
        </r>
      </text>
    </comment>
    <comment ref="ABU2" authorId="0">
      <text>
        <r>
          <rPr>
            <b/>
            <sz val="9"/>
            <color indexed="81"/>
            <rFont val="Tahoma"/>
            <family val="2"/>
          </rPr>
          <t>Ingrid Malmgren:</t>
        </r>
        <r>
          <rPr>
            <sz val="9"/>
            <color indexed="81"/>
            <rFont val="Tahoma"/>
            <family val="2"/>
          </rPr>
          <t xml:space="preserve">
prescriptive rebate program</t>
        </r>
      </text>
    </comment>
    <comment ref="ABV2" authorId="0">
      <text>
        <r>
          <rPr>
            <b/>
            <sz val="9"/>
            <color indexed="81"/>
            <rFont val="Tahoma"/>
            <family val="2"/>
          </rPr>
          <t>Ingrid Malmgren:</t>
        </r>
        <r>
          <rPr>
            <sz val="9"/>
            <color indexed="81"/>
            <rFont val="Tahoma"/>
            <family val="2"/>
          </rPr>
          <t xml:space="preserve">
prescriptive rebate program</t>
        </r>
      </text>
    </comment>
    <comment ref="ABW2" authorId="0">
      <text>
        <r>
          <rPr>
            <b/>
            <sz val="9"/>
            <color indexed="81"/>
            <rFont val="Tahoma"/>
            <family val="2"/>
          </rPr>
          <t>Ingrid Malmgren:</t>
        </r>
        <r>
          <rPr>
            <sz val="9"/>
            <color indexed="81"/>
            <rFont val="Tahoma"/>
            <family val="2"/>
          </rPr>
          <t xml:space="preserve">
prescriptive rebate program</t>
        </r>
      </text>
    </comment>
    <comment ref="ABX2" authorId="0">
      <text>
        <r>
          <rPr>
            <b/>
            <sz val="9"/>
            <color indexed="81"/>
            <rFont val="Tahoma"/>
            <family val="2"/>
          </rPr>
          <t>Ingrid Malmgren:</t>
        </r>
        <r>
          <rPr>
            <sz val="9"/>
            <color indexed="81"/>
            <rFont val="Tahoma"/>
            <family val="2"/>
          </rPr>
          <t xml:space="preserve">
prescriptive rebate program</t>
        </r>
      </text>
    </comment>
    <comment ref="ABY2" authorId="0">
      <text>
        <r>
          <rPr>
            <b/>
            <sz val="9"/>
            <color indexed="81"/>
            <rFont val="Tahoma"/>
            <family val="2"/>
          </rPr>
          <t>Ingrid Malmgren:</t>
        </r>
        <r>
          <rPr>
            <sz val="9"/>
            <color indexed="81"/>
            <rFont val="Tahoma"/>
            <family val="2"/>
          </rPr>
          <t xml:space="preserve">
prescriptive rebate program</t>
        </r>
      </text>
    </comment>
    <comment ref="ABZ2" authorId="0">
      <text>
        <r>
          <rPr>
            <b/>
            <sz val="9"/>
            <color indexed="81"/>
            <rFont val="Tahoma"/>
            <family val="2"/>
          </rPr>
          <t>Ingrid Malmgren:</t>
        </r>
        <r>
          <rPr>
            <sz val="9"/>
            <color indexed="81"/>
            <rFont val="Tahoma"/>
            <family val="2"/>
          </rPr>
          <t xml:space="preserve">
prescriptive rebate program</t>
        </r>
      </text>
    </comment>
    <comment ref="ACA2" authorId="0">
      <text>
        <r>
          <rPr>
            <b/>
            <sz val="9"/>
            <color indexed="81"/>
            <rFont val="Tahoma"/>
            <family val="2"/>
          </rPr>
          <t>Ingrid Malmgren:</t>
        </r>
        <r>
          <rPr>
            <sz val="9"/>
            <color indexed="81"/>
            <rFont val="Tahoma"/>
            <family val="2"/>
          </rPr>
          <t xml:space="preserve">
prescriptive rebate program</t>
        </r>
      </text>
    </comment>
    <comment ref="ACB2" authorId="0">
      <text>
        <r>
          <rPr>
            <b/>
            <sz val="9"/>
            <color indexed="81"/>
            <rFont val="Tahoma"/>
            <family val="2"/>
          </rPr>
          <t>Ingrid Malmgren:</t>
        </r>
        <r>
          <rPr>
            <sz val="9"/>
            <color indexed="81"/>
            <rFont val="Tahoma"/>
            <family val="2"/>
          </rPr>
          <t xml:space="preserve">
prescriptive rebate program</t>
        </r>
      </text>
    </comment>
    <comment ref="ACC2" authorId="0">
      <text>
        <r>
          <rPr>
            <b/>
            <sz val="9"/>
            <color indexed="81"/>
            <rFont val="Tahoma"/>
            <family val="2"/>
          </rPr>
          <t>Ingrid Malmgren:</t>
        </r>
        <r>
          <rPr>
            <sz val="9"/>
            <color indexed="81"/>
            <rFont val="Tahoma"/>
            <family val="2"/>
          </rPr>
          <t xml:space="preserve">
prescriptive rebate program</t>
        </r>
      </text>
    </comment>
    <comment ref="ACD2" authorId="0">
      <text>
        <r>
          <rPr>
            <b/>
            <sz val="9"/>
            <color indexed="81"/>
            <rFont val="Tahoma"/>
            <family val="2"/>
          </rPr>
          <t>Ingrid Malmgren:</t>
        </r>
        <r>
          <rPr>
            <sz val="9"/>
            <color indexed="81"/>
            <rFont val="Tahoma"/>
            <family val="2"/>
          </rPr>
          <t xml:space="preserve">
prescriptive rebate program</t>
        </r>
      </text>
    </comment>
    <comment ref="ACE2" authorId="0">
      <text>
        <r>
          <rPr>
            <b/>
            <sz val="9"/>
            <color indexed="81"/>
            <rFont val="Tahoma"/>
            <family val="2"/>
          </rPr>
          <t>Ingrid Malmgren:</t>
        </r>
        <r>
          <rPr>
            <sz val="9"/>
            <color indexed="81"/>
            <rFont val="Tahoma"/>
            <family val="2"/>
          </rPr>
          <t xml:space="preserve">
prescriptive rebate program</t>
        </r>
      </text>
    </comment>
    <comment ref="ACF2" authorId="0">
      <text>
        <r>
          <rPr>
            <b/>
            <sz val="9"/>
            <color indexed="81"/>
            <rFont val="Tahoma"/>
            <family val="2"/>
          </rPr>
          <t>Ingrid Malmgren:</t>
        </r>
        <r>
          <rPr>
            <sz val="9"/>
            <color indexed="81"/>
            <rFont val="Tahoma"/>
            <family val="2"/>
          </rPr>
          <t xml:space="preserve">
prescriptive rebate program</t>
        </r>
      </text>
    </comment>
    <comment ref="ACG2" authorId="0">
      <text>
        <r>
          <rPr>
            <b/>
            <sz val="9"/>
            <color indexed="81"/>
            <rFont val="Tahoma"/>
            <family val="2"/>
          </rPr>
          <t>Ingrid Malmgren:</t>
        </r>
        <r>
          <rPr>
            <sz val="9"/>
            <color indexed="81"/>
            <rFont val="Tahoma"/>
            <family val="2"/>
          </rPr>
          <t xml:space="preserve">
prescriptive rebate program</t>
        </r>
      </text>
    </comment>
    <comment ref="ACH2" authorId="0">
      <text>
        <r>
          <rPr>
            <b/>
            <sz val="9"/>
            <color indexed="81"/>
            <rFont val="Tahoma"/>
            <family val="2"/>
          </rPr>
          <t>Ingrid Malmgren:</t>
        </r>
        <r>
          <rPr>
            <sz val="9"/>
            <color indexed="81"/>
            <rFont val="Tahoma"/>
            <family val="2"/>
          </rPr>
          <t xml:space="preserve">
prescriptive rebate program</t>
        </r>
      </text>
    </comment>
    <comment ref="ACI2" authorId="0">
      <text>
        <r>
          <rPr>
            <b/>
            <sz val="9"/>
            <color indexed="81"/>
            <rFont val="Tahoma"/>
            <family val="2"/>
          </rPr>
          <t>Ingrid Malmgren:</t>
        </r>
        <r>
          <rPr>
            <sz val="9"/>
            <color indexed="81"/>
            <rFont val="Tahoma"/>
            <family val="2"/>
          </rPr>
          <t xml:space="preserve">
prescriptive rebate program</t>
        </r>
      </text>
    </comment>
    <comment ref="ACJ2" authorId="0">
      <text>
        <r>
          <rPr>
            <b/>
            <sz val="9"/>
            <color indexed="81"/>
            <rFont val="Tahoma"/>
            <family val="2"/>
          </rPr>
          <t>Ingrid Malmgren:</t>
        </r>
        <r>
          <rPr>
            <sz val="9"/>
            <color indexed="81"/>
            <rFont val="Tahoma"/>
            <family val="2"/>
          </rPr>
          <t xml:space="preserve">
prescriptive rebate program</t>
        </r>
      </text>
    </comment>
    <comment ref="ACK2" authorId="0">
      <text>
        <r>
          <rPr>
            <b/>
            <sz val="9"/>
            <color indexed="81"/>
            <rFont val="Tahoma"/>
            <family val="2"/>
          </rPr>
          <t>Ingrid Malmgren:</t>
        </r>
        <r>
          <rPr>
            <sz val="9"/>
            <color indexed="81"/>
            <rFont val="Tahoma"/>
            <family val="2"/>
          </rPr>
          <t xml:space="preserve">
prescriptive rebate program</t>
        </r>
      </text>
    </comment>
    <comment ref="ACL2" authorId="0">
      <text>
        <r>
          <rPr>
            <b/>
            <sz val="9"/>
            <color indexed="81"/>
            <rFont val="Tahoma"/>
            <family val="2"/>
          </rPr>
          <t>Ingrid Malmgren:</t>
        </r>
        <r>
          <rPr>
            <sz val="9"/>
            <color indexed="81"/>
            <rFont val="Tahoma"/>
            <family val="2"/>
          </rPr>
          <t xml:space="preserve">
prescriptive rebate program</t>
        </r>
      </text>
    </comment>
    <comment ref="ACM2" authorId="0">
      <text>
        <r>
          <rPr>
            <b/>
            <sz val="9"/>
            <color indexed="81"/>
            <rFont val="Tahoma"/>
            <family val="2"/>
          </rPr>
          <t>Ingrid Malmgren:</t>
        </r>
        <r>
          <rPr>
            <sz val="9"/>
            <color indexed="81"/>
            <rFont val="Tahoma"/>
            <family val="2"/>
          </rPr>
          <t xml:space="preserve">
prescriptive rebate program</t>
        </r>
      </text>
    </comment>
    <comment ref="ACN2" authorId="0">
      <text>
        <r>
          <rPr>
            <b/>
            <sz val="9"/>
            <color indexed="81"/>
            <rFont val="Tahoma"/>
            <family val="2"/>
          </rPr>
          <t>Ingrid Malmgren:</t>
        </r>
        <r>
          <rPr>
            <sz val="9"/>
            <color indexed="81"/>
            <rFont val="Tahoma"/>
            <family val="2"/>
          </rPr>
          <t xml:space="preserve">
prescriptive rebate program</t>
        </r>
      </text>
    </comment>
    <comment ref="ACO2" authorId="0">
      <text>
        <r>
          <rPr>
            <b/>
            <sz val="9"/>
            <color indexed="81"/>
            <rFont val="Tahoma"/>
            <family val="2"/>
          </rPr>
          <t>Ingrid Malmgren:</t>
        </r>
        <r>
          <rPr>
            <sz val="9"/>
            <color indexed="81"/>
            <rFont val="Tahoma"/>
            <family val="2"/>
          </rPr>
          <t xml:space="preserve">
prescriptive rebate program</t>
        </r>
      </text>
    </comment>
    <comment ref="ACP2" authorId="0">
      <text>
        <r>
          <rPr>
            <b/>
            <sz val="9"/>
            <color indexed="81"/>
            <rFont val="Tahoma"/>
            <family val="2"/>
          </rPr>
          <t>Ingrid Malmgren:</t>
        </r>
        <r>
          <rPr>
            <sz val="9"/>
            <color indexed="81"/>
            <rFont val="Tahoma"/>
            <family val="2"/>
          </rPr>
          <t xml:space="preserve">
prescriptive rebate program</t>
        </r>
      </text>
    </comment>
    <comment ref="ACQ2" authorId="0">
      <text>
        <r>
          <rPr>
            <b/>
            <sz val="9"/>
            <color indexed="81"/>
            <rFont val="Tahoma"/>
            <family val="2"/>
          </rPr>
          <t>Ingrid Malmgren:</t>
        </r>
        <r>
          <rPr>
            <sz val="9"/>
            <color indexed="81"/>
            <rFont val="Tahoma"/>
            <family val="2"/>
          </rPr>
          <t xml:space="preserve">
prescriptive rebate program</t>
        </r>
      </text>
    </comment>
    <comment ref="ACR2" authorId="0">
      <text>
        <r>
          <rPr>
            <b/>
            <sz val="9"/>
            <color indexed="81"/>
            <rFont val="Tahoma"/>
            <family val="2"/>
          </rPr>
          <t>Ingrid Malmgren:</t>
        </r>
        <r>
          <rPr>
            <sz val="9"/>
            <color indexed="81"/>
            <rFont val="Tahoma"/>
            <family val="2"/>
          </rPr>
          <t xml:space="preserve">
prescriptive rebate program</t>
        </r>
      </text>
    </comment>
    <comment ref="ACS2" authorId="0">
      <text>
        <r>
          <rPr>
            <b/>
            <sz val="9"/>
            <color indexed="81"/>
            <rFont val="Tahoma"/>
            <family val="2"/>
          </rPr>
          <t>Ingrid Malmgren:</t>
        </r>
        <r>
          <rPr>
            <sz val="9"/>
            <color indexed="81"/>
            <rFont val="Tahoma"/>
            <family val="2"/>
          </rPr>
          <t xml:space="preserve">
prescriptive rebate program</t>
        </r>
      </text>
    </comment>
    <comment ref="ACT2" authorId="0">
      <text>
        <r>
          <rPr>
            <b/>
            <sz val="9"/>
            <color indexed="81"/>
            <rFont val="Tahoma"/>
            <family val="2"/>
          </rPr>
          <t>Ingrid Malmgren:</t>
        </r>
        <r>
          <rPr>
            <sz val="9"/>
            <color indexed="81"/>
            <rFont val="Tahoma"/>
            <family val="2"/>
          </rPr>
          <t xml:space="preserve">
prescriptive rebate program</t>
        </r>
      </text>
    </comment>
    <comment ref="ACU2" authorId="0">
      <text>
        <r>
          <rPr>
            <b/>
            <sz val="9"/>
            <color indexed="81"/>
            <rFont val="Tahoma"/>
            <family val="2"/>
          </rPr>
          <t>Ingrid Malmgren:</t>
        </r>
        <r>
          <rPr>
            <sz val="9"/>
            <color indexed="81"/>
            <rFont val="Tahoma"/>
            <family val="2"/>
          </rPr>
          <t xml:space="preserve">
prescriptive rebate program</t>
        </r>
      </text>
    </comment>
    <comment ref="ACV2" authorId="0">
      <text>
        <r>
          <rPr>
            <b/>
            <sz val="9"/>
            <color indexed="81"/>
            <rFont val="Tahoma"/>
            <family val="2"/>
          </rPr>
          <t>Ingrid Malmgren:</t>
        </r>
        <r>
          <rPr>
            <sz val="9"/>
            <color indexed="81"/>
            <rFont val="Tahoma"/>
            <family val="2"/>
          </rPr>
          <t xml:space="preserve">
prescriptive rebate program</t>
        </r>
      </text>
    </comment>
    <comment ref="ACW2" authorId="0">
      <text>
        <r>
          <rPr>
            <b/>
            <sz val="9"/>
            <color indexed="81"/>
            <rFont val="Tahoma"/>
            <family val="2"/>
          </rPr>
          <t>Ingrid Malmgren:</t>
        </r>
        <r>
          <rPr>
            <sz val="9"/>
            <color indexed="81"/>
            <rFont val="Tahoma"/>
            <family val="2"/>
          </rPr>
          <t xml:space="preserve">
prescriptive rebate program</t>
        </r>
      </text>
    </comment>
    <comment ref="ACX2" authorId="0">
      <text>
        <r>
          <rPr>
            <b/>
            <sz val="9"/>
            <color indexed="81"/>
            <rFont val="Tahoma"/>
            <family val="2"/>
          </rPr>
          <t>Ingrid Malmgren:</t>
        </r>
        <r>
          <rPr>
            <sz val="9"/>
            <color indexed="81"/>
            <rFont val="Tahoma"/>
            <family val="2"/>
          </rPr>
          <t xml:space="preserve">
prescriptive rebate program</t>
        </r>
      </text>
    </comment>
    <comment ref="ACY2" authorId="0">
      <text>
        <r>
          <rPr>
            <b/>
            <sz val="9"/>
            <color indexed="81"/>
            <rFont val="Tahoma"/>
            <family val="2"/>
          </rPr>
          <t>Ingrid Malmgren:</t>
        </r>
        <r>
          <rPr>
            <sz val="9"/>
            <color indexed="81"/>
            <rFont val="Tahoma"/>
            <family val="2"/>
          </rPr>
          <t xml:space="preserve">
prescriptive rebate program</t>
        </r>
      </text>
    </comment>
    <comment ref="ACZ2" authorId="0">
      <text>
        <r>
          <rPr>
            <b/>
            <sz val="9"/>
            <color indexed="81"/>
            <rFont val="Tahoma"/>
            <family val="2"/>
          </rPr>
          <t>Ingrid Malmgren:</t>
        </r>
        <r>
          <rPr>
            <sz val="9"/>
            <color indexed="81"/>
            <rFont val="Tahoma"/>
            <family val="2"/>
          </rPr>
          <t xml:space="preserve">
prescriptive rebate program</t>
        </r>
      </text>
    </comment>
    <comment ref="ADA2" authorId="0">
      <text>
        <r>
          <rPr>
            <b/>
            <sz val="9"/>
            <color indexed="81"/>
            <rFont val="Tahoma"/>
            <family val="2"/>
          </rPr>
          <t>Ingrid Malmgren:</t>
        </r>
        <r>
          <rPr>
            <sz val="9"/>
            <color indexed="81"/>
            <rFont val="Tahoma"/>
            <family val="2"/>
          </rPr>
          <t xml:space="preserve">
prescriptive rebate program</t>
        </r>
      </text>
    </comment>
    <comment ref="ADB2" authorId="0">
      <text>
        <r>
          <rPr>
            <b/>
            <sz val="9"/>
            <color indexed="81"/>
            <rFont val="Tahoma"/>
            <family val="2"/>
          </rPr>
          <t>Ingrid Malmgren:</t>
        </r>
        <r>
          <rPr>
            <sz val="9"/>
            <color indexed="81"/>
            <rFont val="Tahoma"/>
            <family val="2"/>
          </rPr>
          <t xml:space="preserve">
prescriptive rebate program</t>
        </r>
      </text>
    </comment>
    <comment ref="ADC2" authorId="0">
      <text>
        <r>
          <rPr>
            <b/>
            <sz val="9"/>
            <color indexed="81"/>
            <rFont val="Tahoma"/>
            <family val="2"/>
          </rPr>
          <t>Ingrid Malmgren:</t>
        </r>
        <r>
          <rPr>
            <sz val="9"/>
            <color indexed="81"/>
            <rFont val="Tahoma"/>
            <family val="2"/>
          </rPr>
          <t xml:space="preserve">
prescriptive rebate program</t>
        </r>
      </text>
    </comment>
    <comment ref="ADD2" authorId="0">
      <text>
        <r>
          <rPr>
            <b/>
            <sz val="9"/>
            <color indexed="81"/>
            <rFont val="Tahoma"/>
            <family val="2"/>
          </rPr>
          <t>Ingrid Malmgren:</t>
        </r>
        <r>
          <rPr>
            <sz val="9"/>
            <color indexed="81"/>
            <rFont val="Tahoma"/>
            <family val="2"/>
          </rPr>
          <t xml:space="preserve">
prescriptive rebate program</t>
        </r>
      </text>
    </comment>
    <comment ref="ADE2" authorId="0">
      <text>
        <r>
          <rPr>
            <b/>
            <sz val="9"/>
            <color indexed="81"/>
            <rFont val="Tahoma"/>
            <family val="2"/>
          </rPr>
          <t>Ingrid Malmgren:</t>
        </r>
        <r>
          <rPr>
            <sz val="9"/>
            <color indexed="81"/>
            <rFont val="Tahoma"/>
            <family val="2"/>
          </rPr>
          <t xml:space="preserve">
prescriptive rebate program</t>
        </r>
      </text>
    </comment>
    <comment ref="ADF2" authorId="0">
      <text>
        <r>
          <rPr>
            <b/>
            <sz val="9"/>
            <color indexed="81"/>
            <rFont val="Tahoma"/>
            <family val="2"/>
          </rPr>
          <t>Ingrid Malmgren:</t>
        </r>
        <r>
          <rPr>
            <sz val="9"/>
            <color indexed="81"/>
            <rFont val="Tahoma"/>
            <family val="2"/>
          </rPr>
          <t xml:space="preserve">
prescriptive rebate program</t>
        </r>
      </text>
    </comment>
    <comment ref="ADG2" authorId="0">
      <text>
        <r>
          <rPr>
            <b/>
            <sz val="9"/>
            <color indexed="81"/>
            <rFont val="Tahoma"/>
            <family val="2"/>
          </rPr>
          <t>Ingrid Malmgren:</t>
        </r>
        <r>
          <rPr>
            <sz val="9"/>
            <color indexed="81"/>
            <rFont val="Tahoma"/>
            <family val="2"/>
          </rPr>
          <t xml:space="preserve">
prescriptive rebate program</t>
        </r>
      </text>
    </comment>
    <comment ref="ADH2" authorId="0">
      <text>
        <r>
          <rPr>
            <b/>
            <sz val="9"/>
            <color indexed="81"/>
            <rFont val="Tahoma"/>
            <family val="2"/>
          </rPr>
          <t>Ingrid Malmgren:</t>
        </r>
        <r>
          <rPr>
            <sz val="9"/>
            <color indexed="81"/>
            <rFont val="Tahoma"/>
            <family val="2"/>
          </rPr>
          <t xml:space="preserve">
prescriptive rebate program</t>
        </r>
      </text>
    </comment>
    <comment ref="ADI2" authorId="0">
      <text>
        <r>
          <rPr>
            <b/>
            <sz val="9"/>
            <color indexed="81"/>
            <rFont val="Tahoma"/>
            <family val="2"/>
          </rPr>
          <t>Ingrid Malmgren:</t>
        </r>
        <r>
          <rPr>
            <sz val="9"/>
            <color indexed="81"/>
            <rFont val="Tahoma"/>
            <family val="2"/>
          </rPr>
          <t xml:space="preserve">
prescriptive rebate program</t>
        </r>
      </text>
    </comment>
    <comment ref="ADJ2" authorId="0">
      <text>
        <r>
          <rPr>
            <b/>
            <sz val="9"/>
            <color indexed="81"/>
            <rFont val="Tahoma"/>
            <family val="2"/>
          </rPr>
          <t>Ingrid Malmgren:</t>
        </r>
        <r>
          <rPr>
            <sz val="9"/>
            <color indexed="81"/>
            <rFont val="Tahoma"/>
            <family val="2"/>
          </rPr>
          <t xml:space="preserve">
prescriptive rebate program</t>
        </r>
      </text>
    </comment>
    <comment ref="ADK2" authorId="0">
      <text>
        <r>
          <rPr>
            <b/>
            <sz val="9"/>
            <color indexed="81"/>
            <rFont val="Tahoma"/>
            <family val="2"/>
          </rPr>
          <t>Ingrid Malmgren:</t>
        </r>
        <r>
          <rPr>
            <sz val="9"/>
            <color indexed="81"/>
            <rFont val="Tahoma"/>
            <family val="2"/>
          </rPr>
          <t xml:space="preserve">
prescriptive rebate program</t>
        </r>
      </text>
    </comment>
    <comment ref="ADL2" authorId="0">
      <text>
        <r>
          <rPr>
            <b/>
            <sz val="9"/>
            <color indexed="81"/>
            <rFont val="Tahoma"/>
            <family val="2"/>
          </rPr>
          <t>Ingrid Malmgren:</t>
        </r>
        <r>
          <rPr>
            <sz val="9"/>
            <color indexed="81"/>
            <rFont val="Tahoma"/>
            <family val="2"/>
          </rPr>
          <t xml:space="preserve">
prescriptive rebate program</t>
        </r>
      </text>
    </comment>
    <comment ref="ADM2" authorId="0">
      <text>
        <r>
          <rPr>
            <b/>
            <sz val="9"/>
            <color indexed="81"/>
            <rFont val="Tahoma"/>
            <family val="2"/>
          </rPr>
          <t>Ingrid Malmgren:</t>
        </r>
        <r>
          <rPr>
            <sz val="9"/>
            <color indexed="81"/>
            <rFont val="Tahoma"/>
            <family val="2"/>
          </rPr>
          <t xml:space="preserve">
prescriptive rebate program</t>
        </r>
      </text>
    </comment>
    <comment ref="ADN2" authorId="0">
      <text>
        <r>
          <rPr>
            <b/>
            <sz val="9"/>
            <color indexed="81"/>
            <rFont val="Tahoma"/>
            <family val="2"/>
          </rPr>
          <t>Ingrid Malmgren:</t>
        </r>
        <r>
          <rPr>
            <sz val="9"/>
            <color indexed="81"/>
            <rFont val="Tahoma"/>
            <family val="2"/>
          </rPr>
          <t xml:space="preserve">
prescriptive rebate program</t>
        </r>
      </text>
    </comment>
    <comment ref="ADO2" authorId="0">
      <text>
        <r>
          <rPr>
            <b/>
            <sz val="9"/>
            <color indexed="81"/>
            <rFont val="Tahoma"/>
            <family val="2"/>
          </rPr>
          <t>Ingrid Malmgren:</t>
        </r>
        <r>
          <rPr>
            <sz val="9"/>
            <color indexed="81"/>
            <rFont val="Tahoma"/>
            <family val="2"/>
          </rPr>
          <t xml:space="preserve">
prescriptive rebate program</t>
        </r>
      </text>
    </comment>
    <comment ref="ADP2" authorId="0">
      <text>
        <r>
          <rPr>
            <b/>
            <sz val="9"/>
            <color indexed="81"/>
            <rFont val="Tahoma"/>
            <family val="2"/>
          </rPr>
          <t>Ingrid Malmgren:</t>
        </r>
        <r>
          <rPr>
            <sz val="9"/>
            <color indexed="81"/>
            <rFont val="Tahoma"/>
            <family val="2"/>
          </rPr>
          <t xml:space="preserve">
prescriptive rebate program</t>
        </r>
      </text>
    </comment>
    <comment ref="ADQ2" authorId="0">
      <text>
        <r>
          <rPr>
            <b/>
            <sz val="9"/>
            <color indexed="81"/>
            <rFont val="Tahoma"/>
            <family val="2"/>
          </rPr>
          <t>Ingrid Malmgren:</t>
        </r>
        <r>
          <rPr>
            <sz val="9"/>
            <color indexed="81"/>
            <rFont val="Tahoma"/>
            <family val="2"/>
          </rPr>
          <t xml:space="preserve">
prescriptive rebate program</t>
        </r>
      </text>
    </comment>
    <comment ref="ADR2" authorId="0">
      <text>
        <r>
          <rPr>
            <b/>
            <sz val="9"/>
            <color indexed="81"/>
            <rFont val="Tahoma"/>
            <family val="2"/>
          </rPr>
          <t>Ingrid Malmgren:</t>
        </r>
        <r>
          <rPr>
            <sz val="9"/>
            <color indexed="81"/>
            <rFont val="Tahoma"/>
            <family val="2"/>
          </rPr>
          <t xml:space="preserve">
prescriptive rebate program</t>
        </r>
      </text>
    </comment>
    <comment ref="ADS2" authorId="0">
      <text>
        <r>
          <rPr>
            <b/>
            <sz val="9"/>
            <color indexed="81"/>
            <rFont val="Tahoma"/>
            <family val="2"/>
          </rPr>
          <t>Ingrid Malmgren:</t>
        </r>
        <r>
          <rPr>
            <sz val="9"/>
            <color indexed="81"/>
            <rFont val="Tahoma"/>
            <family val="2"/>
          </rPr>
          <t xml:space="preserve">
prescriptive rebate program</t>
        </r>
      </text>
    </comment>
    <comment ref="ADT2" authorId="0">
      <text>
        <r>
          <rPr>
            <b/>
            <sz val="9"/>
            <color indexed="81"/>
            <rFont val="Tahoma"/>
            <family val="2"/>
          </rPr>
          <t>Ingrid Malmgren:</t>
        </r>
        <r>
          <rPr>
            <sz val="9"/>
            <color indexed="81"/>
            <rFont val="Tahoma"/>
            <family val="2"/>
          </rPr>
          <t xml:space="preserve">
prescriptive rebate program</t>
        </r>
      </text>
    </comment>
    <comment ref="ADU2" authorId="0">
      <text>
        <r>
          <rPr>
            <b/>
            <sz val="9"/>
            <color indexed="81"/>
            <rFont val="Tahoma"/>
            <family val="2"/>
          </rPr>
          <t>Ingrid Malmgren:</t>
        </r>
        <r>
          <rPr>
            <sz val="9"/>
            <color indexed="81"/>
            <rFont val="Tahoma"/>
            <family val="2"/>
          </rPr>
          <t xml:space="preserve">
prescriptive rebate program</t>
        </r>
      </text>
    </comment>
    <comment ref="ADV2" authorId="0">
      <text>
        <r>
          <rPr>
            <b/>
            <sz val="9"/>
            <color indexed="81"/>
            <rFont val="Tahoma"/>
            <family val="2"/>
          </rPr>
          <t>Ingrid Malmgren:</t>
        </r>
        <r>
          <rPr>
            <sz val="9"/>
            <color indexed="81"/>
            <rFont val="Tahoma"/>
            <family val="2"/>
          </rPr>
          <t xml:space="preserve">
prescriptive rebate program</t>
        </r>
      </text>
    </comment>
    <comment ref="ADW2" authorId="0">
      <text>
        <r>
          <rPr>
            <b/>
            <sz val="9"/>
            <color indexed="81"/>
            <rFont val="Tahoma"/>
            <family val="2"/>
          </rPr>
          <t>Ingrid Malmgren:</t>
        </r>
        <r>
          <rPr>
            <sz val="9"/>
            <color indexed="81"/>
            <rFont val="Tahoma"/>
            <family val="2"/>
          </rPr>
          <t xml:space="preserve">
prescriptive rebate program</t>
        </r>
      </text>
    </comment>
    <comment ref="ADX2" authorId="0">
      <text>
        <r>
          <rPr>
            <b/>
            <sz val="9"/>
            <color indexed="81"/>
            <rFont val="Tahoma"/>
            <family val="2"/>
          </rPr>
          <t>Ingrid Malmgren:</t>
        </r>
        <r>
          <rPr>
            <sz val="9"/>
            <color indexed="81"/>
            <rFont val="Tahoma"/>
            <family val="2"/>
          </rPr>
          <t xml:space="preserve">
prescriptive rebate program</t>
        </r>
      </text>
    </comment>
    <comment ref="ADY2" authorId="0">
      <text>
        <r>
          <rPr>
            <b/>
            <sz val="9"/>
            <color indexed="81"/>
            <rFont val="Tahoma"/>
            <family val="2"/>
          </rPr>
          <t>Ingrid Malmgren:</t>
        </r>
        <r>
          <rPr>
            <sz val="9"/>
            <color indexed="81"/>
            <rFont val="Tahoma"/>
            <family val="2"/>
          </rPr>
          <t xml:space="preserve">
prescriptive rebate program</t>
        </r>
      </text>
    </comment>
    <comment ref="ADZ2" authorId="0">
      <text>
        <r>
          <rPr>
            <b/>
            <sz val="9"/>
            <color indexed="81"/>
            <rFont val="Tahoma"/>
            <family val="2"/>
          </rPr>
          <t>Ingrid Malmgren:</t>
        </r>
        <r>
          <rPr>
            <sz val="9"/>
            <color indexed="81"/>
            <rFont val="Tahoma"/>
            <family val="2"/>
          </rPr>
          <t xml:space="preserve">
prescriptive rebate program</t>
        </r>
      </text>
    </comment>
    <comment ref="AEA2" authorId="0">
      <text>
        <r>
          <rPr>
            <b/>
            <sz val="9"/>
            <color indexed="81"/>
            <rFont val="Tahoma"/>
            <family val="2"/>
          </rPr>
          <t>Ingrid Malmgren:</t>
        </r>
        <r>
          <rPr>
            <sz val="9"/>
            <color indexed="81"/>
            <rFont val="Tahoma"/>
            <family val="2"/>
          </rPr>
          <t xml:space="preserve">
prescriptive rebate program</t>
        </r>
      </text>
    </comment>
    <comment ref="AEB2" authorId="0">
      <text>
        <r>
          <rPr>
            <b/>
            <sz val="9"/>
            <color indexed="81"/>
            <rFont val="Tahoma"/>
            <family val="2"/>
          </rPr>
          <t>Ingrid Malmgren:</t>
        </r>
        <r>
          <rPr>
            <sz val="9"/>
            <color indexed="81"/>
            <rFont val="Tahoma"/>
            <family val="2"/>
          </rPr>
          <t xml:space="preserve">
prescriptive rebate program</t>
        </r>
      </text>
    </comment>
    <comment ref="AEC2" authorId="0">
      <text>
        <r>
          <rPr>
            <b/>
            <sz val="9"/>
            <color indexed="81"/>
            <rFont val="Tahoma"/>
            <family val="2"/>
          </rPr>
          <t>Ingrid Malmgren:</t>
        </r>
        <r>
          <rPr>
            <sz val="9"/>
            <color indexed="81"/>
            <rFont val="Tahoma"/>
            <family val="2"/>
          </rPr>
          <t xml:space="preserve">
prescriptive rebate program</t>
        </r>
      </text>
    </comment>
    <comment ref="AED2" authorId="0">
      <text>
        <r>
          <rPr>
            <b/>
            <sz val="9"/>
            <color indexed="81"/>
            <rFont val="Tahoma"/>
            <family val="2"/>
          </rPr>
          <t>Ingrid Malmgren:</t>
        </r>
        <r>
          <rPr>
            <sz val="9"/>
            <color indexed="81"/>
            <rFont val="Tahoma"/>
            <family val="2"/>
          </rPr>
          <t xml:space="preserve">
prescriptive rebate program</t>
        </r>
      </text>
    </comment>
    <comment ref="AEE2" authorId="0">
      <text>
        <r>
          <rPr>
            <b/>
            <sz val="9"/>
            <color indexed="81"/>
            <rFont val="Tahoma"/>
            <family val="2"/>
          </rPr>
          <t>Ingrid Malmgren:</t>
        </r>
        <r>
          <rPr>
            <sz val="9"/>
            <color indexed="81"/>
            <rFont val="Tahoma"/>
            <family val="2"/>
          </rPr>
          <t xml:space="preserve">
prescriptive rebate program</t>
        </r>
      </text>
    </comment>
    <comment ref="AEF2" authorId="0">
      <text>
        <r>
          <rPr>
            <b/>
            <sz val="9"/>
            <color indexed="81"/>
            <rFont val="Tahoma"/>
            <family val="2"/>
          </rPr>
          <t>Ingrid Malmgren:</t>
        </r>
        <r>
          <rPr>
            <sz val="9"/>
            <color indexed="81"/>
            <rFont val="Tahoma"/>
            <family val="2"/>
          </rPr>
          <t xml:space="preserve">
prescriptive rebate program</t>
        </r>
      </text>
    </comment>
    <comment ref="AEG2" authorId="0">
      <text>
        <r>
          <rPr>
            <b/>
            <sz val="9"/>
            <color indexed="81"/>
            <rFont val="Tahoma"/>
            <family val="2"/>
          </rPr>
          <t>Ingrid Malmgren:</t>
        </r>
        <r>
          <rPr>
            <sz val="9"/>
            <color indexed="81"/>
            <rFont val="Tahoma"/>
            <family val="2"/>
          </rPr>
          <t xml:space="preserve">
prescriptive rebate program</t>
        </r>
      </text>
    </comment>
    <comment ref="AEH2" authorId="0">
      <text>
        <r>
          <rPr>
            <b/>
            <sz val="9"/>
            <color indexed="81"/>
            <rFont val="Tahoma"/>
            <family val="2"/>
          </rPr>
          <t>Ingrid Malmgren:</t>
        </r>
        <r>
          <rPr>
            <sz val="9"/>
            <color indexed="81"/>
            <rFont val="Tahoma"/>
            <family val="2"/>
          </rPr>
          <t xml:space="preserve">
prescriptive rebate program</t>
        </r>
      </text>
    </comment>
    <comment ref="AEI2" authorId="0">
      <text>
        <r>
          <rPr>
            <b/>
            <sz val="9"/>
            <color indexed="81"/>
            <rFont val="Tahoma"/>
            <family val="2"/>
          </rPr>
          <t>Ingrid Malmgren:</t>
        </r>
        <r>
          <rPr>
            <sz val="9"/>
            <color indexed="81"/>
            <rFont val="Tahoma"/>
            <family val="2"/>
          </rPr>
          <t xml:space="preserve">
prescriptive rebate program</t>
        </r>
      </text>
    </comment>
    <comment ref="AEJ2" authorId="0">
      <text>
        <r>
          <rPr>
            <b/>
            <sz val="9"/>
            <color indexed="81"/>
            <rFont val="Tahoma"/>
            <family val="2"/>
          </rPr>
          <t>Ingrid Malmgren:</t>
        </r>
        <r>
          <rPr>
            <sz val="9"/>
            <color indexed="81"/>
            <rFont val="Tahoma"/>
            <family val="2"/>
          </rPr>
          <t xml:space="preserve">
prescriptive rebate program</t>
        </r>
      </text>
    </comment>
    <comment ref="AEK2" authorId="0">
      <text>
        <r>
          <rPr>
            <b/>
            <sz val="9"/>
            <color indexed="81"/>
            <rFont val="Tahoma"/>
            <family val="2"/>
          </rPr>
          <t>Ingrid Malmgren:</t>
        </r>
        <r>
          <rPr>
            <sz val="9"/>
            <color indexed="81"/>
            <rFont val="Tahoma"/>
            <family val="2"/>
          </rPr>
          <t xml:space="preserve">
prescriptive rebate program</t>
        </r>
      </text>
    </comment>
    <comment ref="AEL2" authorId="0">
      <text>
        <r>
          <rPr>
            <b/>
            <sz val="9"/>
            <color indexed="81"/>
            <rFont val="Tahoma"/>
            <family val="2"/>
          </rPr>
          <t>Ingrid Malmgren:</t>
        </r>
        <r>
          <rPr>
            <sz val="9"/>
            <color indexed="81"/>
            <rFont val="Tahoma"/>
            <family val="2"/>
          </rPr>
          <t xml:space="preserve">
prescriptive rebate program</t>
        </r>
      </text>
    </comment>
    <comment ref="AEM2" authorId="0">
      <text>
        <r>
          <rPr>
            <b/>
            <sz val="9"/>
            <color indexed="81"/>
            <rFont val="Tahoma"/>
            <family val="2"/>
          </rPr>
          <t>Ingrid Malmgren:</t>
        </r>
        <r>
          <rPr>
            <sz val="9"/>
            <color indexed="81"/>
            <rFont val="Tahoma"/>
            <family val="2"/>
          </rPr>
          <t xml:space="preserve">
prescriptive rebate program</t>
        </r>
      </text>
    </comment>
    <comment ref="AEN2" authorId="0">
      <text>
        <r>
          <rPr>
            <b/>
            <sz val="9"/>
            <color indexed="81"/>
            <rFont val="Tahoma"/>
            <family val="2"/>
          </rPr>
          <t>Ingrid Malmgren:</t>
        </r>
        <r>
          <rPr>
            <sz val="9"/>
            <color indexed="81"/>
            <rFont val="Tahoma"/>
            <family val="2"/>
          </rPr>
          <t xml:space="preserve">
prescriptive rebate program</t>
        </r>
      </text>
    </comment>
    <comment ref="AEO2" authorId="0">
      <text>
        <r>
          <rPr>
            <b/>
            <sz val="9"/>
            <color indexed="81"/>
            <rFont val="Tahoma"/>
            <family val="2"/>
          </rPr>
          <t>Ingrid Malmgren:</t>
        </r>
        <r>
          <rPr>
            <sz val="9"/>
            <color indexed="81"/>
            <rFont val="Tahoma"/>
            <family val="2"/>
          </rPr>
          <t xml:space="preserve">
prescriptive rebate program</t>
        </r>
      </text>
    </comment>
    <comment ref="AEP2" authorId="0">
      <text>
        <r>
          <rPr>
            <b/>
            <sz val="9"/>
            <color indexed="81"/>
            <rFont val="Tahoma"/>
            <family val="2"/>
          </rPr>
          <t>Ingrid Malmgren:</t>
        </r>
        <r>
          <rPr>
            <sz val="9"/>
            <color indexed="81"/>
            <rFont val="Tahoma"/>
            <family val="2"/>
          </rPr>
          <t xml:space="preserve">
prescriptive rebate program</t>
        </r>
      </text>
    </comment>
    <comment ref="AEQ2" authorId="0">
      <text>
        <r>
          <rPr>
            <b/>
            <sz val="9"/>
            <color indexed="81"/>
            <rFont val="Tahoma"/>
            <family val="2"/>
          </rPr>
          <t>Ingrid Malmgren:</t>
        </r>
        <r>
          <rPr>
            <sz val="9"/>
            <color indexed="81"/>
            <rFont val="Tahoma"/>
            <family val="2"/>
          </rPr>
          <t xml:space="preserve">
prescriptive rebate program</t>
        </r>
      </text>
    </comment>
    <comment ref="AER2" authorId="0">
      <text>
        <r>
          <rPr>
            <b/>
            <sz val="9"/>
            <color indexed="81"/>
            <rFont val="Tahoma"/>
            <family val="2"/>
          </rPr>
          <t>Ingrid Malmgren:</t>
        </r>
        <r>
          <rPr>
            <sz val="9"/>
            <color indexed="81"/>
            <rFont val="Tahoma"/>
            <family val="2"/>
          </rPr>
          <t xml:space="preserve">
prescriptive rebate program</t>
        </r>
      </text>
    </comment>
    <comment ref="AES2" authorId="0">
      <text>
        <r>
          <rPr>
            <b/>
            <sz val="9"/>
            <color indexed="81"/>
            <rFont val="Tahoma"/>
            <family val="2"/>
          </rPr>
          <t>Ingrid Malmgren:</t>
        </r>
        <r>
          <rPr>
            <sz val="9"/>
            <color indexed="81"/>
            <rFont val="Tahoma"/>
            <family val="2"/>
          </rPr>
          <t xml:space="preserve">
prescriptive rebate program</t>
        </r>
      </text>
    </comment>
    <comment ref="AET2" authorId="0">
      <text>
        <r>
          <rPr>
            <b/>
            <sz val="9"/>
            <color indexed="81"/>
            <rFont val="Tahoma"/>
            <family val="2"/>
          </rPr>
          <t>Ingrid Malmgren:</t>
        </r>
        <r>
          <rPr>
            <sz val="9"/>
            <color indexed="81"/>
            <rFont val="Tahoma"/>
            <family val="2"/>
          </rPr>
          <t xml:space="preserve">
prescriptive rebate program</t>
        </r>
      </text>
    </comment>
    <comment ref="AEU2" authorId="0">
      <text>
        <r>
          <rPr>
            <b/>
            <sz val="9"/>
            <color indexed="81"/>
            <rFont val="Tahoma"/>
            <family val="2"/>
          </rPr>
          <t>Ingrid Malmgren:</t>
        </r>
        <r>
          <rPr>
            <sz val="9"/>
            <color indexed="81"/>
            <rFont val="Tahoma"/>
            <family val="2"/>
          </rPr>
          <t xml:space="preserve">
prescriptive rebate program</t>
        </r>
      </text>
    </comment>
    <comment ref="AEV2" authorId="0">
      <text>
        <r>
          <rPr>
            <b/>
            <sz val="9"/>
            <color indexed="81"/>
            <rFont val="Tahoma"/>
            <family val="2"/>
          </rPr>
          <t>Ingrid Malmgren:</t>
        </r>
        <r>
          <rPr>
            <sz val="9"/>
            <color indexed="81"/>
            <rFont val="Tahoma"/>
            <family val="2"/>
          </rPr>
          <t xml:space="preserve">
prescriptive rebate program</t>
        </r>
      </text>
    </comment>
    <comment ref="AEW2" authorId="0">
      <text>
        <r>
          <rPr>
            <b/>
            <sz val="9"/>
            <color indexed="81"/>
            <rFont val="Tahoma"/>
            <family val="2"/>
          </rPr>
          <t>Ingrid Malmgren:</t>
        </r>
        <r>
          <rPr>
            <sz val="9"/>
            <color indexed="81"/>
            <rFont val="Tahoma"/>
            <family val="2"/>
          </rPr>
          <t xml:space="preserve">
prescriptive rebate program</t>
        </r>
      </text>
    </comment>
    <comment ref="AEX2" authorId="0">
      <text>
        <r>
          <rPr>
            <b/>
            <sz val="9"/>
            <color indexed="81"/>
            <rFont val="Tahoma"/>
            <family val="2"/>
          </rPr>
          <t>Ingrid Malmgren:</t>
        </r>
        <r>
          <rPr>
            <sz val="9"/>
            <color indexed="81"/>
            <rFont val="Tahoma"/>
            <family val="2"/>
          </rPr>
          <t xml:space="preserve">
prescriptive rebate program</t>
        </r>
      </text>
    </comment>
    <comment ref="AEY2" authorId="0">
      <text>
        <r>
          <rPr>
            <b/>
            <sz val="9"/>
            <color indexed="81"/>
            <rFont val="Tahoma"/>
            <family val="2"/>
          </rPr>
          <t>Ingrid Malmgren:</t>
        </r>
        <r>
          <rPr>
            <sz val="9"/>
            <color indexed="81"/>
            <rFont val="Tahoma"/>
            <family val="2"/>
          </rPr>
          <t xml:space="preserve">
prescriptive rebate program</t>
        </r>
      </text>
    </comment>
    <comment ref="AEZ2" authorId="0">
      <text>
        <r>
          <rPr>
            <b/>
            <sz val="9"/>
            <color indexed="81"/>
            <rFont val="Tahoma"/>
            <family val="2"/>
          </rPr>
          <t>Ingrid Malmgren:</t>
        </r>
        <r>
          <rPr>
            <sz val="9"/>
            <color indexed="81"/>
            <rFont val="Tahoma"/>
            <family val="2"/>
          </rPr>
          <t xml:space="preserve">
prescriptive rebate program</t>
        </r>
      </text>
    </comment>
    <comment ref="AFA2" authorId="0">
      <text>
        <r>
          <rPr>
            <b/>
            <sz val="9"/>
            <color indexed="81"/>
            <rFont val="Tahoma"/>
            <family val="2"/>
          </rPr>
          <t>Ingrid Malmgren:</t>
        </r>
        <r>
          <rPr>
            <sz val="9"/>
            <color indexed="81"/>
            <rFont val="Tahoma"/>
            <family val="2"/>
          </rPr>
          <t xml:space="preserve">
prescriptive rebate program</t>
        </r>
      </text>
    </comment>
    <comment ref="AFB2" authorId="0">
      <text>
        <r>
          <rPr>
            <b/>
            <sz val="9"/>
            <color indexed="81"/>
            <rFont val="Tahoma"/>
            <family val="2"/>
          </rPr>
          <t>Ingrid Malmgren:</t>
        </r>
        <r>
          <rPr>
            <sz val="9"/>
            <color indexed="81"/>
            <rFont val="Tahoma"/>
            <family val="2"/>
          </rPr>
          <t xml:space="preserve">
prescriptive rebate program</t>
        </r>
      </text>
    </comment>
    <comment ref="AFC2" authorId="0">
      <text>
        <r>
          <rPr>
            <b/>
            <sz val="9"/>
            <color indexed="81"/>
            <rFont val="Tahoma"/>
            <family val="2"/>
          </rPr>
          <t>Ingrid Malmgren:</t>
        </r>
        <r>
          <rPr>
            <sz val="9"/>
            <color indexed="81"/>
            <rFont val="Tahoma"/>
            <family val="2"/>
          </rPr>
          <t xml:space="preserve">
prescriptive rebate program</t>
        </r>
      </text>
    </comment>
    <comment ref="AFD2" authorId="0">
      <text>
        <r>
          <rPr>
            <b/>
            <sz val="9"/>
            <color indexed="81"/>
            <rFont val="Tahoma"/>
            <family val="2"/>
          </rPr>
          <t>Ingrid Malmgren:</t>
        </r>
        <r>
          <rPr>
            <sz val="9"/>
            <color indexed="81"/>
            <rFont val="Tahoma"/>
            <family val="2"/>
          </rPr>
          <t xml:space="preserve">
prescriptive rebate program</t>
        </r>
      </text>
    </comment>
    <comment ref="AFE2" authorId="0">
      <text>
        <r>
          <rPr>
            <b/>
            <sz val="9"/>
            <color indexed="81"/>
            <rFont val="Tahoma"/>
            <family val="2"/>
          </rPr>
          <t>Ingrid Malmgren:</t>
        </r>
        <r>
          <rPr>
            <sz val="9"/>
            <color indexed="81"/>
            <rFont val="Tahoma"/>
            <family val="2"/>
          </rPr>
          <t xml:space="preserve">
prescriptive rebate program</t>
        </r>
      </text>
    </comment>
    <comment ref="AFF2" authorId="0">
      <text>
        <r>
          <rPr>
            <b/>
            <sz val="9"/>
            <color indexed="81"/>
            <rFont val="Tahoma"/>
            <family val="2"/>
          </rPr>
          <t>Ingrid Malmgren:</t>
        </r>
        <r>
          <rPr>
            <sz val="9"/>
            <color indexed="81"/>
            <rFont val="Tahoma"/>
            <family val="2"/>
          </rPr>
          <t xml:space="preserve">
prescriptive rebate program</t>
        </r>
      </text>
    </comment>
    <comment ref="AFG2" authorId="0">
      <text>
        <r>
          <rPr>
            <b/>
            <sz val="9"/>
            <color indexed="81"/>
            <rFont val="Tahoma"/>
            <family val="2"/>
          </rPr>
          <t>Ingrid Malmgren:</t>
        </r>
        <r>
          <rPr>
            <sz val="9"/>
            <color indexed="81"/>
            <rFont val="Tahoma"/>
            <family val="2"/>
          </rPr>
          <t xml:space="preserve">
prescriptive rebate program</t>
        </r>
      </text>
    </comment>
    <comment ref="AFH2" authorId="0">
      <text>
        <r>
          <rPr>
            <b/>
            <sz val="9"/>
            <color indexed="81"/>
            <rFont val="Tahoma"/>
            <family val="2"/>
          </rPr>
          <t>Ingrid Malmgren:</t>
        </r>
        <r>
          <rPr>
            <sz val="9"/>
            <color indexed="81"/>
            <rFont val="Tahoma"/>
            <family val="2"/>
          </rPr>
          <t xml:space="preserve">
prescriptive rebate program</t>
        </r>
      </text>
    </comment>
    <comment ref="AFI2" authorId="0">
      <text>
        <r>
          <rPr>
            <b/>
            <sz val="9"/>
            <color indexed="81"/>
            <rFont val="Tahoma"/>
            <family val="2"/>
          </rPr>
          <t>Ingrid Malmgren:</t>
        </r>
        <r>
          <rPr>
            <sz val="9"/>
            <color indexed="81"/>
            <rFont val="Tahoma"/>
            <family val="2"/>
          </rPr>
          <t xml:space="preserve">
prescriptive rebate program</t>
        </r>
      </text>
    </comment>
    <comment ref="AFJ2" authorId="0">
      <text>
        <r>
          <rPr>
            <b/>
            <sz val="9"/>
            <color indexed="81"/>
            <rFont val="Tahoma"/>
            <family val="2"/>
          </rPr>
          <t>Ingrid Malmgren:</t>
        </r>
        <r>
          <rPr>
            <sz val="9"/>
            <color indexed="81"/>
            <rFont val="Tahoma"/>
            <family val="2"/>
          </rPr>
          <t xml:space="preserve">
prescriptive rebate program</t>
        </r>
      </text>
    </comment>
    <comment ref="AFK2" authorId="0">
      <text>
        <r>
          <rPr>
            <b/>
            <sz val="9"/>
            <color indexed="81"/>
            <rFont val="Tahoma"/>
            <family val="2"/>
          </rPr>
          <t>Ingrid Malmgren:</t>
        </r>
        <r>
          <rPr>
            <sz val="9"/>
            <color indexed="81"/>
            <rFont val="Tahoma"/>
            <family val="2"/>
          </rPr>
          <t xml:space="preserve">
prescriptive rebate program</t>
        </r>
      </text>
    </comment>
    <comment ref="AFL2" authorId="0">
      <text>
        <r>
          <rPr>
            <b/>
            <sz val="9"/>
            <color indexed="81"/>
            <rFont val="Tahoma"/>
            <family val="2"/>
          </rPr>
          <t>Ingrid Malmgren:</t>
        </r>
        <r>
          <rPr>
            <sz val="9"/>
            <color indexed="81"/>
            <rFont val="Tahoma"/>
            <family val="2"/>
          </rPr>
          <t xml:space="preserve">
prescriptive rebate program</t>
        </r>
      </text>
    </comment>
    <comment ref="AFM2" authorId="0">
      <text>
        <r>
          <rPr>
            <b/>
            <sz val="9"/>
            <color indexed="81"/>
            <rFont val="Tahoma"/>
            <family val="2"/>
          </rPr>
          <t>Ingrid Malmgren:</t>
        </r>
        <r>
          <rPr>
            <sz val="9"/>
            <color indexed="81"/>
            <rFont val="Tahoma"/>
            <family val="2"/>
          </rPr>
          <t xml:space="preserve">
prescriptive rebate program</t>
        </r>
      </text>
    </comment>
    <comment ref="AFN2" authorId="0">
      <text>
        <r>
          <rPr>
            <b/>
            <sz val="9"/>
            <color indexed="81"/>
            <rFont val="Tahoma"/>
            <family val="2"/>
          </rPr>
          <t>Ingrid Malmgren:</t>
        </r>
        <r>
          <rPr>
            <sz val="9"/>
            <color indexed="81"/>
            <rFont val="Tahoma"/>
            <family val="2"/>
          </rPr>
          <t xml:space="preserve">
prescriptive rebate program</t>
        </r>
      </text>
    </comment>
    <comment ref="AFO2" authorId="0">
      <text>
        <r>
          <rPr>
            <b/>
            <sz val="9"/>
            <color indexed="81"/>
            <rFont val="Tahoma"/>
            <family val="2"/>
          </rPr>
          <t>Ingrid Malmgren:</t>
        </r>
        <r>
          <rPr>
            <sz val="9"/>
            <color indexed="81"/>
            <rFont val="Tahoma"/>
            <family val="2"/>
          </rPr>
          <t xml:space="preserve">
prescriptive rebate program</t>
        </r>
      </text>
    </comment>
    <comment ref="AFP2" authorId="0">
      <text>
        <r>
          <rPr>
            <b/>
            <sz val="9"/>
            <color indexed="81"/>
            <rFont val="Tahoma"/>
            <family val="2"/>
          </rPr>
          <t>Ingrid Malmgren:</t>
        </r>
        <r>
          <rPr>
            <sz val="9"/>
            <color indexed="81"/>
            <rFont val="Tahoma"/>
            <family val="2"/>
          </rPr>
          <t xml:space="preserve">
prescriptive rebate program</t>
        </r>
      </text>
    </comment>
    <comment ref="AFQ2" authorId="0">
      <text>
        <r>
          <rPr>
            <b/>
            <sz val="9"/>
            <color indexed="81"/>
            <rFont val="Tahoma"/>
            <family val="2"/>
          </rPr>
          <t>Ingrid Malmgren:</t>
        </r>
        <r>
          <rPr>
            <sz val="9"/>
            <color indexed="81"/>
            <rFont val="Tahoma"/>
            <family val="2"/>
          </rPr>
          <t xml:space="preserve">
prescriptive rebate program</t>
        </r>
      </text>
    </comment>
    <comment ref="AFR2" authorId="0">
      <text>
        <r>
          <rPr>
            <b/>
            <sz val="9"/>
            <color indexed="81"/>
            <rFont val="Tahoma"/>
            <family val="2"/>
          </rPr>
          <t>Ingrid Malmgren:</t>
        </r>
        <r>
          <rPr>
            <sz val="9"/>
            <color indexed="81"/>
            <rFont val="Tahoma"/>
            <family val="2"/>
          </rPr>
          <t xml:space="preserve">
prescriptive rebate program</t>
        </r>
      </text>
    </comment>
    <comment ref="AFS2" authorId="0">
      <text>
        <r>
          <rPr>
            <b/>
            <sz val="9"/>
            <color indexed="81"/>
            <rFont val="Tahoma"/>
            <family val="2"/>
          </rPr>
          <t>Ingrid Malmgren:</t>
        </r>
        <r>
          <rPr>
            <sz val="9"/>
            <color indexed="81"/>
            <rFont val="Tahoma"/>
            <family val="2"/>
          </rPr>
          <t xml:space="preserve">
prescriptive rebate program</t>
        </r>
      </text>
    </comment>
    <comment ref="AFT2" authorId="0">
      <text>
        <r>
          <rPr>
            <b/>
            <sz val="9"/>
            <color indexed="81"/>
            <rFont val="Tahoma"/>
            <family val="2"/>
          </rPr>
          <t>Ingrid Malmgren:</t>
        </r>
        <r>
          <rPr>
            <sz val="9"/>
            <color indexed="81"/>
            <rFont val="Tahoma"/>
            <family val="2"/>
          </rPr>
          <t xml:space="preserve">
prescriptive rebate program</t>
        </r>
      </text>
    </comment>
    <comment ref="AFU2" authorId="0">
      <text>
        <r>
          <rPr>
            <b/>
            <sz val="9"/>
            <color indexed="81"/>
            <rFont val="Tahoma"/>
            <family val="2"/>
          </rPr>
          <t>Ingrid Malmgren:</t>
        </r>
        <r>
          <rPr>
            <sz val="9"/>
            <color indexed="81"/>
            <rFont val="Tahoma"/>
            <family val="2"/>
          </rPr>
          <t xml:space="preserve">
prescriptive rebate program</t>
        </r>
      </text>
    </comment>
    <comment ref="AFV2" authorId="0">
      <text>
        <r>
          <rPr>
            <b/>
            <sz val="9"/>
            <color indexed="81"/>
            <rFont val="Tahoma"/>
            <family val="2"/>
          </rPr>
          <t>Ingrid Malmgren:</t>
        </r>
        <r>
          <rPr>
            <sz val="9"/>
            <color indexed="81"/>
            <rFont val="Tahoma"/>
            <family val="2"/>
          </rPr>
          <t xml:space="preserve">
prescriptive rebate program</t>
        </r>
      </text>
    </comment>
    <comment ref="AFW2" authorId="0">
      <text>
        <r>
          <rPr>
            <b/>
            <sz val="9"/>
            <color indexed="81"/>
            <rFont val="Tahoma"/>
            <family val="2"/>
          </rPr>
          <t>Ingrid Malmgren:</t>
        </r>
        <r>
          <rPr>
            <sz val="9"/>
            <color indexed="81"/>
            <rFont val="Tahoma"/>
            <family val="2"/>
          </rPr>
          <t xml:space="preserve">
prescriptive rebate program</t>
        </r>
      </text>
    </comment>
    <comment ref="AFX2" authorId="0">
      <text>
        <r>
          <rPr>
            <b/>
            <sz val="9"/>
            <color indexed="81"/>
            <rFont val="Tahoma"/>
            <family val="2"/>
          </rPr>
          <t>Ingrid Malmgren:</t>
        </r>
        <r>
          <rPr>
            <sz val="9"/>
            <color indexed="81"/>
            <rFont val="Tahoma"/>
            <family val="2"/>
          </rPr>
          <t xml:space="preserve">
prescriptive rebate program</t>
        </r>
      </text>
    </comment>
    <comment ref="AFY2" authorId="0">
      <text>
        <r>
          <rPr>
            <b/>
            <sz val="9"/>
            <color indexed="81"/>
            <rFont val="Tahoma"/>
            <family val="2"/>
          </rPr>
          <t>Ingrid Malmgren:</t>
        </r>
        <r>
          <rPr>
            <sz val="9"/>
            <color indexed="81"/>
            <rFont val="Tahoma"/>
            <family val="2"/>
          </rPr>
          <t xml:space="preserve">
prescriptive rebate program</t>
        </r>
      </text>
    </comment>
    <comment ref="AFZ2" authorId="0">
      <text>
        <r>
          <rPr>
            <b/>
            <sz val="9"/>
            <color indexed="81"/>
            <rFont val="Tahoma"/>
            <family val="2"/>
          </rPr>
          <t>Ingrid Malmgren:</t>
        </r>
        <r>
          <rPr>
            <sz val="9"/>
            <color indexed="81"/>
            <rFont val="Tahoma"/>
            <family val="2"/>
          </rPr>
          <t xml:space="preserve">
prescriptive rebate program</t>
        </r>
      </text>
    </comment>
    <comment ref="AGA2" authorId="0">
      <text>
        <r>
          <rPr>
            <b/>
            <sz val="9"/>
            <color indexed="81"/>
            <rFont val="Tahoma"/>
            <family val="2"/>
          </rPr>
          <t>Ingrid Malmgren:</t>
        </r>
        <r>
          <rPr>
            <sz val="9"/>
            <color indexed="81"/>
            <rFont val="Tahoma"/>
            <family val="2"/>
          </rPr>
          <t xml:space="preserve">
prescriptive rebate program</t>
        </r>
      </text>
    </comment>
    <comment ref="AGB2" authorId="0">
      <text>
        <r>
          <rPr>
            <b/>
            <sz val="9"/>
            <color indexed="81"/>
            <rFont val="Tahoma"/>
            <family val="2"/>
          </rPr>
          <t>Ingrid Malmgren:</t>
        </r>
        <r>
          <rPr>
            <sz val="9"/>
            <color indexed="81"/>
            <rFont val="Tahoma"/>
            <family val="2"/>
          </rPr>
          <t xml:space="preserve">
prescriptive rebate program</t>
        </r>
      </text>
    </comment>
    <comment ref="AGC2" authorId="0">
      <text>
        <r>
          <rPr>
            <b/>
            <sz val="9"/>
            <color indexed="81"/>
            <rFont val="Tahoma"/>
            <family val="2"/>
          </rPr>
          <t>Ingrid Malmgren:</t>
        </r>
        <r>
          <rPr>
            <sz val="9"/>
            <color indexed="81"/>
            <rFont val="Tahoma"/>
            <family val="2"/>
          </rPr>
          <t xml:space="preserve">
prescriptive rebate program</t>
        </r>
      </text>
    </comment>
    <comment ref="AGD2" authorId="0">
      <text>
        <r>
          <rPr>
            <b/>
            <sz val="9"/>
            <color indexed="81"/>
            <rFont val="Tahoma"/>
            <family val="2"/>
          </rPr>
          <t>Ingrid Malmgren:</t>
        </r>
        <r>
          <rPr>
            <sz val="9"/>
            <color indexed="81"/>
            <rFont val="Tahoma"/>
            <family val="2"/>
          </rPr>
          <t xml:space="preserve">
prescriptive rebate program</t>
        </r>
      </text>
    </comment>
    <comment ref="AGE2" authorId="0">
      <text>
        <r>
          <rPr>
            <b/>
            <sz val="9"/>
            <color indexed="81"/>
            <rFont val="Tahoma"/>
            <family val="2"/>
          </rPr>
          <t>Ingrid Malmgren:</t>
        </r>
        <r>
          <rPr>
            <sz val="9"/>
            <color indexed="81"/>
            <rFont val="Tahoma"/>
            <family val="2"/>
          </rPr>
          <t xml:space="preserve">
prescriptive rebate program</t>
        </r>
      </text>
    </comment>
    <comment ref="AGF2" authorId="0">
      <text>
        <r>
          <rPr>
            <b/>
            <sz val="9"/>
            <color indexed="81"/>
            <rFont val="Tahoma"/>
            <family val="2"/>
          </rPr>
          <t>Ingrid Malmgren:</t>
        </r>
        <r>
          <rPr>
            <sz val="9"/>
            <color indexed="81"/>
            <rFont val="Tahoma"/>
            <family val="2"/>
          </rPr>
          <t xml:space="preserve">
prescriptive rebate program</t>
        </r>
      </text>
    </comment>
    <comment ref="AGG2" authorId="0">
      <text>
        <r>
          <rPr>
            <b/>
            <sz val="9"/>
            <color indexed="81"/>
            <rFont val="Tahoma"/>
            <family val="2"/>
          </rPr>
          <t>Ingrid Malmgren:</t>
        </r>
        <r>
          <rPr>
            <sz val="9"/>
            <color indexed="81"/>
            <rFont val="Tahoma"/>
            <family val="2"/>
          </rPr>
          <t xml:space="preserve">
prescriptive rebate program</t>
        </r>
      </text>
    </comment>
    <comment ref="AGH2" authorId="0">
      <text>
        <r>
          <rPr>
            <b/>
            <sz val="9"/>
            <color indexed="81"/>
            <rFont val="Tahoma"/>
            <family val="2"/>
          </rPr>
          <t>Ingrid Malmgren:</t>
        </r>
        <r>
          <rPr>
            <sz val="9"/>
            <color indexed="81"/>
            <rFont val="Tahoma"/>
            <family val="2"/>
          </rPr>
          <t xml:space="preserve">
prescriptive rebate program</t>
        </r>
      </text>
    </comment>
    <comment ref="AGI2" authorId="0">
      <text>
        <r>
          <rPr>
            <b/>
            <sz val="9"/>
            <color indexed="81"/>
            <rFont val="Tahoma"/>
            <family val="2"/>
          </rPr>
          <t>Ingrid Malmgren:</t>
        </r>
        <r>
          <rPr>
            <sz val="9"/>
            <color indexed="81"/>
            <rFont val="Tahoma"/>
            <family val="2"/>
          </rPr>
          <t xml:space="preserve">
prescriptive rebate program</t>
        </r>
      </text>
    </comment>
    <comment ref="AGJ2" authorId="0">
      <text>
        <r>
          <rPr>
            <b/>
            <sz val="9"/>
            <color indexed="81"/>
            <rFont val="Tahoma"/>
            <family val="2"/>
          </rPr>
          <t>Ingrid Malmgren:</t>
        </r>
        <r>
          <rPr>
            <sz val="9"/>
            <color indexed="81"/>
            <rFont val="Tahoma"/>
            <family val="2"/>
          </rPr>
          <t xml:space="preserve">
prescriptive rebate program</t>
        </r>
      </text>
    </comment>
    <comment ref="AGK2" authorId="0">
      <text>
        <r>
          <rPr>
            <b/>
            <sz val="9"/>
            <color indexed="81"/>
            <rFont val="Tahoma"/>
            <family val="2"/>
          </rPr>
          <t>Ingrid Malmgren:</t>
        </r>
        <r>
          <rPr>
            <sz val="9"/>
            <color indexed="81"/>
            <rFont val="Tahoma"/>
            <family val="2"/>
          </rPr>
          <t xml:space="preserve">
prescriptive rebate program</t>
        </r>
      </text>
    </comment>
    <comment ref="AGL2" authorId="0">
      <text>
        <r>
          <rPr>
            <b/>
            <sz val="9"/>
            <color indexed="81"/>
            <rFont val="Tahoma"/>
            <family val="2"/>
          </rPr>
          <t>Ingrid Malmgren:</t>
        </r>
        <r>
          <rPr>
            <sz val="9"/>
            <color indexed="81"/>
            <rFont val="Tahoma"/>
            <family val="2"/>
          </rPr>
          <t xml:space="preserve">
prescriptive rebate program</t>
        </r>
      </text>
    </comment>
    <comment ref="AGM2" authorId="0">
      <text>
        <r>
          <rPr>
            <b/>
            <sz val="9"/>
            <color indexed="81"/>
            <rFont val="Tahoma"/>
            <family val="2"/>
          </rPr>
          <t>Ingrid Malmgren:</t>
        </r>
        <r>
          <rPr>
            <sz val="9"/>
            <color indexed="81"/>
            <rFont val="Tahoma"/>
            <family val="2"/>
          </rPr>
          <t xml:space="preserve">
prescriptive rebate program</t>
        </r>
      </text>
    </comment>
    <comment ref="AGN2" authorId="0">
      <text>
        <r>
          <rPr>
            <b/>
            <sz val="9"/>
            <color indexed="81"/>
            <rFont val="Tahoma"/>
            <family val="2"/>
          </rPr>
          <t>Ingrid Malmgren:</t>
        </r>
        <r>
          <rPr>
            <sz val="9"/>
            <color indexed="81"/>
            <rFont val="Tahoma"/>
            <family val="2"/>
          </rPr>
          <t xml:space="preserve">
prescriptive rebate program</t>
        </r>
      </text>
    </comment>
    <comment ref="AGO2" authorId="0">
      <text>
        <r>
          <rPr>
            <b/>
            <sz val="9"/>
            <color indexed="81"/>
            <rFont val="Tahoma"/>
            <family val="2"/>
          </rPr>
          <t>Ingrid Malmgren:</t>
        </r>
        <r>
          <rPr>
            <sz val="9"/>
            <color indexed="81"/>
            <rFont val="Tahoma"/>
            <family val="2"/>
          </rPr>
          <t xml:space="preserve">
prescriptive rebate program</t>
        </r>
      </text>
    </comment>
    <comment ref="AGP2" authorId="0">
      <text>
        <r>
          <rPr>
            <b/>
            <sz val="9"/>
            <color indexed="81"/>
            <rFont val="Tahoma"/>
            <family val="2"/>
          </rPr>
          <t>Ingrid Malmgren:</t>
        </r>
        <r>
          <rPr>
            <sz val="9"/>
            <color indexed="81"/>
            <rFont val="Tahoma"/>
            <family val="2"/>
          </rPr>
          <t xml:space="preserve">
prescriptive rebate program</t>
        </r>
      </text>
    </comment>
    <comment ref="AGQ2" authorId="0">
      <text>
        <r>
          <rPr>
            <b/>
            <sz val="9"/>
            <color indexed="81"/>
            <rFont val="Tahoma"/>
            <family val="2"/>
          </rPr>
          <t>Ingrid Malmgren:</t>
        </r>
        <r>
          <rPr>
            <sz val="9"/>
            <color indexed="81"/>
            <rFont val="Tahoma"/>
            <family val="2"/>
          </rPr>
          <t xml:space="preserve">
prescriptive rebate program</t>
        </r>
      </text>
    </comment>
    <comment ref="AGR2" authorId="0">
      <text>
        <r>
          <rPr>
            <b/>
            <sz val="9"/>
            <color indexed="81"/>
            <rFont val="Tahoma"/>
            <family val="2"/>
          </rPr>
          <t>Ingrid Malmgren:</t>
        </r>
        <r>
          <rPr>
            <sz val="9"/>
            <color indexed="81"/>
            <rFont val="Tahoma"/>
            <family val="2"/>
          </rPr>
          <t xml:space="preserve">
prescriptive rebate program</t>
        </r>
      </text>
    </comment>
    <comment ref="AGS2" authorId="0">
      <text>
        <r>
          <rPr>
            <b/>
            <sz val="9"/>
            <color indexed="81"/>
            <rFont val="Tahoma"/>
            <family val="2"/>
          </rPr>
          <t>Ingrid Malmgren:</t>
        </r>
        <r>
          <rPr>
            <sz val="9"/>
            <color indexed="81"/>
            <rFont val="Tahoma"/>
            <family val="2"/>
          </rPr>
          <t xml:space="preserve">
prescriptive rebate program</t>
        </r>
      </text>
    </comment>
    <comment ref="AGT2" authorId="0">
      <text>
        <r>
          <rPr>
            <b/>
            <sz val="9"/>
            <color indexed="81"/>
            <rFont val="Tahoma"/>
            <family val="2"/>
          </rPr>
          <t>Ingrid Malmgren:</t>
        </r>
        <r>
          <rPr>
            <sz val="9"/>
            <color indexed="81"/>
            <rFont val="Tahoma"/>
            <family val="2"/>
          </rPr>
          <t xml:space="preserve">
prescriptive rebate program</t>
        </r>
      </text>
    </comment>
    <comment ref="AGU2" authorId="0">
      <text>
        <r>
          <rPr>
            <b/>
            <sz val="9"/>
            <color indexed="81"/>
            <rFont val="Tahoma"/>
            <family val="2"/>
          </rPr>
          <t>Ingrid Malmgren:</t>
        </r>
        <r>
          <rPr>
            <sz val="9"/>
            <color indexed="81"/>
            <rFont val="Tahoma"/>
            <family val="2"/>
          </rPr>
          <t xml:space="preserve">
prescriptive rebate program</t>
        </r>
      </text>
    </comment>
    <comment ref="AGV2" authorId="0">
      <text>
        <r>
          <rPr>
            <b/>
            <sz val="9"/>
            <color indexed="81"/>
            <rFont val="Tahoma"/>
            <family val="2"/>
          </rPr>
          <t>Ingrid Malmgren:</t>
        </r>
        <r>
          <rPr>
            <sz val="9"/>
            <color indexed="81"/>
            <rFont val="Tahoma"/>
            <family val="2"/>
          </rPr>
          <t xml:space="preserve">
prescriptive rebate program</t>
        </r>
      </text>
    </comment>
    <comment ref="AGW2" authorId="0">
      <text>
        <r>
          <rPr>
            <b/>
            <sz val="9"/>
            <color indexed="81"/>
            <rFont val="Tahoma"/>
            <family val="2"/>
          </rPr>
          <t>Ingrid Malmgren:</t>
        </r>
        <r>
          <rPr>
            <sz val="9"/>
            <color indexed="81"/>
            <rFont val="Tahoma"/>
            <family val="2"/>
          </rPr>
          <t xml:space="preserve">
prescriptive rebate program</t>
        </r>
      </text>
    </comment>
    <comment ref="AGX2" authorId="0">
      <text>
        <r>
          <rPr>
            <b/>
            <sz val="9"/>
            <color indexed="81"/>
            <rFont val="Tahoma"/>
            <family val="2"/>
          </rPr>
          <t>Ingrid Malmgren:</t>
        </r>
        <r>
          <rPr>
            <sz val="9"/>
            <color indexed="81"/>
            <rFont val="Tahoma"/>
            <family val="2"/>
          </rPr>
          <t xml:space="preserve">
prescriptive rebate program</t>
        </r>
      </text>
    </comment>
    <comment ref="AGY2" authorId="0">
      <text>
        <r>
          <rPr>
            <b/>
            <sz val="9"/>
            <color indexed="81"/>
            <rFont val="Tahoma"/>
            <family val="2"/>
          </rPr>
          <t>Ingrid Malmgren:</t>
        </r>
        <r>
          <rPr>
            <sz val="9"/>
            <color indexed="81"/>
            <rFont val="Tahoma"/>
            <family val="2"/>
          </rPr>
          <t xml:space="preserve">
prescriptive rebate program</t>
        </r>
      </text>
    </comment>
    <comment ref="AGZ2" authorId="0">
      <text>
        <r>
          <rPr>
            <b/>
            <sz val="9"/>
            <color indexed="81"/>
            <rFont val="Tahoma"/>
            <family val="2"/>
          </rPr>
          <t>Ingrid Malmgren:</t>
        </r>
        <r>
          <rPr>
            <sz val="9"/>
            <color indexed="81"/>
            <rFont val="Tahoma"/>
            <family val="2"/>
          </rPr>
          <t xml:space="preserve">
prescriptive rebate program</t>
        </r>
      </text>
    </comment>
    <comment ref="AHA2" authorId="0">
      <text>
        <r>
          <rPr>
            <b/>
            <sz val="9"/>
            <color indexed="81"/>
            <rFont val="Tahoma"/>
            <family val="2"/>
          </rPr>
          <t>Ingrid Malmgren:</t>
        </r>
        <r>
          <rPr>
            <sz val="9"/>
            <color indexed="81"/>
            <rFont val="Tahoma"/>
            <family val="2"/>
          </rPr>
          <t xml:space="preserve">
prescriptive rebate program</t>
        </r>
      </text>
    </comment>
    <comment ref="AHB2" authorId="0">
      <text>
        <r>
          <rPr>
            <b/>
            <sz val="9"/>
            <color indexed="81"/>
            <rFont val="Tahoma"/>
            <family val="2"/>
          </rPr>
          <t>Ingrid Malmgren:</t>
        </r>
        <r>
          <rPr>
            <sz val="9"/>
            <color indexed="81"/>
            <rFont val="Tahoma"/>
            <family val="2"/>
          </rPr>
          <t xml:space="preserve">
prescriptive rebate program</t>
        </r>
      </text>
    </comment>
    <comment ref="AHC2" authorId="0">
      <text>
        <r>
          <rPr>
            <b/>
            <sz val="9"/>
            <color indexed="81"/>
            <rFont val="Tahoma"/>
            <family val="2"/>
          </rPr>
          <t>Ingrid Malmgren:</t>
        </r>
        <r>
          <rPr>
            <sz val="9"/>
            <color indexed="81"/>
            <rFont val="Tahoma"/>
            <family val="2"/>
          </rPr>
          <t xml:space="preserve">
prescriptive rebate program</t>
        </r>
      </text>
    </comment>
    <comment ref="AHD2" authorId="0">
      <text>
        <r>
          <rPr>
            <b/>
            <sz val="9"/>
            <color indexed="81"/>
            <rFont val="Tahoma"/>
            <family val="2"/>
          </rPr>
          <t>Ingrid Malmgren:</t>
        </r>
        <r>
          <rPr>
            <sz val="9"/>
            <color indexed="81"/>
            <rFont val="Tahoma"/>
            <family val="2"/>
          </rPr>
          <t xml:space="preserve">
prescriptive rebate program</t>
        </r>
      </text>
    </comment>
    <comment ref="AHE2" authorId="0">
      <text>
        <r>
          <rPr>
            <b/>
            <sz val="9"/>
            <color indexed="81"/>
            <rFont val="Tahoma"/>
            <family val="2"/>
          </rPr>
          <t>Ingrid Malmgren:</t>
        </r>
        <r>
          <rPr>
            <sz val="9"/>
            <color indexed="81"/>
            <rFont val="Tahoma"/>
            <family val="2"/>
          </rPr>
          <t xml:space="preserve">
prescriptive rebate program</t>
        </r>
      </text>
    </comment>
    <comment ref="AHF2" authorId="0">
      <text>
        <r>
          <rPr>
            <b/>
            <sz val="9"/>
            <color indexed="81"/>
            <rFont val="Tahoma"/>
            <family val="2"/>
          </rPr>
          <t>Ingrid Malmgren:</t>
        </r>
        <r>
          <rPr>
            <sz val="9"/>
            <color indexed="81"/>
            <rFont val="Tahoma"/>
            <family val="2"/>
          </rPr>
          <t xml:space="preserve">
prescriptive rebate program</t>
        </r>
      </text>
    </comment>
    <comment ref="AHG2" authorId="0">
      <text>
        <r>
          <rPr>
            <b/>
            <sz val="9"/>
            <color indexed="81"/>
            <rFont val="Tahoma"/>
            <family val="2"/>
          </rPr>
          <t>Ingrid Malmgren:</t>
        </r>
        <r>
          <rPr>
            <sz val="9"/>
            <color indexed="81"/>
            <rFont val="Tahoma"/>
            <family val="2"/>
          </rPr>
          <t xml:space="preserve">
prescriptive rebate program</t>
        </r>
      </text>
    </comment>
    <comment ref="AHH2" authorId="0">
      <text>
        <r>
          <rPr>
            <b/>
            <sz val="9"/>
            <color indexed="81"/>
            <rFont val="Tahoma"/>
            <family val="2"/>
          </rPr>
          <t>Ingrid Malmgren:</t>
        </r>
        <r>
          <rPr>
            <sz val="9"/>
            <color indexed="81"/>
            <rFont val="Tahoma"/>
            <family val="2"/>
          </rPr>
          <t xml:space="preserve">
prescriptive rebate program</t>
        </r>
      </text>
    </comment>
    <comment ref="AHI2" authorId="0">
      <text>
        <r>
          <rPr>
            <b/>
            <sz val="9"/>
            <color indexed="81"/>
            <rFont val="Tahoma"/>
            <family val="2"/>
          </rPr>
          <t>Ingrid Malmgren:</t>
        </r>
        <r>
          <rPr>
            <sz val="9"/>
            <color indexed="81"/>
            <rFont val="Tahoma"/>
            <family val="2"/>
          </rPr>
          <t xml:space="preserve">
prescriptive rebate program</t>
        </r>
      </text>
    </comment>
    <comment ref="AHJ2" authorId="0">
      <text>
        <r>
          <rPr>
            <b/>
            <sz val="9"/>
            <color indexed="81"/>
            <rFont val="Tahoma"/>
            <family val="2"/>
          </rPr>
          <t>Ingrid Malmgren:</t>
        </r>
        <r>
          <rPr>
            <sz val="9"/>
            <color indexed="81"/>
            <rFont val="Tahoma"/>
            <family val="2"/>
          </rPr>
          <t xml:space="preserve">
prescriptive rebate program</t>
        </r>
      </text>
    </comment>
    <comment ref="AHK2" authorId="0">
      <text>
        <r>
          <rPr>
            <b/>
            <sz val="9"/>
            <color indexed="81"/>
            <rFont val="Tahoma"/>
            <family val="2"/>
          </rPr>
          <t>Ingrid Malmgren:</t>
        </r>
        <r>
          <rPr>
            <sz val="9"/>
            <color indexed="81"/>
            <rFont val="Tahoma"/>
            <family val="2"/>
          </rPr>
          <t xml:space="preserve">
prescriptive rebate program</t>
        </r>
      </text>
    </comment>
    <comment ref="AHL2" authorId="0">
      <text>
        <r>
          <rPr>
            <b/>
            <sz val="9"/>
            <color indexed="81"/>
            <rFont val="Tahoma"/>
            <family val="2"/>
          </rPr>
          <t>Ingrid Malmgren:</t>
        </r>
        <r>
          <rPr>
            <sz val="9"/>
            <color indexed="81"/>
            <rFont val="Tahoma"/>
            <family val="2"/>
          </rPr>
          <t xml:space="preserve">
prescriptive rebate program</t>
        </r>
      </text>
    </comment>
    <comment ref="AHM2" authorId="0">
      <text>
        <r>
          <rPr>
            <b/>
            <sz val="9"/>
            <color indexed="81"/>
            <rFont val="Tahoma"/>
            <family val="2"/>
          </rPr>
          <t>Ingrid Malmgren:</t>
        </r>
        <r>
          <rPr>
            <sz val="9"/>
            <color indexed="81"/>
            <rFont val="Tahoma"/>
            <family val="2"/>
          </rPr>
          <t xml:space="preserve">
prescriptive rebate program</t>
        </r>
      </text>
    </comment>
    <comment ref="AHN2" authorId="0">
      <text>
        <r>
          <rPr>
            <b/>
            <sz val="9"/>
            <color indexed="81"/>
            <rFont val="Tahoma"/>
            <family val="2"/>
          </rPr>
          <t>Ingrid Malmgren:</t>
        </r>
        <r>
          <rPr>
            <sz val="9"/>
            <color indexed="81"/>
            <rFont val="Tahoma"/>
            <family val="2"/>
          </rPr>
          <t xml:space="preserve">
prescriptive rebate program</t>
        </r>
      </text>
    </comment>
    <comment ref="AHO2" authorId="0">
      <text>
        <r>
          <rPr>
            <b/>
            <sz val="9"/>
            <color indexed="81"/>
            <rFont val="Tahoma"/>
            <family val="2"/>
          </rPr>
          <t>Ingrid Malmgren:</t>
        </r>
        <r>
          <rPr>
            <sz val="9"/>
            <color indexed="81"/>
            <rFont val="Tahoma"/>
            <family val="2"/>
          </rPr>
          <t xml:space="preserve">
prescriptive rebate program</t>
        </r>
      </text>
    </comment>
    <comment ref="AHP2" authorId="0">
      <text>
        <r>
          <rPr>
            <b/>
            <sz val="9"/>
            <color indexed="81"/>
            <rFont val="Tahoma"/>
            <family val="2"/>
          </rPr>
          <t>Ingrid Malmgren:</t>
        </r>
        <r>
          <rPr>
            <sz val="9"/>
            <color indexed="81"/>
            <rFont val="Tahoma"/>
            <family val="2"/>
          </rPr>
          <t xml:space="preserve">
prescriptive rebate program</t>
        </r>
      </text>
    </comment>
    <comment ref="AHQ2" authorId="0">
      <text>
        <r>
          <rPr>
            <b/>
            <sz val="9"/>
            <color indexed="81"/>
            <rFont val="Tahoma"/>
            <family val="2"/>
          </rPr>
          <t>Ingrid Malmgren:</t>
        </r>
        <r>
          <rPr>
            <sz val="9"/>
            <color indexed="81"/>
            <rFont val="Tahoma"/>
            <family val="2"/>
          </rPr>
          <t xml:space="preserve">
prescriptive rebate program</t>
        </r>
      </text>
    </comment>
    <comment ref="AHR2" authorId="0">
      <text>
        <r>
          <rPr>
            <b/>
            <sz val="9"/>
            <color indexed="81"/>
            <rFont val="Tahoma"/>
            <family val="2"/>
          </rPr>
          <t>Ingrid Malmgren:</t>
        </r>
        <r>
          <rPr>
            <sz val="9"/>
            <color indexed="81"/>
            <rFont val="Tahoma"/>
            <family val="2"/>
          </rPr>
          <t xml:space="preserve">
prescriptive rebate program</t>
        </r>
      </text>
    </comment>
    <comment ref="AHS2" authorId="0">
      <text>
        <r>
          <rPr>
            <b/>
            <sz val="9"/>
            <color indexed="81"/>
            <rFont val="Tahoma"/>
            <family val="2"/>
          </rPr>
          <t>Ingrid Malmgren:</t>
        </r>
        <r>
          <rPr>
            <sz val="9"/>
            <color indexed="81"/>
            <rFont val="Tahoma"/>
            <family val="2"/>
          </rPr>
          <t xml:space="preserve">
prescriptive rebate program</t>
        </r>
      </text>
    </comment>
    <comment ref="AHT2" authorId="0">
      <text>
        <r>
          <rPr>
            <b/>
            <sz val="9"/>
            <color indexed="81"/>
            <rFont val="Tahoma"/>
            <family val="2"/>
          </rPr>
          <t>Ingrid Malmgren:</t>
        </r>
        <r>
          <rPr>
            <sz val="9"/>
            <color indexed="81"/>
            <rFont val="Tahoma"/>
            <family val="2"/>
          </rPr>
          <t xml:space="preserve">
prescriptive rebate program</t>
        </r>
      </text>
    </comment>
    <comment ref="AHU2" authorId="0">
      <text>
        <r>
          <rPr>
            <b/>
            <sz val="9"/>
            <color indexed="81"/>
            <rFont val="Tahoma"/>
            <family val="2"/>
          </rPr>
          <t>Ingrid Malmgren:</t>
        </r>
        <r>
          <rPr>
            <sz val="9"/>
            <color indexed="81"/>
            <rFont val="Tahoma"/>
            <family val="2"/>
          </rPr>
          <t xml:space="preserve">
prescriptive rebate program</t>
        </r>
      </text>
    </comment>
    <comment ref="AHV2" authorId="0">
      <text>
        <r>
          <rPr>
            <b/>
            <sz val="9"/>
            <color indexed="81"/>
            <rFont val="Tahoma"/>
            <family val="2"/>
          </rPr>
          <t>Ingrid Malmgren:</t>
        </r>
        <r>
          <rPr>
            <sz val="9"/>
            <color indexed="81"/>
            <rFont val="Tahoma"/>
            <family val="2"/>
          </rPr>
          <t xml:space="preserve">
prescriptive rebate program</t>
        </r>
      </text>
    </comment>
    <comment ref="AHW2" authorId="0">
      <text>
        <r>
          <rPr>
            <b/>
            <sz val="9"/>
            <color indexed="81"/>
            <rFont val="Tahoma"/>
            <family val="2"/>
          </rPr>
          <t>Ingrid Malmgren:</t>
        </r>
        <r>
          <rPr>
            <sz val="9"/>
            <color indexed="81"/>
            <rFont val="Tahoma"/>
            <family val="2"/>
          </rPr>
          <t xml:space="preserve">
prescriptive rebate program</t>
        </r>
      </text>
    </comment>
    <comment ref="AHX2" authorId="0">
      <text>
        <r>
          <rPr>
            <b/>
            <sz val="9"/>
            <color indexed="81"/>
            <rFont val="Tahoma"/>
            <family val="2"/>
          </rPr>
          <t>Ingrid Malmgren:</t>
        </r>
        <r>
          <rPr>
            <sz val="9"/>
            <color indexed="81"/>
            <rFont val="Tahoma"/>
            <family val="2"/>
          </rPr>
          <t xml:space="preserve">
prescriptive rebate program</t>
        </r>
      </text>
    </comment>
    <comment ref="AHY2" authorId="0">
      <text>
        <r>
          <rPr>
            <b/>
            <sz val="9"/>
            <color indexed="81"/>
            <rFont val="Tahoma"/>
            <family val="2"/>
          </rPr>
          <t>Ingrid Malmgren:</t>
        </r>
        <r>
          <rPr>
            <sz val="9"/>
            <color indexed="81"/>
            <rFont val="Tahoma"/>
            <family val="2"/>
          </rPr>
          <t xml:space="preserve">
prescriptive rebate program</t>
        </r>
      </text>
    </comment>
    <comment ref="AHZ2" authorId="0">
      <text>
        <r>
          <rPr>
            <b/>
            <sz val="9"/>
            <color indexed="81"/>
            <rFont val="Tahoma"/>
            <family val="2"/>
          </rPr>
          <t>Ingrid Malmgren:</t>
        </r>
        <r>
          <rPr>
            <sz val="9"/>
            <color indexed="81"/>
            <rFont val="Tahoma"/>
            <family val="2"/>
          </rPr>
          <t xml:space="preserve">
prescriptive rebate program</t>
        </r>
      </text>
    </comment>
    <comment ref="AIA2" authorId="0">
      <text>
        <r>
          <rPr>
            <b/>
            <sz val="9"/>
            <color indexed="81"/>
            <rFont val="Tahoma"/>
            <family val="2"/>
          </rPr>
          <t>Ingrid Malmgren:</t>
        </r>
        <r>
          <rPr>
            <sz val="9"/>
            <color indexed="81"/>
            <rFont val="Tahoma"/>
            <family val="2"/>
          </rPr>
          <t xml:space="preserve">
prescriptive rebate program</t>
        </r>
      </text>
    </comment>
    <comment ref="AIB2" authorId="0">
      <text>
        <r>
          <rPr>
            <b/>
            <sz val="9"/>
            <color indexed="81"/>
            <rFont val="Tahoma"/>
            <family val="2"/>
          </rPr>
          <t>Ingrid Malmgren:</t>
        </r>
        <r>
          <rPr>
            <sz val="9"/>
            <color indexed="81"/>
            <rFont val="Tahoma"/>
            <family val="2"/>
          </rPr>
          <t xml:space="preserve">
prescriptive rebate program</t>
        </r>
      </text>
    </comment>
    <comment ref="AIC2" authorId="0">
      <text>
        <r>
          <rPr>
            <b/>
            <sz val="9"/>
            <color indexed="81"/>
            <rFont val="Tahoma"/>
            <family val="2"/>
          </rPr>
          <t>Ingrid Malmgren:</t>
        </r>
        <r>
          <rPr>
            <sz val="9"/>
            <color indexed="81"/>
            <rFont val="Tahoma"/>
            <family val="2"/>
          </rPr>
          <t xml:space="preserve">
prescriptive rebate program</t>
        </r>
      </text>
    </comment>
    <comment ref="AID2" authorId="0">
      <text>
        <r>
          <rPr>
            <b/>
            <sz val="9"/>
            <color indexed="81"/>
            <rFont val="Tahoma"/>
            <family val="2"/>
          </rPr>
          <t>Ingrid Malmgren:</t>
        </r>
        <r>
          <rPr>
            <sz val="9"/>
            <color indexed="81"/>
            <rFont val="Tahoma"/>
            <family val="2"/>
          </rPr>
          <t xml:space="preserve">
prescriptive rebate program</t>
        </r>
      </text>
    </comment>
    <comment ref="AIE2" authorId="0">
      <text>
        <r>
          <rPr>
            <b/>
            <sz val="9"/>
            <color indexed="81"/>
            <rFont val="Tahoma"/>
            <family val="2"/>
          </rPr>
          <t>Ingrid Malmgren:</t>
        </r>
        <r>
          <rPr>
            <sz val="9"/>
            <color indexed="81"/>
            <rFont val="Tahoma"/>
            <family val="2"/>
          </rPr>
          <t xml:space="preserve">
prescriptive rebate program</t>
        </r>
      </text>
    </comment>
    <comment ref="AIF2" authorId="0">
      <text>
        <r>
          <rPr>
            <b/>
            <sz val="9"/>
            <color indexed="81"/>
            <rFont val="Tahoma"/>
            <family val="2"/>
          </rPr>
          <t>Ingrid Malmgren:</t>
        </r>
        <r>
          <rPr>
            <sz val="9"/>
            <color indexed="81"/>
            <rFont val="Tahoma"/>
            <family val="2"/>
          </rPr>
          <t xml:space="preserve">
prescriptive rebate program</t>
        </r>
      </text>
    </comment>
    <comment ref="AIG2" authorId="0">
      <text>
        <r>
          <rPr>
            <b/>
            <sz val="9"/>
            <color indexed="81"/>
            <rFont val="Tahoma"/>
            <family val="2"/>
          </rPr>
          <t>Ingrid Malmgren:</t>
        </r>
        <r>
          <rPr>
            <sz val="9"/>
            <color indexed="81"/>
            <rFont val="Tahoma"/>
            <family val="2"/>
          </rPr>
          <t xml:space="preserve">
prescriptive rebate program</t>
        </r>
      </text>
    </comment>
    <comment ref="AIH2" authorId="0">
      <text>
        <r>
          <rPr>
            <b/>
            <sz val="9"/>
            <color indexed="81"/>
            <rFont val="Tahoma"/>
            <family val="2"/>
          </rPr>
          <t>Ingrid Malmgren:</t>
        </r>
        <r>
          <rPr>
            <sz val="9"/>
            <color indexed="81"/>
            <rFont val="Tahoma"/>
            <family val="2"/>
          </rPr>
          <t xml:space="preserve">
prescriptive rebate program</t>
        </r>
      </text>
    </comment>
    <comment ref="AII2" authorId="0">
      <text>
        <r>
          <rPr>
            <b/>
            <sz val="9"/>
            <color indexed="81"/>
            <rFont val="Tahoma"/>
            <family val="2"/>
          </rPr>
          <t>Ingrid Malmgren:</t>
        </r>
        <r>
          <rPr>
            <sz val="9"/>
            <color indexed="81"/>
            <rFont val="Tahoma"/>
            <family val="2"/>
          </rPr>
          <t xml:space="preserve">
prescriptive rebate program</t>
        </r>
      </text>
    </comment>
    <comment ref="AIJ2" authorId="0">
      <text>
        <r>
          <rPr>
            <b/>
            <sz val="9"/>
            <color indexed="81"/>
            <rFont val="Tahoma"/>
            <family val="2"/>
          </rPr>
          <t>Ingrid Malmgren:</t>
        </r>
        <r>
          <rPr>
            <sz val="9"/>
            <color indexed="81"/>
            <rFont val="Tahoma"/>
            <family val="2"/>
          </rPr>
          <t xml:space="preserve">
prescriptive rebate program</t>
        </r>
      </text>
    </comment>
    <comment ref="AIK2" authorId="0">
      <text>
        <r>
          <rPr>
            <b/>
            <sz val="9"/>
            <color indexed="81"/>
            <rFont val="Tahoma"/>
            <family val="2"/>
          </rPr>
          <t>Ingrid Malmgren:</t>
        </r>
        <r>
          <rPr>
            <sz val="9"/>
            <color indexed="81"/>
            <rFont val="Tahoma"/>
            <family val="2"/>
          </rPr>
          <t xml:space="preserve">
prescriptive rebate program</t>
        </r>
      </text>
    </comment>
    <comment ref="AIL2" authorId="0">
      <text>
        <r>
          <rPr>
            <b/>
            <sz val="9"/>
            <color indexed="81"/>
            <rFont val="Tahoma"/>
            <family val="2"/>
          </rPr>
          <t>Ingrid Malmgren:</t>
        </r>
        <r>
          <rPr>
            <sz val="9"/>
            <color indexed="81"/>
            <rFont val="Tahoma"/>
            <family val="2"/>
          </rPr>
          <t xml:space="preserve">
prescriptive rebate program</t>
        </r>
      </text>
    </comment>
    <comment ref="AIM2" authorId="0">
      <text>
        <r>
          <rPr>
            <b/>
            <sz val="9"/>
            <color indexed="81"/>
            <rFont val="Tahoma"/>
            <family val="2"/>
          </rPr>
          <t>Ingrid Malmgren:</t>
        </r>
        <r>
          <rPr>
            <sz val="9"/>
            <color indexed="81"/>
            <rFont val="Tahoma"/>
            <family val="2"/>
          </rPr>
          <t xml:space="preserve">
prescriptive rebate program</t>
        </r>
      </text>
    </comment>
    <comment ref="AIN2" authorId="0">
      <text>
        <r>
          <rPr>
            <b/>
            <sz val="9"/>
            <color indexed="81"/>
            <rFont val="Tahoma"/>
            <family val="2"/>
          </rPr>
          <t>Ingrid Malmgren:</t>
        </r>
        <r>
          <rPr>
            <sz val="9"/>
            <color indexed="81"/>
            <rFont val="Tahoma"/>
            <family val="2"/>
          </rPr>
          <t xml:space="preserve">
prescriptive rebate program</t>
        </r>
      </text>
    </comment>
    <comment ref="AIO2" authorId="0">
      <text>
        <r>
          <rPr>
            <b/>
            <sz val="9"/>
            <color indexed="81"/>
            <rFont val="Tahoma"/>
            <family val="2"/>
          </rPr>
          <t>Ingrid Malmgren:</t>
        </r>
        <r>
          <rPr>
            <sz val="9"/>
            <color indexed="81"/>
            <rFont val="Tahoma"/>
            <family val="2"/>
          </rPr>
          <t xml:space="preserve">
prescriptive rebate program</t>
        </r>
      </text>
    </comment>
    <comment ref="AIP2" authorId="0">
      <text>
        <r>
          <rPr>
            <b/>
            <sz val="9"/>
            <color indexed="81"/>
            <rFont val="Tahoma"/>
            <family val="2"/>
          </rPr>
          <t>Ingrid Malmgren:</t>
        </r>
        <r>
          <rPr>
            <sz val="9"/>
            <color indexed="81"/>
            <rFont val="Tahoma"/>
            <family val="2"/>
          </rPr>
          <t xml:space="preserve">
prescriptive rebate program</t>
        </r>
      </text>
    </comment>
    <comment ref="AIQ2" authorId="0">
      <text>
        <r>
          <rPr>
            <b/>
            <sz val="9"/>
            <color indexed="81"/>
            <rFont val="Tahoma"/>
            <family val="2"/>
          </rPr>
          <t>Ingrid Malmgren:</t>
        </r>
        <r>
          <rPr>
            <sz val="9"/>
            <color indexed="81"/>
            <rFont val="Tahoma"/>
            <family val="2"/>
          </rPr>
          <t xml:space="preserve">
prescriptive rebate program</t>
        </r>
      </text>
    </comment>
    <comment ref="AIR2" authorId="0">
      <text>
        <r>
          <rPr>
            <b/>
            <sz val="9"/>
            <color indexed="81"/>
            <rFont val="Tahoma"/>
            <family val="2"/>
          </rPr>
          <t>Ingrid Malmgren:</t>
        </r>
        <r>
          <rPr>
            <sz val="9"/>
            <color indexed="81"/>
            <rFont val="Tahoma"/>
            <family val="2"/>
          </rPr>
          <t xml:space="preserve">
prescriptive rebate program</t>
        </r>
      </text>
    </comment>
    <comment ref="AIS2" authorId="0">
      <text>
        <r>
          <rPr>
            <b/>
            <sz val="9"/>
            <color indexed="81"/>
            <rFont val="Tahoma"/>
            <family val="2"/>
          </rPr>
          <t>Ingrid Malmgren:</t>
        </r>
        <r>
          <rPr>
            <sz val="9"/>
            <color indexed="81"/>
            <rFont val="Tahoma"/>
            <family val="2"/>
          </rPr>
          <t xml:space="preserve">
prescriptive rebate program</t>
        </r>
      </text>
    </comment>
    <comment ref="AIT2" authorId="0">
      <text>
        <r>
          <rPr>
            <b/>
            <sz val="9"/>
            <color indexed="81"/>
            <rFont val="Tahoma"/>
            <family val="2"/>
          </rPr>
          <t>Ingrid Malmgren:</t>
        </r>
        <r>
          <rPr>
            <sz val="9"/>
            <color indexed="81"/>
            <rFont val="Tahoma"/>
            <family val="2"/>
          </rPr>
          <t xml:space="preserve">
prescriptive rebate program</t>
        </r>
      </text>
    </comment>
    <comment ref="AIU2" authorId="0">
      <text>
        <r>
          <rPr>
            <b/>
            <sz val="9"/>
            <color indexed="81"/>
            <rFont val="Tahoma"/>
            <family val="2"/>
          </rPr>
          <t>Ingrid Malmgren:</t>
        </r>
        <r>
          <rPr>
            <sz val="9"/>
            <color indexed="81"/>
            <rFont val="Tahoma"/>
            <family val="2"/>
          </rPr>
          <t xml:space="preserve">
prescriptive rebate program</t>
        </r>
      </text>
    </comment>
    <comment ref="AIV2" authorId="0">
      <text>
        <r>
          <rPr>
            <b/>
            <sz val="9"/>
            <color indexed="81"/>
            <rFont val="Tahoma"/>
            <family val="2"/>
          </rPr>
          <t>Ingrid Malmgren:</t>
        </r>
        <r>
          <rPr>
            <sz val="9"/>
            <color indexed="81"/>
            <rFont val="Tahoma"/>
            <family val="2"/>
          </rPr>
          <t xml:space="preserve">
prescriptive rebate program</t>
        </r>
      </text>
    </comment>
    <comment ref="AIW2" authorId="0">
      <text>
        <r>
          <rPr>
            <b/>
            <sz val="9"/>
            <color indexed="81"/>
            <rFont val="Tahoma"/>
            <family val="2"/>
          </rPr>
          <t>Ingrid Malmgren:</t>
        </r>
        <r>
          <rPr>
            <sz val="9"/>
            <color indexed="81"/>
            <rFont val="Tahoma"/>
            <family val="2"/>
          </rPr>
          <t xml:space="preserve">
prescriptive rebate program</t>
        </r>
      </text>
    </comment>
    <comment ref="AIX2" authorId="0">
      <text>
        <r>
          <rPr>
            <b/>
            <sz val="9"/>
            <color indexed="81"/>
            <rFont val="Tahoma"/>
            <family val="2"/>
          </rPr>
          <t>Ingrid Malmgren:</t>
        </r>
        <r>
          <rPr>
            <sz val="9"/>
            <color indexed="81"/>
            <rFont val="Tahoma"/>
            <family val="2"/>
          </rPr>
          <t xml:space="preserve">
prescriptive rebate program</t>
        </r>
      </text>
    </comment>
    <comment ref="AIY2" authorId="0">
      <text>
        <r>
          <rPr>
            <b/>
            <sz val="9"/>
            <color indexed="81"/>
            <rFont val="Tahoma"/>
            <family val="2"/>
          </rPr>
          <t>Ingrid Malmgren:</t>
        </r>
        <r>
          <rPr>
            <sz val="9"/>
            <color indexed="81"/>
            <rFont val="Tahoma"/>
            <family val="2"/>
          </rPr>
          <t xml:space="preserve">
prescriptive rebate program</t>
        </r>
      </text>
    </comment>
    <comment ref="AIZ2" authorId="0">
      <text>
        <r>
          <rPr>
            <b/>
            <sz val="9"/>
            <color indexed="81"/>
            <rFont val="Tahoma"/>
            <family val="2"/>
          </rPr>
          <t>Ingrid Malmgren:</t>
        </r>
        <r>
          <rPr>
            <sz val="9"/>
            <color indexed="81"/>
            <rFont val="Tahoma"/>
            <family val="2"/>
          </rPr>
          <t xml:space="preserve">
prescriptive rebate program</t>
        </r>
      </text>
    </comment>
    <comment ref="AJA2" authorId="0">
      <text>
        <r>
          <rPr>
            <b/>
            <sz val="9"/>
            <color indexed="81"/>
            <rFont val="Tahoma"/>
            <family val="2"/>
          </rPr>
          <t>Ingrid Malmgren:</t>
        </r>
        <r>
          <rPr>
            <sz val="9"/>
            <color indexed="81"/>
            <rFont val="Tahoma"/>
            <family val="2"/>
          </rPr>
          <t xml:space="preserve">
prescriptive rebate program</t>
        </r>
      </text>
    </comment>
    <comment ref="AJB2" authorId="0">
      <text>
        <r>
          <rPr>
            <b/>
            <sz val="9"/>
            <color indexed="81"/>
            <rFont val="Tahoma"/>
            <family val="2"/>
          </rPr>
          <t>Ingrid Malmgren:</t>
        </r>
        <r>
          <rPr>
            <sz val="9"/>
            <color indexed="81"/>
            <rFont val="Tahoma"/>
            <family val="2"/>
          </rPr>
          <t xml:space="preserve">
prescriptive rebate program</t>
        </r>
      </text>
    </comment>
    <comment ref="AJC2" authorId="0">
      <text>
        <r>
          <rPr>
            <b/>
            <sz val="9"/>
            <color indexed="81"/>
            <rFont val="Tahoma"/>
            <family val="2"/>
          </rPr>
          <t>Ingrid Malmgren:</t>
        </r>
        <r>
          <rPr>
            <sz val="9"/>
            <color indexed="81"/>
            <rFont val="Tahoma"/>
            <family val="2"/>
          </rPr>
          <t xml:space="preserve">
prescriptive rebate program</t>
        </r>
      </text>
    </comment>
    <comment ref="AJD2" authorId="0">
      <text>
        <r>
          <rPr>
            <b/>
            <sz val="9"/>
            <color indexed="81"/>
            <rFont val="Tahoma"/>
            <family val="2"/>
          </rPr>
          <t>Ingrid Malmgren:</t>
        </r>
        <r>
          <rPr>
            <sz val="9"/>
            <color indexed="81"/>
            <rFont val="Tahoma"/>
            <family val="2"/>
          </rPr>
          <t xml:space="preserve">
prescriptive rebate program</t>
        </r>
      </text>
    </comment>
    <comment ref="AJE2" authorId="0">
      <text>
        <r>
          <rPr>
            <b/>
            <sz val="9"/>
            <color indexed="81"/>
            <rFont val="Tahoma"/>
            <family val="2"/>
          </rPr>
          <t>Ingrid Malmgren:</t>
        </r>
        <r>
          <rPr>
            <sz val="9"/>
            <color indexed="81"/>
            <rFont val="Tahoma"/>
            <family val="2"/>
          </rPr>
          <t xml:space="preserve">
prescriptive rebate program</t>
        </r>
      </text>
    </comment>
    <comment ref="AJF2" authorId="0">
      <text>
        <r>
          <rPr>
            <b/>
            <sz val="9"/>
            <color indexed="81"/>
            <rFont val="Tahoma"/>
            <family val="2"/>
          </rPr>
          <t>Ingrid Malmgren:</t>
        </r>
        <r>
          <rPr>
            <sz val="9"/>
            <color indexed="81"/>
            <rFont val="Tahoma"/>
            <family val="2"/>
          </rPr>
          <t xml:space="preserve">
prescriptive rebate program</t>
        </r>
      </text>
    </comment>
    <comment ref="AJG2" authorId="0">
      <text>
        <r>
          <rPr>
            <b/>
            <sz val="9"/>
            <color indexed="81"/>
            <rFont val="Tahoma"/>
            <family val="2"/>
          </rPr>
          <t>Ingrid Malmgren:</t>
        </r>
        <r>
          <rPr>
            <sz val="9"/>
            <color indexed="81"/>
            <rFont val="Tahoma"/>
            <family val="2"/>
          </rPr>
          <t xml:space="preserve">
prescriptive rebate program</t>
        </r>
      </text>
    </comment>
    <comment ref="AJH2" authorId="0">
      <text>
        <r>
          <rPr>
            <b/>
            <sz val="9"/>
            <color indexed="81"/>
            <rFont val="Tahoma"/>
            <family val="2"/>
          </rPr>
          <t>Ingrid Malmgren:</t>
        </r>
        <r>
          <rPr>
            <sz val="9"/>
            <color indexed="81"/>
            <rFont val="Tahoma"/>
            <family val="2"/>
          </rPr>
          <t xml:space="preserve">
prescriptive rebate program</t>
        </r>
      </text>
    </comment>
    <comment ref="AJI2" authorId="0">
      <text>
        <r>
          <rPr>
            <b/>
            <sz val="9"/>
            <color indexed="81"/>
            <rFont val="Tahoma"/>
            <family val="2"/>
          </rPr>
          <t>Ingrid Malmgren:</t>
        </r>
        <r>
          <rPr>
            <sz val="9"/>
            <color indexed="81"/>
            <rFont val="Tahoma"/>
            <family val="2"/>
          </rPr>
          <t xml:space="preserve">
prescriptive rebate program</t>
        </r>
      </text>
    </comment>
    <comment ref="AJJ2" authorId="0">
      <text>
        <r>
          <rPr>
            <b/>
            <sz val="9"/>
            <color indexed="81"/>
            <rFont val="Tahoma"/>
            <family val="2"/>
          </rPr>
          <t>Ingrid Malmgren:</t>
        </r>
        <r>
          <rPr>
            <sz val="9"/>
            <color indexed="81"/>
            <rFont val="Tahoma"/>
            <family val="2"/>
          </rPr>
          <t xml:space="preserve">
prescriptive rebate program</t>
        </r>
      </text>
    </comment>
    <comment ref="AJK2" authorId="0">
      <text>
        <r>
          <rPr>
            <b/>
            <sz val="9"/>
            <color indexed="81"/>
            <rFont val="Tahoma"/>
            <family val="2"/>
          </rPr>
          <t>Ingrid Malmgren:</t>
        </r>
        <r>
          <rPr>
            <sz val="9"/>
            <color indexed="81"/>
            <rFont val="Tahoma"/>
            <family val="2"/>
          </rPr>
          <t xml:space="preserve">
prescriptive rebate program</t>
        </r>
      </text>
    </comment>
    <comment ref="AJL2" authorId="0">
      <text>
        <r>
          <rPr>
            <b/>
            <sz val="9"/>
            <color indexed="81"/>
            <rFont val="Tahoma"/>
            <family val="2"/>
          </rPr>
          <t>Ingrid Malmgren:</t>
        </r>
        <r>
          <rPr>
            <sz val="9"/>
            <color indexed="81"/>
            <rFont val="Tahoma"/>
            <family val="2"/>
          </rPr>
          <t xml:space="preserve">
prescriptive rebate program</t>
        </r>
      </text>
    </comment>
    <comment ref="AJM2" authorId="0">
      <text>
        <r>
          <rPr>
            <b/>
            <sz val="9"/>
            <color indexed="81"/>
            <rFont val="Tahoma"/>
            <family val="2"/>
          </rPr>
          <t>Ingrid Malmgren:</t>
        </r>
        <r>
          <rPr>
            <sz val="9"/>
            <color indexed="81"/>
            <rFont val="Tahoma"/>
            <family val="2"/>
          </rPr>
          <t xml:space="preserve">
prescriptive rebate program</t>
        </r>
      </text>
    </comment>
    <comment ref="AJN2" authorId="0">
      <text>
        <r>
          <rPr>
            <b/>
            <sz val="9"/>
            <color indexed="81"/>
            <rFont val="Tahoma"/>
            <family val="2"/>
          </rPr>
          <t>Ingrid Malmgren:</t>
        </r>
        <r>
          <rPr>
            <sz val="9"/>
            <color indexed="81"/>
            <rFont val="Tahoma"/>
            <family val="2"/>
          </rPr>
          <t xml:space="preserve">
prescriptive rebate program</t>
        </r>
      </text>
    </comment>
    <comment ref="AJO2" authorId="0">
      <text>
        <r>
          <rPr>
            <b/>
            <sz val="9"/>
            <color indexed="81"/>
            <rFont val="Tahoma"/>
            <family val="2"/>
          </rPr>
          <t>Ingrid Malmgren:</t>
        </r>
        <r>
          <rPr>
            <sz val="9"/>
            <color indexed="81"/>
            <rFont val="Tahoma"/>
            <family val="2"/>
          </rPr>
          <t xml:space="preserve">
prescriptive rebate program</t>
        </r>
      </text>
    </comment>
    <comment ref="AJP2" authorId="0">
      <text>
        <r>
          <rPr>
            <b/>
            <sz val="9"/>
            <color indexed="81"/>
            <rFont val="Tahoma"/>
            <family val="2"/>
          </rPr>
          <t>Ingrid Malmgren:</t>
        </r>
        <r>
          <rPr>
            <sz val="9"/>
            <color indexed="81"/>
            <rFont val="Tahoma"/>
            <family val="2"/>
          </rPr>
          <t xml:space="preserve">
prescriptive rebate program</t>
        </r>
      </text>
    </comment>
    <comment ref="AJQ2" authorId="0">
      <text>
        <r>
          <rPr>
            <b/>
            <sz val="9"/>
            <color indexed="81"/>
            <rFont val="Tahoma"/>
            <family val="2"/>
          </rPr>
          <t>Ingrid Malmgren:</t>
        </r>
        <r>
          <rPr>
            <sz val="9"/>
            <color indexed="81"/>
            <rFont val="Tahoma"/>
            <family val="2"/>
          </rPr>
          <t xml:space="preserve">
prescriptive rebate program</t>
        </r>
      </text>
    </comment>
    <comment ref="AJR2" authorId="0">
      <text>
        <r>
          <rPr>
            <b/>
            <sz val="9"/>
            <color indexed="81"/>
            <rFont val="Tahoma"/>
            <family val="2"/>
          </rPr>
          <t>Ingrid Malmgren:</t>
        </r>
        <r>
          <rPr>
            <sz val="9"/>
            <color indexed="81"/>
            <rFont val="Tahoma"/>
            <family val="2"/>
          </rPr>
          <t xml:space="preserve">
prescriptive rebate program</t>
        </r>
      </text>
    </comment>
    <comment ref="AJS2" authorId="0">
      <text>
        <r>
          <rPr>
            <b/>
            <sz val="9"/>
            <color indexed="81"/>
            <rFont val="Tahoma"/>
            <family val="2"/>
          </rPr>
          <t>Ingrid Malmgren:</t>
        </r>
        <r>
          <rPr>
            <sz val="9"/>
            <color indexed="81"/>
            <rFont val="Tahoma"/>
            <family val="2"/>
          </rPr>
          <t xml:space="preserve">
prescriptive rebate program</t>
        </r>
      </text>
    </comment>
    <comment ref="AJT2" authorId="0">
      <text>
        <r>
          <rPr>
            <b/>
            <sz val="9"/>
            <color indexed="81"/>
            <rFont val="Tahoma"/>
            <family val="2"/>
          </rPr>
          <t>Ingrid Malmgren:</t>
        </r>
        <r>
          <rPr>
            <sz val="9"/>
            <color indexed="81"/>
            <rFont val="Tahoma"/>
            <family val="2"/>
          </rPr>
          <t xml:space="preserve">
prescriptive rebate program</t>
        </r>
      </text>
    </comment>
    <comment ref="AJU2" authorId="0">
      <text>
        <r>
          <rPr>
            <b/>
            <sz val="9"/>
            <color indexed="81"/>
            <rFont val="Tahoma"/>
            <family val="2"/>
          </rPr>
          <t>Ingrid Malmgren:</t>
        </r>
        <r>
          <rPr>
            <sz val="9"/>
            <color indexed="81"/>
            <rFont val="Tahoma"/>
            <family val="2"/>
          </rPr>
          <t xml:space="preserve">
prescriptive rebate program</t>
        </r>
      </text>
    </comment>
    <comment ref="AJV2" authorId="0">
      <text>
        <r>
          <rPr>
            <b/>
            <sz val="9"/>
            <color indexed="81"/>
            <rFont val="Tahoma"/>
            <family val="2"/>
          </rPr>
          <t>Ingrid Malmgren:</t>
        </r>
        <r>
          <rPr>
            <sz val="9"/>
            <color indexed="81"/>
            <rFont val="Tahoma"/>
            <family val="2"/>
          </rPr>
          <t xml:space="preserve">
prescriptive rebate program</t>
        </r>
      </text>
    </comment>
    <comment ref="AJW2" authorId="0">
      <text>
        <r>
          <rPr>
            <b/>
            <sz val="9"/>
            <color indexed="81"/>
            <rFont val="Tahoma"/>
            <family val="2"/>
          </rPr>
          <t>Ingrid Malmgren:</t>
        </r>
        <r>
          <rPr>
            <sz val="9"/>
            <color indexed="81"/>
            <rFont val="Tahoma"/>
            <family val="2"/>
          </rPr>
          <t xml:space="preserve">
prescriptive rebate program</t>
        </r>
      </text>
    </comment>
    <comment ref="AJX2" authorId="0">
      <text>
        <r>
          <rPr>
            <b/>
            <sz val="9"/>
            <color indexed="81"/>
            <rFont val="Tahoma"/>
            <family val="2"/>
          </rPr>
          <t>Ingrid Malmgren:</t>
        </r>
        <r>
          <rPr>
            <sz val="9"/>
            <color indexed="81"/>
            <rFont val="Tahoma"/>
            <family val="2"/>
          </rPr>
          <t xml:space="preserve">
prescriptive rebate program</t>
        </r>
      </text>
    </comment>
    <comment ref="AJY2" authorId="0">
      <text>
        <r>
          <rPr>
            <b/>
            <sz val="9"/>
            <color indexed="81"/>
            <rFont val="Tahoma"/>
            <family val="2"/>
          </rPr>
          <t>Ingrid Malmgren:</t>
        </r>
        <r>
          <rPr>
            <sz val="9"/>
            <color indexed="81"/>
            <rFont val="Tahoma"/>
            <family val="2"/>
          </rPr>
          <t xml:space="preserve">
prescriptive rebate program</t>
        </r>
      </text>
    </comment>
    <comment ref="AJZ2" authorId="0">
      <text>
        <r>
          <rPr>
            <b/>
            <sz val="9"/>
            <color indexed="81"/>
            <rFont val="Tahoma"/>
            <family val="2"/>
          </rPr>
          <t>Ingrid Malmgren:</t>
        </r>
        <r>
          <rPr>
            <sz val="9"/>
            <color indexed="81"/>
            <rFont val="Tahoma"/>
            <family val="2"/>
          </rPr>
          <t xml:space="preserve">
prescriptive rebate program</t>
        </r>
      </text>
    </comment>
    <comment ref="AKA2" authorId="0">
      <text>
        <r>
          <rPr>
            <b/>
            <sz val="9"/>
            <color indexed="81"/>
            <rFont val="Tahoma"/>
            <family val="2"/>
          </rPr>
          <t>Ingrid Malmgren:</t>
        </r>
        <r>
          <rPr>
            <sz val="9"/>
            <color indexed="81"/>
            <rFont val="Tahoma"/>
            <family val="2"/>
          </rPr>
          <t xml:space="preserve">
prescriptive rebate program</t>
        </r>
      </text>
    </comment>
    <comment ref="AKB2" authorId="0">
      <text>
        <r>
          <rPr>
            <b/>
            <sz val="9"/>
            <color indexed="81"/>
            <rFont val="Tahoma"/>
            <family val="2"/>
          </rPr>
          <t>Ingrid Malmgren:</t>
        </r>
        <r>
          <rPr>
            <sz val="9"/>
            <color indexed="81"/>
            <rFont val="Tahoma"/>
            <family val="2"/>
          </rPr>
          <t xml:space="preserve">
prescriptive rebate program</t>
        </r>
      </text>
    </comment>
    <comment ref="AKC2" authorId="0">
      <text>
        <r>
          <rPr>
            <b/>
            <sz val="9"/>
            <color indexed="81"/>
            <rFont val="Tahoma"/>
            <family val="2"/>
          </rPr>
          <t>Ingrid Malmgren:</t>
        </r>
        <r>
          <rPr>
            <sz val="9"/>
            <color indexed="81"/>
            <rFont val="Tahoma"/>
            <family val="2"/>
          </rPr>
          <t xml:space="preserve">
prescriptive rebate program</t>
        </r>
      </text>
    </comment>
    <comment ref="AKD2" authorId="0">
      <text>
        <r>
          <rPr>
            <b/>
            <sz val="9"/>
            <color indexed="81"/>
            <rFont val="Tahoma"/>
            <family val="2"/>
          </rPr>
          <t>Ingrid Malmgren:</t>
        </r>
        <r>
          <rPr>
            <sz val="9"/>
            <color indexed="81"/>
            <rFont val="Tahoma"/>
            <family val="2"/>
          </rPr>
          <t xml:space="preserve">
prescriptive rebate program</t>
        </r>
      </text>
    </comment>
    <comment ref="AKE2" authorId="0">
      <text>
        <r>
          <rPr>
            <b/>
            <sz val="9"/>
            <color indexed="81"/>
            <rFont val="Tahoma"/>
            <family val="2"/>
          </rPr>
          <t>Ingrid Malmgren:</t>
        </r>
        <r>
          <rPr>
            <sz val="9"/>
            <color indexed="81"/>
            <rFont val="Tahoma"/>
            <family val="2"/>
          </rPr>
          <t xml:space="preserve">
prescriptive rebate program</t>
        </r>
      </text>
    </comment>
    <comment ref="AKF2" authorId="0">
      <text>
        <r>
          <rPr>
            <b/>
            <sz val="9"/>
            <color indexed="81"/>
            <rFont val="Tahoma"/>
            <family val="2"/>
          </rPr>
          <t>Ingrid Malmgren:</t>
        </r>
        <r>
          <rPr>
            <sz val="9"/>
            <color indexed="81"/>
            <rFont val="Tahoma"/>
            <family val="2"/>
          </rPr>
          <t xml:space="preserve">
prescriptive rebate program</t>
        </r>
      </text>
    </comment>
    <comment ref="AKG2" authorId="0">
      <text>
        <r>
          <rPr>
            <b/>
            <sz val="9"/>
            <color indexed="81"/>
            <rFont val="Tahoma"/>
            <family val="2"/>
          </rPr>
          <t>Ingrid Malmgren:</t>
        </r>
        <r>
          <rPr>
            <sz val="9"/>
            <color indexed="81"/>
            <rFont val="Tahoma"/>
            <family val="2"/>
          </rPr>
          <t xml:space="preserve">
prescriptive rebate program</t>
        </r>
      </text>
    </comment>
    <comment ref="AKH2" authorId="0">
      <text>
        <r>
          <rPr>
            <b/>
            <sz val="9"/>
            <color indexed="81"/>
            <rFont val="Tahoma"/>
            <family val="2"/>
          </rPr>
          <t>Ingrid Malmgren:</t>
        </r>
        <r>
          <rPr>
            <sz val="9"/>
            <color indexed="81"/>
            <rFont val="Tahoma"/>
            <family val="2"/>
          </rPr>
          <t xml:space="preserve">
prescriptive rebate program</t>
        </r>
      </text>
    </comment>
    <comment ref="AKI2" authorId="0">
      <text>
        <r>
          <rPr>
            <b/>
            <sz val="9"/>
            <color indexed="81"/>
            <rFont val="Tahoma"/>
            <family val="2"/>
          </rPr>
          <t>Ingrid Malmgren:</t>
        </r>
        <r>
          <rPr>
            <sz val="9"/>
            <color indexed="81"/>
            <rFont val="Tahoma"/>
            <family val="2"/>
          </rPr>
          <t xml:space="preserve">
prescriptive rebate program</t>
        </r>
      </text>
    </comment>
    <comment ref="AKJ2" authorId="0">
      <text>
        <r>
          <rPr>
            <b/>
            <sz val="9"/>
            <color indexed="81"/>
            <rFont val="Tahoma"/>
            <family val="2"/>
          </rPr>
          <t>Ingrid Malmgren:</t>
        </r>
        <r>
          <rPr>
            <sz val="9"/>
            <color indexed="81"/>
            <rFont val="Tahoma"/>
            <family val="2"/>
          </rPr>
          <t xml:space="preserve">
prescriptive rebate program</t>
        </r>
      </text>
    </comment>
    <comment ref="AKK2" authorId="0">
      <text>
        <r>
          <rPr>
            <b/>
            <sz val="9"/>
            <color indexed="81"/>
            <rFont val="Tahoma"/>
            <family val="2"/>
          </rPr>
          <t>Ingrid Malmgren:</t>
        </r>
        <r>
          <rPr>
            <sz val="9"/>
            <color indexed="81"/>
            <rFont val="Tahoma"/>
            <family val="2"/>
          </rPr>
          <t xml:space="preserve">
prescriptive rebate program</t>
        </r>
      </text>
    </comment>
    <comment ref="AKL2" authorId="0">
      <text>
        <r>
          <rPr>
            <b/>
            <sz val="9"/>
            <color indexed="81"/>
            <rFont val="Tahoma"/>
            <family val="2"/>
          </rPr>
          <t>Ingrid Malmgren:</t>
        </r>
        <r>
          <rPr>
            <sz val="9"/>
            <color indexed="81"/>
            <rFont val="Tahoma"/>
            <family val="2"/>
          </rPr>
          <t xml:space="preserve">
prescriptive rebate program</t>
        </r>
      </text>
    </comment>
    <comment ref="AKM2" authorId="0">
      <text>
        <r>
          <rPr>
            <b/>
            <sz val="9"/>
            <color indexed="81"/>
            <rFont val="Tahoma"/>
            <family val="2"/>
          </rPr>
          <t>Ingrid Malmgren:</t>
        </r>
        <r>
          <rPr>
            <sz val="9"/>
            <color indexed="81"/>
            <rFont val="Tahoma"/>
            <family val="2"/>
          </rPr>
          <t xml:space="preserve">
prescriptive rebate program</t>
        </r>
      </text>
    </comment>
    <comment ref="AKN2" authorId="0">
      <text>
        <r>
          <rPr>
            <b/>
            <sz val="9"/>
            <color indexed="81"/>
            <rFont val="Tahoma"/>
            <family val="2"/>
          </rPr>
          <t>Ingrid Malmgren:</t>
        </r>
        <r>
          <rPr>
            <sz val="9"/>
            <color indexed="81"/>
            <rFont val="Tahoma"/>
            <family val="2"/>
          </rPr>
          <t xml:space="preserve">
prescriptive rebate program</t>
        </r>
      </text>
    </comment>
    <comment ref="AKO2" authorId="0">
      <text>
        <r>
          <rPr>
            <b/>
            <sz val="9"/>
            <color indexed="81"/>
            <rFont val="Tahoma"/>
            <family val="2"/>
          </rPr>
          <t>Ingrid Malmgren:</t>
        </r>
        <r>
          <rPr>
            <sz val="9"/>
            <color indexed="81"/>
            <rFont val="Tahoma"/>
            <family val="2"/>
          </rPr>
          <t xml:space="preserve">
prescriptive rebate program</t>
        </r>
      </text>
    </comment>
    <comment ref="AKP2" authorId="0">
      <text>
        <r>
          <rPr>
            <b/>
            <sz val="9"/>
            <color indexed="81"/>
            <rFont val="Tahoma"/>
            <family val="2"/>
          </rPr>
          <t>Ingrid Malmgren:</t>
        </r>
        <r>
          <rPr>
            <sz val="9"/>
            <color indexed="81"/>
            <rFont val="Tahoma"/>
            <family val="2"/>
          </rPr>
          <t xml:space="preserve">
prescriptive rebate program</t>
        </r>
      </text>
    </comment>
    <comment ref="AKQ2" authorId="0">
      <text>
        <r>
          <rPr>
            <b/>
            <sz val="9"/>
            <color indexed="81"/>
            <rFont val="Tahoma"/>
            <family val="2"/>
          </rPr>
          <t>Ingrid Malmgren:</t>
        </r>
        <r>
          <rPr>
            <sz val="9"/>
            <color indexed="81"/>
            <rFont val="Tahoma"/>
            <family val="2"/>
          </rPr>
          <t xml:space="preserve">
prescriptive rebate program</t>
        </r>
      </text>
    </comment>
    <comment ref="AKR2" authorId="0">
      <text>
        <r>
          <rPr>
            <b/>
            <sz val="9"/>
            <color indexed="81"/>
            <rFont val="Tahoma"/>
            <family val="2"/>
          </rPr>
          <t>Ingrid Malmgren:</t>
        </r>
        <r>
          <rPr>
            <sz val="9"/>
            <color indexed="81"/>
            <rFont val="Tahoma"/>
            <family val="2"/>
          </rPr>
          <t xml:space="preserve">
prescriptive rebate program</t>
        </r>
      </text>
    </comment>
    <comment ref="AKS2" authorId="0">
      <text>
        <r>
          <rPr>
            <b/>
            <sz val="9"/>
            <color indexed="81"/>
            <rFont val="Tahoma"/>
            <family val="2"/>
          </rPr>
          <t>Ingrid Malmgren:</t>
        </r>
        <r>
          <rPr>
            <sz val="9"/>
            <color indexed="81"/>
            <rFont val="Tahoma"/>
            <family val="2"/>
          </rPr>
          <t xml:space="preserve">
prescriptive rebate program</t>
        </r>
      </text>
    </comment>
    <comment ref="AKT2" authorId="0">
      <text>
        <r>
          <rPr>
            <b/>
            <sz val="9"/>
            <color indexed="81"/>
            <rFont val="Tahoma"/>
            <family val="2"/>
          </rPr>
          <t>Ingrid Malmgren:</t>
        </r>
        <r>
          <rPr>
            <sz val="9"/>
            <color indexed="81"/>
            <rFont val="Tahoma"/>
            <family val="2"/>
          </rPr>
          <t xml:space="preserve">
prescriptive rebate program</t>
        </r>
      </text>
    </comment>
    <comment ref="AKU2" authorId="0">
      <text>
        <r>
          <rPr>
            <b/>
            <sz val="9"/>
            <color indexed="81"/>
            <rFont val="Tahoma"/>
            <family val="2"/>
          </rPr>
          <t>Ingrid Malmgren:</t>
        </r>
        <r>
          <rPr>
            <sz val="9"/>
            <color indexed="81"/>
            <rFont val="Tahoma"/>
            <family val="2"/>
          </rPr>
          <t xml:space="preserve">
prescriptive rebate program</t>
        </r>
      </text>
    </comment>
    <comment ref="AKV2" authorId="0">
      <text>
        <r>
          <rPr>
            <b/>
            <sz val="9"/>
            <color indexed="81"/>
            <rFont val="Tahoma"/>
            <family val="2"/>
          </rPr>
          <t>Ingrid Malmgren:</t>
        </r>
        <r>
          <rPr>
            <sz val="9"/>
            <color indexed="81"/>
            <rFont val="Tahoma"/>
            <family val="2"/>
          </rPr>
          <t xml:space="preserve">
prescriptive rebate program</t>
        </r>
      </text>
    </comment>
    <comment ref="AKW2" authorId="0">
      <text>
        <r>
          <rPr>
            <b/>
            <sz val="9"/>
            <color indexed="81"/>
            <rFont val="Tahoma"/>
            <family val="2"/>
          </rPr>
          <t>Ingrid Malmgren:</t>
        </r>
        <r>
          <rPr>
            <sz val="9"/>
            <color indexed="81"/>
            <rFont val="Tahoma"/>
            <family val="2"/>
          </rPr>
          <t xml:space="preserve">
prescriptive rebate program</t>
        </r>
      </text>
    </comment>
    <comment ref="AKX2" authorId="0">
      <text>
        <r>
          <rPr>
            <b/>
            <sz val="9"/>
            <color indexed="81"/>
            <rFont val="Tahoma"/>
            <family val="2"/>
          </rPr>
          <t>Ingrid Malmgren:</t>
        </r>
        <r>
          <rPr>
            <sz val="9"/>
            <color indexed="81"/>
            <rFont val="Tahoma"/>
            <family val="2"/>
          </rPr>
          <t xml:space="preserve">
prescriptive rebate program</t>
        </r>
      </text>
    </comment>
    <comment ref="AKY2" authorId="0">
      <text>
        <r>
          <rPr>
            <b/>
            <sz val="9"/>
            <color indexed="81"/>
            <rFont val="Tahoma"/>
            <family val="2"/>
          </rPr>
          <t>Ingrid Malmgren:</t>
        </r>
        <r>
          <rPr>
            <sz val="9"/>
            <color indexed="81"/>
            <rFont val="Tahoma"/>
            <family val="2"/>
          </rPr>
          <t xml:space="preserve">
prescriptive rebate program</t>
        </r>
      </text>
    </comment>
    <comment ref="AKZ2" authorId="0">
      <text>
        <r>
          <rPr>
            <b/>
            <sz val="9"/>
            <color indexed="81"/>
            <rFont val="Tahoma"/>
            <family val="2"/>
          </rPr>
          <t>Ingrid Malmgren:</t>
        </r>
        <r>
          <rPr>
            <sz val="9"/>
            <color indexed="81"/>
            <rFont val="Tahoma"/>
            <family val="2"/>
          </rPr>
          <t xml:space="preserve">
prescriptive rebate program</t>
        </r>
      </text>
    </comment>
    <comment ref="ALA2" authorId="0">
      <text>
        <r>
          <rPr>
            <b/>
            <sz val="9"/>
            <color indexed="81"/>
            <rFont val="Tahoma"/>
            <family val="2"/>
          </rPr>
          <t>Ingrid Malmgren:</t>
        </r>
        <r>
          <rPr>
            <sz val="9"/>
            <color indexed="81"/>
            <rFont val="Tahoma"/>
            <family val="2"/>
          </rPr>
          <t xml:space="preserve">
prescriptive rebate program</t>
        </r>
      </text>
    </comment>
    <comment ref="ALB2" authorId="0">
      <text>
        <r>
          <rPr>
            <b/>
            <sz val="9"/>
            <color indexed="81"/>
            <rFont val="Tahoma"/>
            <family val="2"/>
          </rPr>
          <t>Ingrid Malmgren:</t>
        </r>
        <r>
          <rPr>
            <sz val="9"/>
            <color indexed="81"/>
            <rFont val="Tahoma"/>
            <family val="2"/>
          </rPr>
          <t xml:space="preserve">
prescriptive rebate program</t>
        </r>
      </text>
    </comment>
    <comment ref="ALC2" authorId="0">
      <text>
        <r>
          <rPr>
            <b/>
            <sz val="9"/>
            <color indexed="81"/>
            <rFont val="Tahoma"/>
            <family val="2"/>
          </rPr>
          <t>Ingrid Malmgren:</t>
        </r>
        <r>
          <rPr>
            <sz val="9"/>
            <color indexed="81"/>
            <rFont val="Tahoma"/>
            <family val="2"/>
          </rPr>
          <t xml:space="preserve">
prescriptive rebate program</t>
        </r>
      </text>
    </comment>
    <comment ref="ALD2" authorId="0">
      <text>
        <r>
          <rPr>
            <b/>
            <sz val="9"/>
            <color indexed="81"/>
            <rFont val="Tahoma"/>
            <family val="2"/>
          </rPr>
          <t>Ingrid Malmgren:</t>
        </r>
        <r>
          <rPr>
            <sz val="9"/>
            <color indexed="81"/>
            <rFont val="Tahoma"/>
            <family val="2"/>
          </rPr>
          <t xml:space="preserve">
prescriptive rebate program</t>
        </r>
      </text>
    </comment>
    <comment ref="ALE2" authorId="0">
      <text>
        <r>
          <rPr>
            <b/>
            <sz val="9"/>
            <color indexed="81"/>
            <rFont val="Tahoma"/>
            <family val="2"/>
          </rPr>
          <t>Ingrid Malmgren:</t>
        </r>
        <r>
          <rPr>
            <sz val="9"/>
            <color indexed="81"/>
            <rFont val="Tahoma"/>
            <family val="2"/>
          </rPr>
          <t xml:space="preserve">
prescriptive rebate program</t>
        </r>
      </text>
    </comment>
    <comment ref="ALF2" authorId="0">
      <text>
        <r>
          <rPr>
            <b/>
            <sz val="9"/>
            <color indexed="81"/>
            <rFont val="Tahoma"/>
            <family val="2"/>
          </rPr>
          <t>Ingrid Malmgren:</t>
        </r>
        <r>
          <rPr>
            <sz val="9"/>
            <color indexed="81"/>
            <rFont val="Tahoma"/>
            <family val="2"/>
          </rPr>
          <t xml:space="preserve">
prescriptive rebate program</t>
        </r>
      </text>
    </comment>
    <comment ref="ALG2" authorId="0">
      <text>
        <r>
          <rPr>
            <b/>
            <sz val="9"/>
            <color indexed="81"/>
            <rFont val="Tahoma"/>
            <family val="2"/>
          </rPr>
          <t>Ingrid Malmgren:</t>
        </r>
        <r>
          <rPr>
            <sz val="9"/>
            <color indexed="81"/>
            <rFont val="Tahoma"/>
            <family val="2"/>
          </rPr>
          <t xml:space="preserve">
prescriptive rebate program</t>
        </r>
      </text>
    </comment>
    <comment ref="ALH2" authorId="0">
      <text>
        <r>
          <rPr>
            <b/>
            <sz val="9"/>
            <color indexed="81"/>
            <rFont val="Tahoma"/>
            <family val="2"/>
          </rPr>
          <t>Ingrid Malmgren:</t>
        </r>
        <r>
          <rPr>
            <sz val="9"/>
            <color indexed="81"/>
            <rFont val="Tahoma"/>
            <family val="2"/>
          </rPr>
          <t xml:space="preserve">
prescriptive rebate program</t>
        </r>
      </text>
    </comment>
    <comment ref="ALI2" authorId="0">
      <text>
        <r>
          <rPr>
            <b/>
            <sz val="9"/>
            <color indexed="81"/>
            <rFont val="Tahoma"/>
            <family val="2"/>
          </rPr>
          <t>Ingrid Malmgren:</t>
        </r>
        <r>
          <rPr>
            <sz val="9"/>
            <color indexed="81"/>
            <rFont val="Tahoma"/>
            <family val="2"/>
          </rPr>
          <t xml:space="preserve">
prescriptive rebate program</t>
        </r>
      </text>
    </comment>
    <comment ref="ALJ2" authorId="0">
      <text>
        <r>
          <rPr>
            <b/>
            <sz val="9"/>
            <color indexed="81"/>
            <rFont val="Tahoma"/>
            <family val="2"/>
          </rPr>
          <t>Ingrid Malmgren:</t>
        </r>
        <r>
          <rPr>
            <sz val="9"/>
            <color indexed="81"/>
            <rFont val="Tahoma"/>
            <family val="2"/>
          </rPr>
          <t xml:space="preserve">
prescriptive rebate program</t>
        </r>
      </text>
    </comment>
    <comment ref="ALK2" authorId="0">
      <text>
        <r>
          <rPr>
            <b/>
            <sz val="9"/>
            <color indexed="81"/>
            <rFont val="Tahoma"/>
            <family val="2"/>
          </rPr>
          <t>Ingrid Malmgren:</t>
        </r>
        <r>
          <rPr>
            <sz val="9"/>
            <color indexed="81"/>
            <rFont val="Tahoma"/>
            <family val="2"/>
          </rPr>
          <t xml:space="preserve">
prescriptive rebate program</t>
        </r>
      </text>
    </comment>
    <comment ref="ALL2" authorId="0">
      <text>
        <r>
          <rPr>
            <b/>
            <sz val="9"/>
            <color indexed="81"/>
            <rFont val="Tahoma"/>
            <family val="2"/>
          </rPr>
          <t>Ingrid Malmgren:</t>
        </r>
        <r>
          <rPr>
            <sz val="9"/>
            <color indexed="81"/>
            <rFont val="Tahoma"/>
            <family val="2"/>
          </rPr>
          <t xml:space="preserve">
prescriptive rebate program</t>
        </r>
      </text>
    </comment>
    <comment ref="ALM2" authorId="0">
      <text>
        <r>
          <rPr>
            <b/>
            <sz val="9"/>
            <color indexed="81"/>
            <rFont val="Tahoma"/>
            <family val="2"/>
          </rPr>
          <t>Ingrid Malmgren:</t>
        </r>
        <r>
          <rPr>
            <sz val="9"/>
            <color indexed="81"/>
            <rFont val="Tahoma"/>
            <family val="2"/>
          </rPr>
          <t xml:space="preserve">
prescriptive rebate program</t>
        </r>
      </text>
    </comment>
    <comment ref="ALN2" authorId="0">
      <text>
        <r>
          <rPr>
            <b/>
            <sz val="9"/>
            <color indexed="81"/>
            <rFont val="Tahoma"/>
            <family val="2"/>
          </rPr>
          <t>Ingrid Malmgren:</t>
        </r>
        <r>
          <rPr>
            <sz val="9"/>
            <color indexed="81"/>
            <rFont val="Tahoma"/>
            <family val="2"/>
          </rPr>
          <t xml:space="preserve">
prescriptive rebate program</t>
        </r>
      </text>
    </comment>
    <comment ref="ALO2" authorId="0">
      <text>
        <r>
          <rPr>
            <b/>
            <sz val="9"/>
            <color indexed="81"/>
            <rFont val="Tahoma"/>
            <family val="2"/>
          </rPr>
          <t>Ingrid Malmgren:</t>
        </r>
        <r>
          <rPr>
            <sz val="9"/>
            <color indexed="81"/>
            <rFont val="Tahoma"/>
            <family val="2"/>
          </rPr>
          <t xml:space="preserve">
prescriptive rebate program</t>
        </r>
      </text>
    </comment>
    <comment ref="ALP2" authorId="0">
      <text>
        <r>
          <rPr>
            <b/>
            <sz val="9"/>
            <color indexed="81"/>
            <rFont val="Tahoma"/>
            <family val="2"/>
          </rPr>
          <t>Ingrid Malmgren:</t>
        </r>
        <r>
          <rPr>
            <sz val="9"/>
            <color indexed="81"/>
            <rFont val="Tahoma"/>
            <family val="2"/>
          </rPr>
          <t xml:space="preserve">
prescriptive rebate program</t>
        </r>
      </text>
    </comment>
    <comment ref="ALQ2" authorId="0">
      <text>
        <r>
          <rPr>
            <b/>
            <sz val="9"/>
            <color indexed="81"/>
            <rFont val="Tahoma"/>
            <family val="2"/>
          </rPr>
          <t>Ingrid Malmgren:</t>
        </r>
        <r>
          <rPr>
            <sz val="9"/>
            <color indexed="81"/>
            <rFont val="Tahoma"/>
            <family val="2"/>
          </rPr>
          <t xml:space="preserve">
prescriptive rebate program</t>
        </r>
      </text>
    </comment>
    <comment ref="ALR2" authorId="0">
      <text>
        <r>
          <rPr>
            <b/>
            <sz val="9"/>
            <color indexed="81"/>
            <rFont val="Tahoma"/>
            <family val="2"/>
          </rPr>
          <t>Ingrid Malmgren:</t>
        </r>
        <r>
          <rPr>
            <sz val="9"/>
            <color indexed="81"/>
            <rFont val="Tahoma"/>
            <family val="2"/>
          </rPr>
          <t xml:space="preserve">
prescriptive rebate program</t>
        </r>
      </text>
    </comment>
    <comment ref="ALS2" authorId="0">
      <text>
        <r>
          <rPr>
            <b/>
            <sz val="9"/>
            <color indexed="81"/>
            <rFont val="Tahoma"/>
            <family val="2"/>
          </rPr>
          <t>Ingrid Malmgren:</t>
        </r>
        <r>
          <rPr>
            <sz val="9"/>
            <color indexed="81"/>
            <rFont val="Tahoma"/>
            <family val="2"/>
          </rPr>
          <t xml:space="preserve">
prescriptive rebate program</t>
        </r>
      </text>
    </comment>
    <comment ref="ALT2" authorId="0">
      <text>
        <r>
          <rPr>
            <b/>
            <sz val="9"/>
            <color indexed="81"/>
            <rFont val="Tahoma"/>
            <family val="2"/>
          </rPr>
          <t>Ingrid Malmgren:</t>
        </r>
        <r>
          <rPr>
            <sz val="9"/>
            <color indexed="81"/>
            <rFont val="Tahoma"/>
            <family val="2"/>
          </rPr>
          <t xml:space="preserve">
prescriptive rebate program</t>
        </r>
      </text>
    </comment>
    <comment ref="ALU2" authorId="0">
      <text>
        <r>
          <rPr>
            <b/>
            <sz val="9"/>
            <color indexed="81"/>
            <rFont val="Tahoma"/>
            <family val="2"/>
          </rPr>
          <t>Ingrid Malmgren:</t>
        </r>
        <r>
          <rPr>
            <sz val="9"/>
            <color indexed="81"/>
            <rFont val="Tahoma"/>
            <family val="2"/>
          </rPr>
          <t xml:space="preserve">
prescriptive rebate program</t>
        </r>
      </text>
    </comment>
    <comment ref="ALV2" authorId="0">
      <text>
        <r>
          <rPr>
            <b/>
            <sz val="9"/>
            <color indexed="81"/>
            <rFont val="Tahoma"/>
            <family val="2"/>
          </rPr>
          <t>Ingrid Malmgren:</t>
        </r>
        <r>
          <rPr>
            <sz val="9"/>
            <color indexed="81"/>
            <rFont val="Tahoma"/>
            <family val="2"/>
          </rPr>
          <t xml:space="preserve">
prescriptive rebate program</t>
        </r>
      </text>
    </comment>
    <comment ref="ALW2" authorId="0">
      <text>
        <r>
          <rPr>
            <b/>
            <sz val="9"/>
            <color indexed="81"/>
            <rFont val="Tahoma"/>
            <family val="2"/>
          </rPr>
          <t>Ingrid Malmgren:</t>
        </r>
        <r>
          <rPr>
            <sz val="9"/>
            <color indexed="81"/>
            <rFont val="Tahoma"/>
            <family val="2"/>
          </rPr>
          <t xml:space="preserve">
prescriptive rebate program</t>
        </r>
      </text>
    </comment>
    <comment ref="ALX2" authorId="0">
      <text>
        <r>
          <rPr>
            <b/>
            <sz val="9"/>
            <color indexed="81"/>
            <rFont val="Tahoma"/>
            <family val="2"/>
          </rPr>
          <t>Ingrid Malmgren:</t>
        </r>
        <r>
          <rPr>
            <sz val="9"/>
            <color indexed="81"/>
            <rFont val="Tahoma"/>
            <family val="2"/>
          </rPr>
          <t xml:space="preserve">
prescriptive rebate program</t>
        </r>
      </text>
    </comment>
    <comment ref="ALY2" authorId="0">
      <text>
        <r>
          <rPr>
            <b/>
            <sz val="9"/>
            <color indexed="81"/>
            <rFont val="Tahoma"/>
            <family val="2"/>
          </rPr>
          <t>Ingrid Malmgren:</t>
        </r>
        <r>
          <rPr>
            <sz val="9"/>
            <color indexed="81"/>
            <rFont val="Tahoma"/>
            <family val="2"/>
          </rPr>
          <t xml:space="preserve">
prescriptive rebate program</t>
        </r>
      </text>
    </comment>
    <comment ref="ALZ2" authorId="0">
      <text>
        <r>
          <rPr>
            <b/>
            <sz val="9"/>
            <color indexed="81"/>
            <rFont val="Tahoma"/>
            <family val="2"/>
          </rPr>
          <t>Ingrid Malmgren:</t>
        </r>
        <r>
          <rPr>
            <sz val="9"/>
            <color indexed="81"/>
            <rFont val="Tahoma"/>
            <family val="2"/>
          </rPr>
          <t xml:space="preserve">
prescriptive rebate program</t>
        </r>
      </text>
    </comment>
    <comment ref="AMA2" authorId="0">
      <text>
        <r>
          <rPr>
            <b/>
            <sz val="9"/>
            <color indexed="81"/>
            <rFont val="Tahoma"/>
            <family val="2"/>
          </rPr>
          <t>Ingrid Malmgren:</t>
        </r>
        <r>
          <rPr>
            <sz val="9"/>
            <color indexed="81"/>
            <rFont val="Tahoma"/>
            <family val="2"/>
          </rPr>
          <t xml:space="preserve">
prescriptive rebate program</t>
        </r>
      </text>
    </comment>
    <comment ref="AMB2" authorId="0">
      <text>
        <r>
          <rPr>
            <b/>
            <sz val="9"/>
            <color indexed="81"/>
            <rFont val="Tahoma"/>
            <family val="2"/>
          </rPr>
          <t>Ingrid Malmgren:</t>
        </r>
        <r>
          <rPr>
            <sz val="9"/>
            <color indexed="81"/>
            <rFont val="Tahoma"/>
            <family val="2"/>
          </rPr>
          <t xml:space="preserve">
prescriptive rebate program</t>
        </r>
      </text>
    </comment>
    <comment ref="AMC2" authorId="0">
      <text>
        <r>
          <rPr>
            <b/>
            <sz val="9"/>
            <color indexed="81"/>
            <rFont val="Tahoma"/>
            <family val="2"/>
          </rPr>
          <t>Ingrid Malmgren:</t>
        </r>
        <r>
          <rPr>
            <sz val="9"/>
            <color indexed="81"/>
            <rFont val="Tahoma"/>
            <family val="2"/>
          </rPr>
          <t xml:space="preserve">
prescriptive rebate program</t>
        </r>
      </text>
    </comment>
    <comment ref="AMD2" authorId="0">
      <text>
        <r>
          <rPr>
            <b/>
            <sz val="9"/>
            <color indexed="81"/>
            <rFont val="Tahoma"/>
            <family val="2"/>
          </rPr>
          <t>Ingrid Malmgren:</t>
        </r>
        <r>
          <rPr>
            <sz val="9"/>
            <color indexed="81"/>
            <rFont val="Tahoma"/>
            <family val="2"/>
          </rPr>
          <t xml:space="preserve">
prescriptive rebate program</t>
        </r>
      </text>
    </comment>
    <comment ref="AME2" authorId="0">
      <text>
        <r>
          <rPr>
            <b/>
            <sz val="9"/>
            <color indexed="81"/>
            <rFont val="Tahoma"/>
            <family val="2"/>
          </rPr>
          <t>Ingrid Malmgren:</t>
        </r>
        <r>
          <rPr>
            <sz val="9"/>
            <color indexed="81"/>
            <rFont val="Tahoma"/>
            <family val="2"/>
          </rPr>
          <t xml:space="preserve">
prescriptive rebate program</t>
        </r>
      </text>
    </comment>
    <comment ref="AMF2" authorId="0">
      <text>
        <r>
          <rPr>
            <b/>
            <sz val="9"/>
            <color indexed="81"/>
            <rFont val="Tahoma"/>
            <family val="2"/>
          </rPr>
          <t>Ingrid Malmgren:</t>
        </r>
        <r>
          <rPr>
            <sz val="9"/>
            <color indexed="81"/>
            <rFont val="Tahoma"/>
            <family val="2"/>
          </rPr>
          <t xml:space="preserve">
prescriptive rebate program</t>
        </r>
      </text>
    </comment>
    <comment ref="AMG2" authorId="0">
      <text>
        <r>
          <rPr>
            <b/>
            <sz val="9"/>
            <color indexed="81"/>
            <rFont val="Tahoma"/>
            <family val="2"/>
          </rPr>
          <t>Ingrid Malmgren:</t>
        </r>
        <r>
          <rPr>
            <sz val="9"/>
            <color indexed="81"/>
            <rFont val="Tahoma"/>
            <family val="2"/>
          </rPr>
          <t xml:space="preserve">
prescriptive rebate program</t>
        </r>
      </text>
    </comment>
    <comment ref="AMH2" authorId="0">
      <text>
        <r>
          <rPr>
            <b/>
            <sz val="9"/>
            <color indexed="81"/>
            <rFont val="Tahoma"/>
            <family val="2"/>
          </rPr>
          <t>Ingrid Malmgren:</t>
        </r>
        <r>
          <rPr>
            <sz val="9"/>
            <color indexed="81"/>
            <rFont val="Tahoma"/>
            <family val="2"/>
          </rPr>
          <t xml:space="preserve">
prescriptive rebate program</t>
        </r>
      </text>
    </comment>
    <comment ref="AMI2" authorId="0">
      <text>
        <r>
          <rPr>
            <b/>
            <sz val="9"/>
            <color indexed="81"/>
            <rFont val="Tahoma"/>
            <family val="2"/>
          </rPr>
          <t>Ingrid Malmgren:</t>
        </r>
        <r>
          <rPr>
            <sz val="9"/>
            <color indexed="81"/>
            <rFont val="Tahoma"/>
            <family val="2"/>
          </rPr>
          <t xml:space="preserve">
prescriptive rebate program</t>
        </r>
      </text>
    </comment>
    <comment ref="AMJ2" authorId="0">
      <text>
        <r>
          <rPr>
            <b/>
            <sz val="9"/>
            <color indexed="81"/>
            <rFont val="Tahoma"/>
            <family val="2"/>
          </rPr>
          <t>Ingrid Malmgren:</t>
        </r>
        <r>
          <rPr>
            <sz val="9"/>
            <color indexed="81"/>
            <rFont val="Tahoma"/>
            <family val="2"/>
          </rPr>
          <t xml:space="preserve">
prescriptive rebate program</t>
        </r>
      </text>
    </comment>
    <comment ref="AMK2" authorId="0">
      <text>
        <r>
          <rPr>
            <b/>
            <sz val="9"/>
            <color indexed="81"/>
            <rFont val="Tahoma"/>
            <family val="2"/>
          </rPr>
          <t>Ingrid Malmgren:</t>
        </r>
        <r>
          <rPr>
            <sz val="9"/>
            <color indexed="81"/>
            <rFont val="Tahoma"/>
            <family val="2"/>
          </rPr>
          <t xml:space="preserve">
prescriptive rebate program</t>
        </r>
      </text>
    </comment>
    <comment ref="AML2" authorId="0">
      <text>
        <r>
          <rPr>
            <b/>
            <sz val="9"/>
            <color indexed="81"/>
            <rFont val="Tahoma"/>
            <family val="2"/>
          </rPr>
          <t>Ingrid Malmgren:</t>
        </r>
        <r>
          <rPr>
            <sz val="9"/>
            <color indexed="81"/>
            <rFont val="Tahoma"/>
            <family val="2"/>
          </rPr>
          <t xml:space="preserve">
prescriptive rebate program</t>
        </r>
      </text>
    </comment>
    <comment ref="AMM2" authorId="0">
      <text>
        <r>
          <rPr>
            <b/>
            <sz val="9"/>
            <color indexed="81"/>
            <rFont val="Tahoma"/>
            <family val="2"/>
          </rPr>
          <t>Ingrid Malmgren:</t>
        </r>
        <r>
          <rPr>
            <sz val="9"/>
            <color indexed="81"/>
            <rFont val="Tahoma"/>
            <family val="2"/>
          </rPr>
          <t xml:space="preserve">
prescriptive rebate program</t>
        </r>
      </text>
    </comment>
    <comment ref="AMN2" authorId="0">
      <text>
        <r>
          <rPr>
            <b/>
            <sz val="9"/>
            <color indexed="81"/>
            <rFont val="Tahoma"/>
            <family val="2"/>
          </rPr>
          <t>Ingrid Malmgren:</t>
        </r>
        <r>
          <rPr>
            <sz val="9"/>
            <color indexed="81"/>
            <rFont val="Tahoma"/>
            <family val="2"/>
          </rPr>
          <t xml:space="preserve">
prescriptive rebate program</t>
        </r>
      </text>
    </comment>
    <comment ref="AMO2" authorId="0">
      <text>
        <r>
          <rPr>
            <b/>
            <sz val="9"/>
            <color indexed="81"/>
            <rFont val="Tahoma"/>
            <family val="2"/>
          </rPr>
          <t>Ingrid Malmgren:</t>
        </r>
        <r>
          <rPr>
            <sz val="9"/>
            <color indexed="81"/>
            <rFont val="Tahoma"/>
            <family val="2"/>
          </rPr>
          <t xml:space="preserve">
prescriptive rebate program</t>
        </r>
      </text>
    </comment>
    <comment ref="AMP2" authorId="0">
      <text>
        <r>
          <rPr>
            <b/>
            <sz val="9"/>
            <color indexed="81"/>
            <rFont val="Tahoma"/>
            <family val="2"/>
          </rPr>
          <t>Ingrid Malmgren:</t>
        </r>
        <r>
          <rPr>
            <sz val="9"/>
            <color indexed="81"/>
            <rFont val="Tahoma"/>
            <family val="2"/>
          </rPr>
          <t xml:space="preserve">
prescriptive rebate program</t>
        </r>
      </text>
    </comment>
    <comment ref="AMQ2" authorId="0">
      <text>
        <r>
          <rPr>
            <b/>
            <sz val="9"/>
            <color indexed="81"/>
            <rFont val="Tahoma"/>
            <family val="2"/>
          </rPr>
          <t>Ingrid Malmgren:</t>
        </r>
        <r>
          <rPr>
            <sz val="9"/>
            <color indexed="81"/>
            <rFont val="Tahoma"/>
            <family val="2"/>
          </rPr>
          <t xml:space="preserve">
prescriptive rebate program</t>
        </r>
      </text>
    </comment>
    <comment ref="AMR2" authorId="0">
      <text>
        <r>
          <rPr>
            <b/>
            <sz val="9"/>
            <color indexed="81"/>
            <rFont val="Tahoma"/>
            <family val="2"/>
          </rPr>
          <t>Ingrid Malmgren:</t>
        </r>
        <r>
          <rPr>
            <sz val="9"/>
            <color indexed="81"/>
            <rFont val="Tahoma"/>
            <family val="2"/>
          </rPr>
          <t xml:space="preserve">
prescriptive rebate program</t>
        </r>
      </text>
    </comment>
    <comment ref="AMS2" authorId="0">
      <text>
        <r>
          <rPr>
            <b/>
            <sz val="9"/>
            <color indexed="81"/>
            <rFont val="Tahoma"/>
            <family val="2"/>
          </rPr>
          <t>Ingrid Malmgren:</t>
        </r>
        <r>
          <rPr>
            <sz val="9"/>
            <color indexed="81"/>
            <rFont val="Tahoma"/>
            <family val="2"/>
          </rPr>
          <t xml:space="preserve">
prescriptive rebate program</t>
        </r>
      </text>
    </comment>
    <comment ref="AMT2" authorId="0">
      <text>
        <r>
          <rPr>
            <b/>
            <sz val="9"/>
            <color indexed="81"/>
            <rFont val="Tahoma"/>
            <family val="2"/>
          </rPr>
          <t>Ingrid Malmgren:</t>
        </r>
        <r>
          <rPr>
            <sz val="9"/>
            <color indexed="81"/>
            <rFont val="Tahoma"/>
            <family val="2"/>
          </rPr>
          <t xml:space="preserve">
prescriptive rebate program</t>
        </r>
      </text>
    </comment>
    <comment ref="AMU2" authorId="0">
      <text>
        <r>
          <rPr>
            <b/>
            <sz val="9"/>
            <color indexed="81"/>
            <rFont val="Tahoma"/>
            <family val="2"/>
          </rPr>
          <t>Ingrid Malmgren:</t>
        </r>
        <r>
          <rPr>
            <sz val="9"/>
            <color indexed="81"/>
            <rFont val="Tahoma"/>
            <family val="2"/>
          </rPr>
          <t xml:space="preserve">
prescriptive rebate program</t>
        </r>
      </text>
    </comment>
    <comment ref="AMV2" authorId="0">
      <text>
        <r>
          <rPr>
            <b/>
            <sz val="9"/>
            <color indexed="81"/>
            <rFont val="Tahoma"/>
            <family val="2"/>
          </rPr>
          <t>Ingrid Malmgren:</t>
        </r>
        <r>
          <rPr>
            <sz val="9"/>
            <color indexed="81"/>
            <rFont val="Tahoma"/>
            <family val="2"/>
          </rPr>
          <t xml:space="preserve">
prescriptive rebate program</t>
        </r>
      </text>
    </comment>
    <comment ref="AMW2" authorId="0">
      <text>
        <r>
          <rPr>
            <b/>
            <sz val="9"/>
            <color indexed="81"/>
            <rFont val="Tahoma"/>
            <family val="2"/>
          </rPr>
          <t>Ingrid Malmgren:</t>
        </r>
        <r>
          <rPr>
            <sz val="9"/>
            <color indexed="81"/>
            <rFont val="Tahoma"/>
            <family val="2"/>
          </rPr>
          <t xml:space="preserve">
prescriptive rebate program</t>
        </r>
      </text>
    </comment>
    <comment ref="AMX2" authorId="0">
      <text>
        <r>
          <rPr>
            <b/>
            <sz val="9"/>
            <color indexed="81"/>
            <rFont val="Tahoma"/>
            <family val="2"/>
          </rPr>
          <t>Ingrid Malmgren:</t>
        </r>
        <r>
          <rPr>
            <sz val="9"/>
            <color indexed="81"/>
            <rFont val="Tahoma"/>
            <family val="2"/>
          </rPr>
          <t xml:space="preserve">
prescriptive rebate program</t>
        </r>
      </text>
    </comment>
    <comment ref="AMY2" authorId="0">
      <text>
        <r>
          <rPr>
            <b/>
            <sz val="9"/>
            <color indexed="81"/>
            <rFont val="Tahoma"/>
            <family val="2"/>
          </rPr>
          <t>Ingrid Malmgren:</t>
        </r>
        <r>
          <rPr>
            <sz val="9"/>
            <color indexed="81"/>
            <rFont val="Tahoma"/>
            <family val="2"/>
          </rPr>
          <t xml:space="preserve">
prescriptive rebate program</t>
        </r>
      </text>
    </comment>
    <comment ref="AMZ2" authorId="0">
      <text>
        <r>
          <rPr>
            <b/>
            <sz val="9"/>
            <color indexed="81"/>
            <rFont val="Tahoma"/>
            <family val="2"/>
          </rPr>
          <t>Ingrid Malmgren:</t>
        </r>
        <r>
          <rPr>
            <sz val="9"/>
            <color indexed="81"/>
            <rFont val="Tahoma"/>
            <family val="2"/>
          </rPr>
          <t xml:space="preserve">
prescriptive rebate program</t>
        </r>
      </text>
    </comment>
    <comment ref="ANA2" authorId="0">
      <text>
        <r>
          <rPr>
            <b/>
            <sz val="9"/>
            <color indexed="81"/>
            <rFont val="Tahoma"/>
            <family val="2"/>
          </rPr>
          <t>Ingrid Malmgren:</t>
        </r>
        <r>
          <rPr>
            <sz val="9"/>
            <color indexed="81"/>
            <rFont val="Tahoma"/>
            <family val="2"/>
          </rPr>
          <t xml:space="preserve">
prescriptive rebate program</t>
        </r>
      </text>
    </comment>
    <comment ref="ANB2" authorId="0">
      <text>
        <r>
          <rPr>
            <b/>
            <sz val="9"/>
            <color indexed="81"/>
            <rFont val="Tahoma"/>
            <family val="2"/>
          </rPr>
          <t>Ingrid Malmgren:</t>
        </r>
        <r>
          <rPr>
            <sz val="9"/>
            <color indexed="81"/>
            <rFont val="Tahoma"/>
            <family val="2"/>
          </rPr>
          <t xml:space="preserve">
prescriptive rebate program</t>
        </r>
      </text>
    </comment>
    <comment ref="ANC2" authorId="0">
      <text>
        <r>
          <rPr>
            <b/>
            <sz val="9"/>
            <color indexed="81"/>
            <rFont val="Tahoma"/>
            <family val="2"/>
          </rPr>
          <t>Ingrid Malmgren:</t>
        </r>
        <r>
          <rPr>
            <sz val="9"/>
            <color indexed="81"/>
            <rFont val="Tahoma"/>
            <family val="2"/>
          </rPr>
          <t xml:space="preserve">
prescriptive rebate program</t>
        </r>
      </text>
    </comment>
    <comment ref="AND2" authorId="0">
      <text>
        <r>
          <rPr>
            <b/>
            <sz val="9"/>
            <color indexed="81"/>
            <rFont val="Tahoma"/>
            <family val="2"/>
          </rPr>
          <t>Ingrid Malmgren:</t>
        </r>
        <r>
          <rPr>
            <sz val="9"/>
            <color indexed="81"/>
            <rFont val="Tahoma"/>
            <family val="2"/>
          </rPr>
          <t xml:space="preserve">
prescriptive rebate program</t>
        </r>
      </text>
    </comment>
    <comment ref="ANE2" authorId="0">
      <text>
        <r>
          <rPr>
            <b/>
            <sz val="9"/>
            <color indexed="81"/>
            <rFont val="Tahoma"/>
            <family val="2"/>
          </rPr>
          <t>Ingrid Malmgren:</t>
        </r>
        <r>
          <rPr>
            <sz val="9"/>
            <color indexed="81"/>
            <rFont val="Tahoma"/>
            <family val="2"/>
          </rPr>
          <t xml:space="preserve">
prescriptive rebate program</t>
        </r>
      </text>
    </comment>
    <comment ref="ANF2" authorId="0">
      <text>
        <r>
          <rPr>
            <b/>
            <sz val="9"/>
            <color indexed="81"/>
            <rFont val="Tahoma"/>
            <family val="2"/>
          </rPr>
          <t>Ingrid Malmgren:</t>
        </r>
        <r>
          <rPr>
            <sz val="9"/>
            <color indexed="81"/>
            <rFont val="Tahoma"/>
            <family val="2"/>
          </rPr>
          <t xml:space="preserve">
prescriptive rebate program</t>
        </r>
      </text>
    </comment>
    <comment ref="ANG2" authorId="0">
      <text>
        <r>
          <rPr>
            <b/>
            <sz val="9"/>
            <color indexed="81"/>
            <rFont val="Tahoma"/>
            <family val="2"/>
          </rPr>
          <t>Ingrid Malmgren:</t>
        </r>
        <r>
          <rPr>
            <sz val="9"/>
            <color indexed="81"/>
            <rFont val="Tahoma"/>
            <family val="2"/>
          </rPr>
          <t xml:space="preserve">
prescriptive rebate program</t>
        </r>
      </text>
    </comment>
    <comment ref="ANH2" authorId="0">
      <text>
        <r>
          <rPr>
            <b/>
            <sz val="9"/>
            <color indexed="81"/>
            <rFont val="Tahoma"/>
            <family val="2"/>
          </rPr>
          <t>Ingrid Malmgren:</t>
        </r>
        <r>
          <rPr>
            <sz val="9"/>
            <color indexed="81"/>
            <rFont val="Tahoma"/>
            <family val="2"/>
          </rPr>
          <t xml:space="preserve">
prescriptive rebate program</t>
        </r>
      </text>
    </comment>
    <comment ref="ANI2" authorId="0">
      <text>
        <r>
          <rPr>
            <b/>
            <sz val="9"/>
            <color indexed="81"/>
            <rFont val="Tahoma"/>
            <family val="2"/>
          </rPr>
          <t>Ingrid Malmgren:</t>
        </r>
        <r>
          <rPr>
            <sz val="9"/>
            <color indexed="81"/>
            <rFont val="Tahoma"/>
            <family val="2"/>
          </rPr>
          <t xml:space="preserve">
prescriptive rebate program</t>
        </r>
      </text>
    </comment>
    <comment ref="ANJ2" authorId="0">
      <text>
        <r>
          <rPr>
            <b/>
            <sz val="9"/>
            <color indexed="81"/>
            <rFont val="Tahoma"/>
            <family val="2"/>
          </rPr>
          <t>Ingrid Malmgren:</t>
        </r>
        <r>
          <rPr>
            <sz val="9"/>
            <color indexed="81"/>
            <rFont val="Tahoma"/>
            <family val="2"/>
          </rPr>
          <t xml:space="preserve">
prescriptive rebate program</t>
        </r>
      </text>
    </comment>
    <comment ref="ANK2" authorId="0">
      <text>
        <r>
          <rPr>
            <b/>
            <sz val="9"/>
            <color indexed="81"/>
            <rFont val="Tahoma"/>
            <family val="2"/>
          </rPr>
          <t>Ingrid Malmgren:</t>
        </r>
        <r>
          <rPr>
            <sz val="9"/>
            <color indexed="81"/>
            <rFont val="Tahoma"/>
            <family val="2"/>
          </rPr>
          <t xml:space="preserve">
prescriptive rebate program</t>
        </r>
      </text>
    </comment>
    <comment ref="ANL2" authorId="0">
      <text>
        <r>
          <rPr>
            <b/>
            <sz val="9"/>
            <color indexed="81"/>
            <rFont val="Tahoma"/>
            <family val="2"/>
          </rPr>
          <t>Ingrid Malmgren:</t>
        </r>
        <r>
          <rPr>
            <sz val="9"/>
            <color indexed="81"/>
            <rFont val="Tahoma"/>
            <family val="2"/>
          </rPr>
          <t xml:space="preserve">
prescriptive rebate program</t>
        </r>
      </text>
    </comment>
    <comment ref="ANM2" authorId="0">
      <text>
        <r>
          <rPr>
            <b/>
            <sz val="9"/>
            <color indexed="81"/>
            <rFont val="Tahoma"/>
            <family val="2"/>
          </rPr>
          <t>Ingrid Malmgren:</t>
        </r>
        <r>
          <rPr>
            <sz val="9"/>
            <color indexed="81"/>
            <rFont val="Tahoma"/>
            <family val="2"/>
          </rPr>
          <t xml:space="preserve">
prescriptive rebate program</t>
        </r>
      </text>
    </comment>
    <comment ref="ANN2" authorId="0">
      <text>
        <r>
          <rPr>
            <b/>
            <sz val="9"/>
            <color indexed="81"/>
            <rFont val="Tahoma"/>
            <family val="2"/>
          </rPr>
          <t>Ingrid Malmgren:</t>
        </r>
        <r>
          <rPr>
            <sz val="9"/>
            <color indexed="81"/>
            <rFont val="Tahoma"/>
            <family val="2"/>
          </rPr>
          <t xml:space="preserve">
prescriptive rebate program</t>
        </r>
      </text>
    </comment>
    <comment ref="ANO2" authorId="0">
      <text>
        <r>
          <rPr>
            <b/>
            <sz val="9"/>
            <color indexed="81"/>
            <rFont val="Tahoma"/>
            <family val="2"/>
          </rPr>
          <t>Ingrid Malmgren:</t>
        </r>
        <r>
          <rPr>
            <sz val="9"/>
            <color indexed="81"/>
            <rFont val="Tahoma"/>
            <family val="2"/>
          </rPr>
          <t xml:space="preserve">
prescriptive rebate program</t>
        </r>
      </text>
    </comment>
    <comment ref="ANP2" authorId="0">
      <text>
        <r>
          <rPr>
            <b/>
            <sz val="9"/>
            <color indexed="81"/>
            <rFont val="Tahoma"/>
            <family val="2"/>
          </rPr>
          <t>Ingrid Malmgren:</t>
        </r>
        <r>
          <rPr>
            <sz val="9"/>
            <color indexed="81"/>
            <rFont val="Tahoma"/>
            <family val="2"/>
          </rPr>
          <t xml:space="preserve">
prescriptive rebate program</t>
        </r>
      </text>
    </comment>
    <comment ref="ANQ2" authorId="0">
      <text>
        <r>
          <rPr>
            <b/>
            <sz val="9"/>
            <color indexed="81"/>
            <rFont val="Tahoma"/>
            <family val="2"/>
          </rPr>
          <t>Ingrid Malmgren:</t>
        </r>
        <r>
          <rPr>
            <sz val="9"/>
            <color indexed="81"/>
            <rFont val="Tahoma"/>
            <family val="2"/>
          </rPr>
          <t xml:space="preserve">
prescriptive rebate program</t>
        </r>
      </text>
    </comment>
    <comment ref="ANR2" authorId="0">
      <text>
        <r>
          <rPr>
            <b/>
            <sz val="9"/>
            <color indexed="81"/>
            <rFont val="Tahoma"/>
            <family val="2"/>
          </rPr>
          <t>Ingrid Malmgren:</t>
        </r>
        <r>
          <rPr>
            <sz val="9"/>
            <color indexed="81"/>
            <rFont val="Tahoma"/>
            <family val="2"/>
          </rPr>
          <t xml:space="preserve">
prescriptive rebate program</t>
        </r>
      </text>
    </comment>
    <comment ref="ANS2" authorId="0">
      <text>
        <r>
          <rPr>
            <b/>
            <sz val="9"/>
            <color indexed="81"/>
            <rFont val="Tahoma"/>
            <family val="2"/>
          </rPr>
          <t>Ingrid Malmgren:</t>
        </r>
        <r>
          <rPr>
            <sz val="9"/>
            <color indexed="81"/>
            <rFont val="Tahoma"/>
            <family val="2"/>
          </rPr>
          <t xml:space="preserve">
prescriptive rebate program</t>
        </r>
      </text>
    </comment>
    <comment ref="ANT2" authorId="0">
      <text>
        <r>
          <rPr>
            <b/>
            <sz val="9"/>
            <color indexed="81"/>
            <rFont val="Tahoma"/>
            <family val="2"/>
          </rPr>
          <t>Ingrid Malmgren:</t>
        </r>
        <r>
          <rPr>
            <sz val="9"/>
            <color indexed="81"/>
            <rFont val="Tahoma"/>
            <family val="2"/>
          </rPr>
          <t xml:space="preserve">
prescriptive rebate program</t>
        </r>
      </text>
    </comment>
    <comment ref="ANU2" authorId="0">
      <text>
        <r>
          <rPr>
            <b/>
            <sz val="9"/>
            <color indexed="81"/>
            <rFont val="Tahoma"/>
            <family val="2"/>
          </rPr>
          <t>Ingrid Malmgren:</t>
        </r>
        <r>
          <rPr>
            <sz val="9"/>
            <color indexed="81"/>
            <rFont val="Tahoma"/>
            <family val="2"/>
          </rPr>
          <t xml:space="preserve">
prescriptive rebate program</t>
        </r>
      </text>
    </comment>
    <comment ref="ANV2" authorId="0">
      <text>
        <r>
          <rPr>
            <b/>
            <sz val="9"/>
            <color indexed="81"/>
            <rFont val="Tahoma"/>
            <family val="2"/>
          </rPr>
          <t>Ingrid Malmgren:</t>
        </r>
        <r>
          <rPr>
            <sz val="9"/>
            <color indexed="81"/>
            <rFont val="Tahoma"/>
            <family val="2"/>
          </rPr>
          <t xml:space="preserve">
prescriptive rebate program</t>
        </r>
      </text>
    </comment>
    <comment ref="ANW2" authorId="0">
      <text>
        <r>
          <rPr>
            <b/>
            <sz val="9"/>
            <color indexed="81"/>
            <rFont val="Tahoma"/>
            <family val="2"/>
          </rPr>
          <t>Ingrid Malmgren:</t>
        </r>
        <r>
          <rPr>
            <sz val="9"/>
            <color indexed="81"/>
            <rFont val="Tahoma"/>
            <family val="2"/>
          </rPr>
          <t xml:space="preserve">
prescriptive rebate program</t>
        </r>
      </text>
    </comment>
    <comment ref="ANX2" authorId="0">
      <text>
        <r>
          <rPr>
            <b/>
            <sz val="9"/>
            <color indexed="81"/>
            <rFont val="Tahoma"/>
            <family val="2"/>
          </rPr>
          <t>Ingrid Malmgren:</t>
        </r>
        <r>
          <rPr>
            <sz val="9"/>
            <color indexed="81"/>
            <rFont val="Tahoma"/>
            <family val="2"/>
          </rPr>
          <t xml:space="preserve">
prescriptive rebate program</t>
        </r>
      </text>
    </comment>
    <comment ref="ANY2" authorId="0">
      <text>
        <r>
          <rPr>
            <b/>
            <sz val="9"/>
            <color indexed="81"/>
            <rFont val="Tahoma"/>
            <family val="2"/>
          </rPr>
          <t>Ingrid Malmgren:</t>
        </r>
        <r>
          <rPr>
            <sz val="9"/>
            <color indexed="81"/>
            <rFont val="Tahoma"/>
            <family val="2"/>
          </rPr>
          <t xml:space="preserve">
prescriptive rebate program</t>
        </r>
      </text>
    </comment>
    <comment ref="ANZ2" authorId="0">
      <text>
        <r>
          <rPr>
            <b/>
            <sz val="9"/>
            <color indexed="81"/>
            <rFont val="Tahoma"/>
            <family val="2"/>
          </rPr>
          <t>Ingrid Malmgren:</t>
        </r>
        <r>
          <rPr>
            <sz val="9"/>
            <color indexed="81"/>
            <rFont val="Tahoma"/>
            <family val="2"/>
          </rPr>
          <t xml:space="preserve">
prescriptive rebate program</t>
        </r>
      </text>
    </comment>
    <comment ref="AOA2" authorId="0">
      <text>
        <r>
          <rPr>
            <b/>
            <sz val="9"/>
            <color indexed="81"/>
            <rFont val="Tahoma"/>
            <family val="2"/>
          </rPr>
          <t>Ingrid Malmgren:</t>
        </r>
        <r>
          <rPr>
            <sz val="9"/>
            <color indexed="81"/>
            <rFont val="Tahoma"/>
            <family val="2"/>
          </rPr>
          <t xml:space="preserve">
prescriptive rebate program</t>
        </r>
      </text>
    </comment>
    <comment ref="AOB2" authorId="0">
      <text>
        <r>
          <rPr>
            <b/>
            <sz val="9"/>
            <color indexed="81"/>
            <rFont val="Tahoma"/>
            <family val="2"/>
          </rPr>
          <t>Ingrid Malmgren:</t>
        </r>
        <r>
          <rPr>
            <sz val="9"/>
            <color indexed="81"/>
            <rFont val="Tahoma"/>
            <family val="2"/>
          </rPr>
          <t xml:space="preserve">
prescriptive rebate program</t>
        </r>
      </text>
    </comment>
    <comment ref="AOC2" authorId="0">
      <text>
        <r>
          <rPr>
            <b/>
            <sz val="9"/>
            <color indexed="81"/>
            <rFont val="Tahoma"/>
            <family val="2"/>
          </rPr>
          <t>Ingrid Malmgren:</t>
        </r>
        <r>
          <rPr>
            <sz val="9"/>
            <color indexed="81"/>
            <rFont val="Tahoma"/>
            <family val="2"/>
          </rPr>
          <t xml:space="preserve">
prescriptive rebate program</t>
        </r>
      </text>
    </comment>
    <comment ref="AOD2" authorId="0">
      <text>
        <r>
          <rPr>
            <b/>
            <sz val="9"/>
            <color indexed="81"/>
            <rFont val="Tahoma"/>
            <family val="2"/>
          </rPr>
          <t>Ingrid Malmgren:</t>
        </r>
        <r>
          <rPr>
            <sz val="9"/>
            <color indexed="81"/>
            <rFont val="Tahoma"/>
            <family val="2"/>
          </rPr>
          <t xml:space="preserve">
prescriptive rebate program</t>
        </r>
      </text>
    </comment>
    <comment ref="AOE2" authorId="0">
      <text>
        <r>
          <rPr>
            <b/>
            <sz val="9"/>
            <color indexed="81"/>
            <rFont val="Tahoma"/>
            <family val="2"/>
          </rPr>
          <t>Ingrid Malmgren:</t>
        </r>
        <r>
          <rPr>
            <sz val="9"/>
            <color indexed="81"/>
            <rFont val="Tahoma"/>
            <family val="2"/>
          </rPr>
          <t xml:space="preserve">
prescriptive rebate program</t>
        </r>
      </text>
    </comment>
    <comment ref="AOF2" authorId="0">
      <text>
        <r>
          <rPr>
            <b/>
            <sz val="9"/>
            <color indexed="81"/>
            <rFont val="Tahoma"/>
            <family val="2"/>
          </rPr>
          <t>Ingrid Malmgren:</t>
        </r>
        <r>
          <rPr>
            <sz val="9"/>
            <color indexed="81"/>
            <rFont val="Tahoma"/>
            <family val="2"/>
          </rPr>
          <t xml:space="preserve">
prescriptive rebate program</t>
        </r>
      </text>
    </comment>
    <comment ref="AOG2" authorId="0">
      <text>
        <r>
          <rPr>
            <b/>
            <sz val="9"/>
            <color indexed="81"/>
            <rFont val="Tahoma"/>
            <family val="2"/>
          </rPr>
          <t>Ingrid Malmgren:</t>
        </r>
        <r>
          <rPr>
            <sz val="9"/>
            <color indexed="81"/>
            <rFont val="Tahoma"/>
            <family val="2"/>
          </rPr>
          <t xml:space="preserve">
prescriptive rebate program</t>
        </r>
      </text>
    </comment>
    <comment ref="AOH2" authorId="0">
      <text>
        <r>
          <rPr>
            <b/>
            <sz val="9"/>
            <color indexed="81"/>
            <rFont val="Tahoma"/>
            <family val="2"/>
          </rPr>
          <t>Ingrid Malmgren:</t>
        </r>
        <r>
          <rPr>
            <sz val="9"/>
            <color indexed="81"/>
            <rFont val="Tahoma"/>
            <family val="2"/>
          </rPr>
          <t xml:space="preserve">
prescriptive rebate program</t>
        </r>
      </text>
    </comment>
    <comment ref="AOI2" authorId="0">
      <text>
        <r>
          <rPr>
            <b/>
            <sz val="9"/>
            <color indexed="81"/>
            <rFont val="Tahoma"/>
            <family val="2"/>
          </rPr>
          <t>Ingrid Malmgren:</t>
        </r>
        <r>
          <rPr>
            <sz val="9"/>
            <color indexed="81"/>
            <rFont val="Tahoma"/>
            <family val="2"/>
          </rPr>
          <t xml:space="preserve">
prescriptive rebate program</t>
        </r>
      </text>
    </comment>
    <comment ref="AOJ2" authorId="0">
      <text>
        <r>
          <rPr>
            <b/>
            <sz val="9"/>
            <color indexed="81"/>
            <rFont val="Tahoma"/>
            <family val="2"/>
          </rPr>
          <t>Ingrid Malmgren:</t>
        </r>
        <r>
          <rPr>
            <sz val="9"/>
            <color indexed="81"/>
            <rFont val="Tahoma"/>
            <family val="2"/>
          </rPr>
          <t xml:space="preserve">
prescriptive rebate program</t>
        </r>
      </text>
    </comment>
    <comment ref="AOK2" authorId="0">
      <text>
        <r>
          <rPr>
            <b/>
            <sz val="9"/>
            <color indexed="81"/>
            <rFont val="Tahoma"/>
            <family val="2"/>
          </rPr>
          <t>Ingrid Malmgren:</t>
        </r>
        <r>
          <rPr>
            <sz val="9"/>
            <color indexed="81"/>
            <rFont val="Tahoma"/>
            <family val="2"/>
          </rPr>
          <t xml:space="preserve">
prescriptive rebate program</t>
        </r>
      </text>
    </comment>
    <comment ref="AOL2" authorId="0">
      <text>
        <r>
          <rPr>
            <b/>
            <sz val="9"/>
            <color indexed="81"/>
            <rFont val="Tahoma"/>
            <family val="2"/>
          </rPr>
          <t>Ingrid Malmgren:</t>
        </r>
        <r>
          <rPr>
            <sz val="9"/>
            <color indexed="81"/>
            <rFont val="Tahoma"/>
            <family val="2"/>
          </rPr>
          <t xml:space="preserve">
prescriptive rebate program</t>
        </r>
      </text>
    </comment>
    <comment ref="AOM2" authorId="0">
      <text>
        <r>
          <rPr>
            <b/>
            <sz val="9"/>
            <color indexed="81"/>
            <rFont val="Tahoma"/>
            <family val="2"/>
          </rPr>
          <t>Ingrid Malmgren:</t>
        </r>
        <r>
          <rPr>
            <sz val="9"/>
            <color indexed="81"/>
            <rFont val="Tahoma"/>
            <family val="2"/>
          </rPr>
          <t xml:space="preserve">
prescriptive rebate program</t>
        </r>
      </text>
    </comment>
    <comment ref="AON2" authorId="0">
      <text>
        <r>
          <rPr>
            <b/>
            <sz val="9"/>
            <color indexed="81"/>
            <rFont val="Tahoma"/>
            <family val="2"/>
          </rPr>
          <t>Ingrid Malmgren:</t>
        </r>
        <r>
          <rPr>
            <sz val="9"/>
            <color indexed="81"/>
            <rFont val="Tahoma"/>
            <family val="2"/>
          </rPr>
          <t xml:space="preserve">
prescriptive rebate program</t>
        </r>
      </text>
    </comment>
    <comment ref="AOO2" authorId="0">
      <text>
        <r>
          <rPr>
            <b/>
            <sz val="9"/>
            <color indexed="81"/>
            <rFont val="Tahoma"/>
            <family val="2"/>
          </rPr>
          <t>Ingrid Malmgren:</t>
        </r>
        <r>
          <rPr>
            <sz val="9"/>
            <color indexed="81"/>
            <rFont val="Tahoma"/>
            <family val="2"/>
          </rPr>
          <t xml:space="preserve">
prescriptive rebate program</t>
        </r>
      </text>
    </comment>
    <comment ref="AOP2" authorId="0">
      <text>
        <r>
          <rPr>
            <b/>
            <sz val="9"/>
            <color indexed="81"/>
            <rFont val="Tahoma"/>
            <family val="2"/>
          </rPr>
          <t>Ingrid Malmgren:</t>
        </r>
        <r>
          <rPr>
            <sz val="9"/>
            <color indexed="81"/>
            <rFont val="Tahoma"/>
            <family val="2"/>
          </rPr>
          <t xml:space="preserve">
prescriptive rebate program</t>
        </r>
      </text>
    </comment>
    <comment ref="AOQ2" authorId="0">
      <text>
        <r>
          <rPr>
            <b/>
            <sz val="9"/>
            <color indexed="81"/>
            <rFont val="Tahoma"/>
            <family val="2"/>
          </rPr>
          <t>Ingrid Malmgren:</t>
        </r>
        <r>
          <rPr>
            <sz val="9"/>
            <color indexed="81"/>
            <rFont val="Tahoma"/>
            <family val="2"/>
          </rPr>
          <t xml:space="preserve">
prescriptive rebate program</t>
        </r>
      </text>
    </comment>
    <comment ref="AOR2" authorId="0">
      <text>
        <r>
          <rPr>
            <b/>
            <sz val="9"/>
            <color indexed="81"/>
            <rFont val="Tahoma"/>
            <family val="2"/>
          </rPr>
          <t>Ingrid Malmgren:</t>
        </r>
        <r>
          <rPr>
            <sz val="9"/>
            <color indexed="81"/>
            <rFont val="Tahoma"/>
            <family val="2"/>
          </rPr>
          <t xml:space="preserve">
prescriptive rebate program</t>
        </r>
      </text>
    </comment>
    <comment ref="AOS2" authorId="0">
      <text>
        <r>
          <rPr>
            <b/>
            <sz val="9"/>
            <color indexed="81"/>
            <rFont val="Tahoma"/>
            <family val="2"/>
          </rPr>
          <t>Ingrid Malmgren:</t>
        </r>
        <r>
          <rPr>
            <sz val="9"/>
            <color indexed="81"/>
            <rFont val="Tahoma"/>
            <family val="2"/>
          </rPr>
          <t xml:space="preserve">
prescriptive rebate program</t>
        </r>
      </text>
    </comment>
    <comment ref="AOT2" authorId="0">
      <text>
        <r>
          <rPr>
            <b/>
            <sz val="9"/>
            <color indexed="81"/>
            <rFont val="Tahoma"/>
            <family val="2"/>
          </rPr>
          <t>Ingrid Malmgren:</t>
        </r>
        <r>
          <rPr>
            <sz val="9"/>
            <color indexed="81"/>
            <rFont val="Tahoma"/>
            <family val="2"/>
          </rPr>
          <t xml:space="preserve">
prescriptive rebate program</t>
        </r>
      </text>
    </comment>
    <comment ref="AOU2" authorId="0">
      <text>
        <r>
          <rPr>
            <b/>
            <sz val="9"/>
            <color indexed="81"/>
            <rFont val="Tahoma"/>
            <family val="2"/>
          </rPr>
          <t>Ingrid Malmgren:</t>
        </r>
        <r>
          <rPr>
            <sz val="9"/>
            <color indexed="81"/>
            <rFont val="Tahoma"/>
            <family val="2"/>
          </rPr>
          <t xml:space="preserve">
prescriptive rebate program</t>
        </r>
      </text>
    </comment>
    <comment ref="AOV2" authorId="0">
      <text>
        <r>
          <rPr>
            <b/>
            <sz val="9"/>
            <color indexed="81"/>
            <rFont val="Tahoma"/>
            <family val="2"/>
          </rPr>
          <t>Ingrid Malmgren:</t>
        </r>
        <r>
          <rPr>
            <sz val="9"/>
            <color indexed="81"/>
            <rFont val="Tahoma"/>
            <family val="2"/>
          </rPr>
          <t xml:space="preserve">
prescriptive rebate program</t>
        </r>
      </text>
    </comment>
    <comment ref="AOW2" authorId="0">
      <text>
        <r>
          <rPr>
            <b/>
            <sz val="9"/>
            <color indexed="81"/>
            <rFont val="Tahoma"/>
            <family val="2"/>
          </rPr>
          <t>Ingrid Malmgren:</t>
        </r>
        <r>
          <rPr>
            <sz val="9"/>
            <color indexed="81"/>
            <rFont val="Tahoma"/>
            <family val="2"/>
          </rPr>
          <t xml:space="preserve">
prescriptive rebate program</t>
        </r>
      </text>
    </comment>
    <comment ref="AOX2" authorId="0">
      <text>
        <r>
          <rPr>
            <b/>
            <sz val="9"/>
            <color indexed="81"/>
            <rFont val="Tahoma"/>
            <family val="2"/>
          </rPr>
          <t>Ingrid Malmgren:</t>
        </r>
        <r>
          <rPr>
            <sz val="9"/>
            <color indexed="81"/>
            <rFont val="Tahoma"/>
            <family val="2"/>
          </rPr>
          <t xml:space="preserve">
prescriptive rebate program</t>
        </r>
      </text>
    </comment>
    <comment ref="AOY2" authorId="0">
      <text>
        <r>
          <rPr>
            <b/>
            <sz val="9"/>
            <color indexed="81"/>
            <rFont val="Tahoma"/>
            <family val="2"/>
          </rPr>
          <t>Ingrid Malmgren:</t>
        </r>
        <r>
          <rPr>
            <sz val="9"/>
            <color indexed="81"/>
            <rFont val="Tahoma"/>
            <family val="2"/>
          </rPr>
          <t xml:space="preserve">
prescriptive rebate program</t>
        </r>
      </text>
    </comment>
    <comment ref="AOZ2" authorId="0">
      <text>
        <r>
          <rPr>
            <b/>
            <sz val="9"/>
            <color indexed="81"/>
            <rFont val="Tahoma"/>
            <family val="2"/>
          </rPr>
          <t>Ingrid Malmgren:</t>
        </r>
        <r>
          <rPr>
            <sz val="9"/>
            <color indexed="81"/>
            <rFont val="Tahoma"/>
            <family val="2"/>
          </rPr>
          <t xml:space="preserve">
prescriptive rebate program</t>
        </r>
      </text>
    </comment>
    <comment ref="APA2" authorId="0">
      <text>
        <r>
          <rPr>
            <b/>
            <sz val="9"/>
            <color indexed="81"/>
            <rFont val="Tahoma"/>
            <family val="2"/>
          </rPr>
          <t>Ingrid Malmgren:</t>
        </r>
        <r>
          <rPr>
            <sz val="9"/>
            <color indexed="81"/>
            <rFont val="Tahoma"/>
            <family val="2"/>
          </rPr>
          <t xml:space="preserve">
prescriptive rebate program</t>
        </r>
      </text>
    </comment>
    <comment ref="APB2" authorId="0">
      <text>
        <r>
          <rPr>
            <b/>
            <sz val="9"/>
            <color indexed="81"/>
            <rFont val="Tahoma"/>
            <family val="2"/>
          </rPr>
          <t>Ingrid Malmgren:</t>
        </r>
        <r>
          <rPr>
            <sz val="9"/>
            <color indexed="81"/>
            <rFont val="Tahoma"/>
            <family val="2"/>
          </rPr>
          <t xml:space="preserve">
prescriptive rebate program</t>
        </r>
      </text>
    </comment>
    <comment ref="APC2" authorId="0">
      <text>
        <r>
          <rPr>
            <b/>
            <sz val="9"/>
            <color indexed="81"/>
            <rFont val="Tahoma"/>
            <family val="2"/>
          </rPr>
          <t>Ingrid Malmgren:</t>
        </r>
        <r>
          <rPr>
            <sz val="9"/>
            <color indexed="81"/>
            <rFont val="Tahoma"/>
            <family val="2"/>
          </rPr>
          <t xml:space="preserve">
prescriptive rebate program</t>
        </r>
      </text>
    </comment>
    <comment ref="APD2" authorId="0">
      <text>
        <r>
          <rPr>
            <b/>
            <sz val="9"/>
            <color indexed="81"/>
            <rFont val="Tahoma"/>
            <family val="2"/>
          </rPr>
          <t>Ingrid Malmgren:</t>
        </r>
        <r>
          <rPr>
            <sz val="9"/>
            <color indexed="81"/>
            <rFont val="Tahoma"/>
            <family val="2"/>
          </rPr>
          <t xml:space="preserve">
prescriptive rebate program</t>
        </r>
      </text>
    </comment>
    <comment ref="APE2" authorId="0">
      <text>
        <r>
          <rPr>
            <b/>
            <sz val="9"/>
            <color indexed="81"/>
            <rFont val="Tahoma"/>
            <family val="2"/>
          </rPr>
          <t>Ingrid Malmgren:</t>
        </r>
        <r>
          <rPr>
            <sz val="9"/>
            <color indexed="81"/>
            <rFont val="Tahoma"/>
            <family val="2"/>
          </rPr>
          <t xml:space="preserve">
prescriptive rebate program</t>
        </r>
      </text>
    </comment>
    <comment ref="APF2" authorId="0">
      <text>
        <r>
          <rPr>
            <b/>
            <sz val="9"/>
            <color indexed="81"/>
            <rFont val="Tahoma"/>
            <family val="2"/>
          </rPr>
          <t>Ingrid Malmgren:</t>
        </r>
        <r>
          <rPr>
            <sz val="9"/>
            <color indexed="81"/>
            <rFont val="Tahoma"/>
            <family val="2"/>
          </rPr>
          <t xml:space="preserve">
prescriptive rebate program</t>
        </r>
      </text>
    </comment>
    <comment ref="APG2" authorId="0">
      <text>
        <r>
          <rPr>
            <b/>
            <sz val="9"/>
            <color indexed="81"/>
            <rFont val="Tahoma"/>
            <family val="2"/>
          </rPr>
          <t>Ingrid Malmgren:</t>
        </r>
        <r>
          <rPr>
            <sz val="9"/>
            <color indexed="81"/>
            <rFont val="Tahoma"/>
            <family val="2"/>
          </rPr>
          <t xml:space="preserve">
prescriptive rebate program</t>
        </r>
      </text>
    </comment>
    <comment ref="APH2" authorId="0">
      <text>
        <r>
          <rPr>
            <b/>
            <sz val="9"/>
            <color indexed="81"/>
            <rFont val="Tahoma"/>
            <family val="2"/>
          </rPr>
          <t>Ingrid Malmgren:</t>
        </r>
        <r>
          <rPr>
            <sz val="9"/>
            <color indexed="81"/>
            <rFont val="Tahoma"/>
            <family val="2"/>
          </rPr>
          <t xml:space="preserve">
prescriptive rebate program</t>
        </r>
      </text>
    </comment>
    <comment ref="API2" authorId="0">
      <text>
        <r>
          <rPr>
            <b/>
            <sz val="9"/>
            <color indexed="81"/>
            <rFont val="Tahoma"/>
            <family val="2"/>
          </rPr>
          <t>Ingrid Malmgren:</t>
        </r>
        <r>
          <rPr>
            <sz val="9"/>
            <color indexed="81"/>
            <rFont val="Tahoma"/>
            <family val="2"/>
          </rPr>
          <t xml:space="preserve">
prescriptive rebate program</t>
        </r>
      </text>
    </comment>
    <comment ref="APJ2" authorId="0">
      <text>
        <r>
          <rPr>
            <b/>
            <sz val="9"/>
            <color indexed="81"/>
            <rFont val="Tahoma"/>
            <family val="2"/>
          </rPr>
          <t>Ingrid Malmgren:</t>
        </r>
        <r>
          <rPr>
            <sz val="9"/>
            <color indexed="81"/>
            <rFont val="Tahoma"/>
            <family val="2"/>
          </rPr>
          <t xml:space="preserve">
prescriptive rebate program</t>
        </r>
      </text>
    </comment>
    <comment ref="APK2" authorId="0">
      <text>
        <r>
          <rPr>
            <b/>
            <sz val="9"/>
            <color indexed="81"/>
            <rFont val="Tahoma"/>
            <family val="2"/>
          </rPr>
          <t>Ingrid Malmgren:</t>
        </r>
        <r>
          <rPr>
            <sz val="9"/>
            <color indexed="81"/>
            <rFont val="Tahoma"/>
            <family val="2"/>
          </rPr>
          <t xml:space="preserve">
prescriptive rebate program</t>
        </r>
      </text>
    </comment>
    <comment ref="APL2" authorId="0">
      <text>
        <r>
          <rPr>
            <b/>
            <sz val="9"/>
            <color indexed="81"/>
            <rFont val="Tahoma"/>
            <family val="2"/>
          </rPr>
          <t>Ingrid Malmgren:</t>
        </r>
        <r>
          <rPr>
            <sz val="9"/>
            <color indexed="81"/>
            <rFont val="Tahoma"/>
            <family val="2"/>
          </rPr>
          <t xml:space="preserve">
prescriptive rebate program</t>
        </r>
      </text>
    </comment>
    <comment ref="APM2" authorId="0">
      <text>
        <r>
          <rPr>
            <b/>
            <sz val="9"/>
            <color indexed="81"/>
            <rFont val="Tahoma"/>
            <family val="2"/>
          </rPr>
          <t>Ingrid Malmgren:</t>
        </r>
        <r>
          <rPr>
            <sz val="9"/>
            <color indexed="81"/>
            <rFont val="Tahoma"/>
            <family val="2"/>
          </rPr>
          <t xml:space="preserve">
prescriptive rebate program</t>
        </r>
      </text>
    </comment>
    <comment ref="APN2" authorId="0">
      <text>
        <r>
          <rPr>
            <b/>
            <sz val="9"/>
            <color indexed="81"/>
            <rFont val="Tahoma"/>
            <family val="2"/>
          </rPr>
          <t>Ingrid Malmgren:</t>
        </r>
        <r>
          <rPr>
            <sz val="9"/>
            <color indexed="81"/>
            <rFont val="Tahoma"/>
            <family val="2"/>
          </rPr>
          <t xml:space="preserve">
prescriptive rebate program</t>
        </r>
      </text>
    </comment>
    <comment ref="APO2" authorId="0">
      <text>
        <r>
          <rPr>
            <b/>
            <sz val="9"/>
            <color indexed="81"/>
            <rFont val="Tahoma"/>
            <family val="2"/>
          </rPr>
          <t>Ingrid Malmgren:</t>
        </r>
        <r>
          <rPr>
            <sz val="9"/>
            <color indexed="81"/>
            <rFont val="Tahoma"/>
            <family val="2"/>
          </rPr>
          <t xml:space="preserve">
prescriptive rebate program</t>
        </r>
      </text>
    </comment>
    <comment ref="APP2" authorId="0">
      <text>
        <r>
          <rPr>
            <b/>
            <sz val="9"/>
            <color indexed="81"/>
            <rFont val="Tahoma"/>
            <family val="2"/>
          </rPr>
          <t>Ingrid Malmgren:</t>
        </r>
        <r>
          <rPr>
            <sz val="9"/>
            <color indexed="81"/>
            <rFont val="Tahoma"/>
            <family val="2"/>
          </rPr>
          <t xml:space="preserve">
prescriptive rebate program</t>
        </r>
      </text>
    </comment>
    <comment ref="APQ2" authorId="0">
      <text>
        <r>
          <rPr>
            <b/>
            <sz val="9"/>
            <color indexed="81"/>
            <rFont val="Tahoma"/>
            <family val="2"/>
          </rPr>
          <t>Ingrid Malmgren:</t>
        </r>
        <r>
          <rPr>
            <sz val="9"/>
            <color indexed="81"/>
            <rFont val="Tahoma"/>
            <family val="2"/>
          </rPr>
          <t xml:space="preserve">
prescriptive rebate program</t>
        </r>
      </text>
    </comment>
    <comment ref="APR2" authorId="0">
      <text>
        <r>
          <rPr>
            <b/>
            <sz val="9"/>
            <color indexed="81"/>
            <rFont val="Tahoma"/>
            <family val="2"/>
          </rPr>
          <t>Ingrid Malmgren:</t>
        </r>
        <r>
          <rPr>
            <sz val="9"/>
            <color indexed="81"/>
            <rFont val="Tahoma"/>
            <family val="2"/>
          </rPr>
          <t xml:space="preserve">
prescriptive rebate program</t>
        </r>
      </text>
    </comment>
    <comment ref="APS2" authorId="0">
      <text>
        <r>
          <rPr>
            <b/>
            <sz val="9"/>
            <color indexed="81"/>
            <rFont val="Tahoma"/>
            <family val="2"/>
          </rPr>
          <t>Ingrid Malmgren:</t>
        </r>
        <r>
          <rPr>
            <sz val="9"/>
            <color indexed="81"/>
            <rFont val="Tahoma"/>
            <family val="2"/>
          </rPr>
          <t xml:space="preserve">
prescriptive rebate program</t>
        </r>
      </text>
    </comment>
    <comment ref="APT2" authorId="0">
      <text>
        <r>
          <rPr>
            <b/>
            <sz val="9"/>
            <color indexed="81"/>
            <rFont val="Tahoma"/>
            <family val="2"/>
          </rPr>
          <t>Ingrid Malmgren:</t>
        </r>
        <r>
          <rPr>
            <sz val="9"/>
            <color indexed="81"/>
            <rFont val="Tahoma"/>
            <family val="2"/>
          </rPr>
          <t xml:space="preserve">
prescriptive rebate program</t>
        </r>
      </text>
    </comment>
    <comment ref="APU2" authorId="0">
      <text>
        <r>
          <rPr>
            <b/>
            <sz val="9"/>
            <color indexed="81"/>
            <rFont val="Tahoma"/>
            <family val="2"/>
          </rPr>
          <t>Ingrid Malmgren:</t>
        </r>
        <r>
          <rPr>
            <sz val="9"/>
            <color indexed="81"/>
            <rFont val="Tahoma"/>
            <family val="2"/>
          </rPr>
          <t xml:space="preserve">
prescriptive rebate program</t>
        </r>
      </text>
    </comment>
    <comment ref="APV2" authorId="0">
      <text>
        <r>
          <rPr>
            <b/>
            <sz val="9"/>
            <color indexed="81"/>
            <rFont val="Tahoma"/>
            <family val="2"/>
          </rPr>
          <t>Ingrid Malmgren:</t>
        </r>
        <r>
          <rPr>
            <sz val="9"/>
            <color indexed="81"/>
            <rFont val="Tahoma"/>
            <family val="2"/>
          </rPr>
          <t xml:space="preserve">
prescriptive rebate program</t>
        </r>
      </text>
    </comment>
    <comment ref="APW2" authorId="0">
      <text>
        <r>
          <rPr>
            <b/>
            <sz val="9"/>
            <color indexed="81"/>
            <rFont val="Tahoma"/>
            <family val="2"/>
          </rPr>
          <t>Ingrid Malmgren:</t>
        </r>
        <r>
          <rPr>
            <sz val="9"/>
            <color indexed="81"/>
            <rFont val="Tahoma"/>
            <family val="2"/>
          </rPr>
          <t xml:space="preserve">
prescriptive rebate program</t>
        </r>
      </text>
    </comment>
    <comment ref="APX2" authorId="0">
      <text>
        <r>
          <rPr>
            <b/>
            <sz val="9"/>
            <color indexed="81"/>
            <rFont val="Tahoma"/>
            <family val="2"/>
          </rPr>
          <t>Ingrid Malmgren:</t>
        </r>
        <r>
          <rPr>
            <sz val="9"/>
            <color indexed="81"/>
            <rFont val="Tahoma"/>
            <family val="2"/>
          </rPr>
          <t xml:space="preserve">
prescriptive rebate program</t>
        </r>
      </text>
    </comment>
    <comment ref="APY2" authorId="0">
      <text>
        <r>
          <rPr>
            <b/>
            <sz val="9"/>
            <color indexed="81"/>
            <rFont val="Tahoma"/>
            <family val="2"/>
          </rPr>
          <t>Ingrid Malmgren:</t>
        </r>
        <r>
          <rPr>
            <sz val="9"/>
            <color indexed="81"/>
            <rFont val="Tahoma"/>
            <family val="2"/>
          </rPr>
          <t xml:space="preserve">
prescriptive rebate program</t>
        </r>
      </text>
    </comment>
    <comment ref="APZ2" authorId="0">
      <text>
        <r>
          <rPr>
            <b/>
            <sz val="9"/>
            <color indexed="81"/>
            <rFont val="Tahoma"/>
            <family val="2"/>
          </rPr>
          <t>Ingrid Malmgren:</t>
        </r>
        <r>
          <rPr>
            <sz val="9"/>
            <color indexed="81"/>
            <rFont val="Tahoma"/>
            <family val="2"/>
          </rPr>
          <t xml:space="preserve">
prescriptive rebate program</t>
        </r>
      </text>
    </comment>
    <comment ref="AQA2" authorId="0">
      <text>
        <r>
          <rPr>
            <b/>
            <sz val="9"/>
            <color indexed="81"/>
            <rFont val="Tahoma"/>
            <family val="2"/>
          </rPr>
          <t>Ingrid Malmgren:</t>
        </r>
        <r>
          <rPr>
            <sz val="9"/>
            <color indexed="81"/>
            <rFont val="Tahoma"/>
            <family val="2"/>
          </rPr>
          <t xml:space="preserve">
prescriptive rebate program</t>
        </r>
      </text>
    </comment>
    <comment ref="AQB2" authorId="0">
      <text>
        <r>
          <rPr>
            <b/>
            <sz val="9"/>
            <color indexed="81"/>
            <rFont val="Tahoma"/>
            <family val="2"/>
          </rPr>
          <t>Ingrid Malmgren:</t>
        </r>
        <r>
          <rPr>
            <sz val="9"/>
            <color indexed="81"/>
            <rFont val="Tahoma"/>
            <family val="2"/>
          </rPr>
          <t xml:space="preserve">
prescriptive rebate program</t>
        </r>
      </text>
    </comment>
    <comment ref="AQC2" authorId="0">
      <text>
        <r>
          <rPr>
            <b/>
            <sz val="9"/>
            <color indexed="81"/>
            <rFont val="Tahoma"/>
            <family val="2"/>
          </rPr>
          <t>Ingrid Malmgren:</t>
        </r>
        <r>
          <rPr>
            <sz val="9"/>
            <color indexed="81"/>
            <rFont val="Tahoma"/>
            <family val="2"/>
          </rPr>
          <t xml:space="preserve">
prescriptive rebate program</t>
        </r>
      </text>
    </comment>
    <comment ref="AQD2" authorId="0">
      <text>
        <r>
          <rPr>
            <b/>
            <sz val="9"/>
            <color indexed="81"/>
            <rFont val="Tahoma"/>
            <family val="2"/>
          </rPr>
          <t>Ingrid Malmgren:</t>
        </r>
        <r>
          <rPr>
            <sz val="9"/>
            <color indexed="81"/>
            <rFont val="Tahoma"/>
            <family val="2"/>
          </rPr>
          <t xml:space="preserve">
prescriptive rebate program</t>
        </r>
      </text>
    </comment>
    <comment ref="AQE2" authorId="0">
      <text>
        <r>
          <rPr>
            <b/>
            <sz val="9"/>
            <color indexed="81"/>
            <rFont val="Tahoma"/>
            <family val="2"/>
          </rPr>
          <t>Ingrid Malmgren:</t>
        </r>
        <r>
          <rPr>
            <sz val="9"/>
            <color indexed="81"/>
            <rFont val="Tahoma"/>
            <family val="2"/>
          </rPr>
          <t xml:space="preserve">
prescriptive rebate program</t>
        </r>
      </text>
    </comment>
    <comment ref="AQF2" authorId="0">
      <text>
        <r>
          <rPr>
            <b/>
            <sz val="9"/>
            <color indexed="81"/>
            <rFont val="Tahoma"/>
            <family val="2"/>
          </rPr>
          <t>Ingrid Malmgren:</t>
        </r>
        <r>
          <rPr>
            <sz val="9"/>
            <color indexed="81"/>
            <rFont val="Tahoma"/>
            <family val="2"/>
          </rPr>
          <t xml:space="preserve">
prescriptive rebate program</t>
        </r>
      </text>
    </comment>
    <comment ref="AQG2" authorId="0">
      <text>
        <r>
          <rPr>
            <b/>
            <sz val="9"/>
            <color indexed="81"/>
            <rFont val="Tahoma"/>
            <family val="2"/>
          </rPr>
          <t>Ingrid Malmgren:</t>
        </r>
        <r>
          <rPr>
            <sz val="9"/>
            <color indexed="81"/>
            <rFont val="Tahoma"/>
            <family val="2"/>
          </rPr>
          <t xml:space="preserve">
prescriptive rebate program</t>
        </r>
      </text>
    </comment>
    <comment ref="AQH2" authorId="0">
      <text>
        <r>
          <rPr>
            <b/>
            <sz val="9"/>
            <color indexed="81"/>
            <rFont val="Tahoma"/>
            <family val="2"/>
          </rPr>
          <t>Ingrid Malmgren:</t>
        </r>
        <r>
          <rPr>
            <sz val="9"/>
            <color indexed="81"/>
            <rFont val="Tahoma"/>
            <family val="2"/>
          </rPr>
          <t xml:space="preserve">
prescriptive rebate program</t>
        </r>
      </text>
    </comment>
    <comment ref="AQI2" authorId="0">
      <text>
        <r>
          <rPr>
            <b/>
            <sz val="9"/>
            <color indexed="81"/>
            <rFont val="Tahoma"/>
            <family val="2"/>
          </rPr>
          <t>Ingrid Malmgren:</t>
        </r>
        <r>
          <rPr>
            <sz val="9"/>
            <color indexed="81"/>
            <rFont val="Tahoma"/>
            <family val="2"/>
          </rPr>
          <t xml:space="preserve">
prescriptive rebate program</t>
        </r>
      </text>
    </comment>
    <comment ref="AQJ2" authorId="0">
      <text>
        <r>
          <rPr>
            <b/>
            <sz val="9"/>
            <color indexed="81"/>
            <rFont val="Tahoma"/>
            <family val="2"/>
          </rPr>
          <t>Ingrid Malmgren:</t>
        </r>
        <r>
          <rPr>
            <sz val="9"/>
            <color indexed="81"/>
            <rFont val="Tahoma"/>
            <family val="2"/>
          </rPr>
          <t xml:space="preserve">
prescriptive rebate program</t>
        </r>
      </text>
    </comment>
    <comment ref="AQK2" authorId="0">
      <text>
        <r>
          <rPr>
            <b/>
            <sz val="9"/>
            <color indexed="81"/>
            <rFont val="Tahoma"/>
            <family val="2"/>
          </rPr>
          <t>Ingrid Malmgren:</t>
        </r>
        <r>
          <rPr>
            <sz val="9"/>
            <color indexed="81"/>
            <rFont val="Tahoma"/>
            <family val="2"/>
          </rPr>
          <t xml:space="preserve">
prescriptive rebate program</t>
        </r>
      </text>
    </comment>
    <comment ref="AQL2" authorId="0">
      <text>
        <r>
          <rPr>
            <b/>
            <sz val="9"/>
            <color indexed="81"/>
            <rFont val="Tahoma"/>
            <family val="2"/>
          </rPr>
          <t>Ingrid Malmgren:</t>
        </r>
        <r>
          <rPr>
            <sz val="9"/>
            <color indexed="81"/>
            <rFont val="Tahoma"/>
            <family val="2"/>
          </rPr>
          <t xml:space="preserve">
prescriptive rebate program</t>
        </r>
      </text>
    </comment>
    <comment ref="AQM2" authorId="0">
      <text>
        <r>
          <rPr>
            <b/>
            <sz val="9"/>
            <color indexed="81"/>
            <rFont val="Tahoma"/>
            <family val="2"/>
          </rPr>
          <t>Ingrid Malmgren:</t>
        </r>
        <r>
          <rPr>
            <sz val="9"/>
            <color indexed="81"/>
            <rFont val="Tahoma"/>
            <family val="2"/>
          </rPr>
          <t xml:space="preserve">
prescriptive rebate program</t>
        </r>
      </text>
    </comment>
    <comment ref="AQN2" authorId="0">
      <text>
        <r>
          <rPr>
            <b/>
            <sz val="9"/>
            <color indexed="81"/>
            <rFont val="Tahoma"/>
            <family val="2"/>
          </rPr>
          <t>Ingrid Malmgren:</t>
        </r>
        <r>
          <rPr>
            <sz val="9"/>
            <color indexed="81"/>
            <rFont val="Tahoma"/>
            <family val="2"/>
          </rPr>
          <t xml:space="preserve">
prescriptive rebate program</t>
        </r>
      </text>
    </comment>
    <comment ref="AQO2" authorId="0">
      <text>
        <r>
          <rPr>
            <b/>
            <sz val="9"/>
            <color indexed="81"/>
            <rFont val="Tahoma"/>
            <family val="2"/>
          </rPr>
          <t>Ingrid Malmgren:</t>
        </r>
        <r>
          <rPr>
            <sz val="9"/>
            <color indexed="81"/>
            <rFont val="Tahoma"/>
            <family val="2"/>
          </rPr>
          <t xml:space="preserve">
prescriptive rebate program</t>
        </r>
      </text>
    </comment>
    <comment ref="AQP2" authorId="0">
      <text>
        <r>
          <rPr>
            <b/>
            <sz val="9"/>
            <color indexed="81"/>
            <rFont val="Tahoma"/>
            <family val="2"/>
          </rPr>
          <t>Ingrid Malmgren:</t>
        </r>
        <r>
          <rPr>
            <sz val="9"/>
            <color indexed="81"/>
            <rFont val="Tahoma"/>
            <family val="2"/>
          </rPr>
          <t xml:space="preserve">
prescriptive rebate program</t>
        </r>
      </text>
    </comment>
    <comment ref="AQQ2" authorId="0">
      <text>
        <r>
          <rPr>
            <b/>
            <sz val="9"/>
            <color indexed="81"/>
            <rFont val="Tahoma"/>
            <family val="2"/>
          </rPr>
          <t>Ingrid Malmgren:</t>
        </r>
        <r>
          <rPr>
            <sz val="9"/>
            <color indexed="81"/>
            <rFont val="Tahoma"/>
            <family val="2"/>
          </rPr>
          <t xml:space="preserve">
prescriptive rebate program</t>
        </r>
      </text>
    </comment>
    <comment ref="AQR2" authorId="0">
      <text>
        <r>
          <rPr>
            <b/>
            <sz val="9"/>
            <color indexed="81"/>
            <rFont val="Tahoma"/>
            <family val="2"/>
          </rPr>
          <t>Ingrid Malmgren:</t>
        </r>
        <r>
          <rPr>
            <sz val="9"/>
            <color indexed="81"/>
            <rFont val="Tahoma"/>
            <family val="2"/>
          </rPr>
          <t xml:space="preserve">
prescriptive rebate program</t>
        </r>
      </text>
    </comment>
    <comment ref="AQS2" authorId="0">
      <text>
        <r>
          <rPr>
            <b/>
            <sz val="9"/>
            <color indexed="81"/>
            <rFont val="Tahoma"/>
            <family val="2"/>
          </rPr>
          <t>Ingrid Malmgren:</t>
        </r>
        <r>
          <rPr>
            <sz val="9"/>
            <color indexed="81"/>
            <rFont val="Tahoma"/>
            <family val="2"/>
          </rPr>
          <t xml:space="preserve">
prescriptive rebate program</t>
        </r>
      </text>
    </comment>
    <comment ref="AQT2" authorId="0">
      <text>
        <r>
          <rPr>
            <b/>
            <sz val="9"/>
            <color indexed="81"/>
            <rFont val="Tahoma"/>
            <family val="2"/>
          </rPr>
          <t>Ingrid Malmgren:</t>
        </r>
        <r>
          <rPr>
            <sz val="9"/>
            <color indexed="81"/>
            <rFont val="Tahoma"/>
            <family val="2"/>
          </rPr>
          <t xml:space="preserve">
prescriptive rebate program</t>
        </r>
      </text>
    </comment>
    <comment ref="AQU2" authorId="0">
      <text>
        <r>
          <rPr>
            <b/>
            <sz val="9"/>
            <color indexed="81"/>
            <rFont val="Tahoma"/>
            <family val="2"/>
          </rPr>
          <t>Ingrid Malmgren:</t>
        </r>
        <r>
          <rPr>
            <sz val="9"/>
            <color indexed="81"/>
            <rFont val="Tahoma"/>
            <family val="2"/>
          </rPr>
          <t xml:space="preserve">
prescriptive rebate program</t>
        </r>
      </text>
    </comment>
    <comment ref="AQV2" authorId="0">
      <text>
        <r>
          <rPr>
            <b/>
            <sz val="9"/>
            <color indexed="81"/>
            <rFont val="Tahoma"/>
            <family val="2"/>
          </rPr>
          <t>Ingrid Malmgren:</t>
        </r>
        <r>
          <rPr>
            <sz val="9"/>
            <color indexed="81"/>
            <rFont val="Tahoma"/>
            <family val="2"/>
          </rPr>
          <t xml:space="preserve">
prescriptive rebate program</t>
        </r>
      </text>
    </comment>
    <comment ref="AQW2" authorId="0">
      <text>
        <r>
          <rPr>
            <b/>
            <sz val="9"/>
            <color indexed="81"/>
            <rFont val="Tahoma"/>
            <family val="2"/>
          </rPr>
          <t>Ingrid Malmgren:</t>
        </r>
        <r>
          <rPr>
            <sz val="9"/>
            <color indexed="81"/>
            <rFont val="Tahoma"/>
            <family val="2"/>
          </rPr>
          <t xml:space="preserve">
prescriptive rebate program</t>
        </r>
      </text>
    </comment>
    <comment ref="AQX2" authorId="0">
      <text>
        <r>
          <rPr>
            <b/>
            <sz val="9"/>
            <color indexed="81"/>
            <rFont val="Tahoma"/>
            <family val="2"/>
          </rPr>
          <t>Ingrid Malmgren:</t>
        </r>
        <r>
          <rPr>
            <sz val="9"/>
            <color indexed="81"/>
            <rFont val="Tahoma"/>
            <family val="2"/>
          </rPr>
          <t xml:space="preserve">
prescriptive rebate program</t>
        </r>
      </text>
    </comment>
    <comment ref="AQY2" authorId="0">
      <text>
        <r>
          <rPr>
            <b/>
            <sz val="9"/>
            <color indexed="81"/>
            <rFont val="Tahoma"/>
            <family val="2"/>
          </rPr>
          <t>Ingrid Malmgren:</t>
        </r>
        <r>
          <rPr>
            <sz val="9"/>
            <color indexed="81"/>
            <rFont val="Tahoma"/>
            <family val="2"/>
          </rPr>
          <t xml:space="preserve">
prescriptive rebate program</t>
        </r>
      </text>
    </comment>
    <comment ref="AQZ2" authorId="0">
      <text>
        <r>
          <rPr>
            <b/>
            <sz val="9"/>
            <color indexed="81"/>
            <rFont val="Tahoma"/>
            <family val="2"/>
          </rPr>
          <t>Ingrid Malmgren:</t>
        </r>
        <r>
          <rPr>
            <sz val="9"/>
            <color indexed="81"/>
            <rFont val="Tahoma"/>
            <family val="2"/>
          </rPr>
          <t xml:space="preserve">
prescriptive rebate program</t>
        </r>
      </text>
    </comment>
    <comment ref="ARA2" authorId="0">
      <text>
        <r>
          <rPr>
            <b/>
            <sz val="9"/>
            <color indexed="81"/>
            <rFont val="Tahoma"/>
            <family val="2"/>
          </rPr>
          <t>Ingrid Malmgren:</t>
        </r>
        <r>
          <rPr>
            <sz val="9"/>
            <color indexed="81"/>
            <rFont val="Tahoma"/>
            <family val="2"/>
          </rPr>
          <t xml:space="preserve">
prescriptive rebate program</t>
        </r>
      </text>
    </comment>
    <comment ref="ARB2" authorId="0">
      <text>
        <r>
          <rPr>
            <b/>
            <sz val="9"/>
            <color indexed="81"/>
            <rFont val="Tahoma"/>
            <family val="2"/>
          </rPr>
          <t>Ingrid Malmgren:</t>
        </r>
        <r>
          <rPr>
            <sz val="9"/>
            <color indexed="81"/>
            <rFont val="Tahoma"/>
            <family val="2"/>
          </rPr>
          <t xml:space="preserve">
prescriptive rebate program</t>
        </r>
      </text>
    </comment>
    <comment ref="ARC2" authorId="0">
      <text>
        <r>
          <rPr>
            <b/>
            <sz val="9"/>
            <color indexed="81"/>
            <rFont val="Tahoma"/>
            <family val="2"/>
          </rPr>
          <t>Ingrid Malmgren:</t>
        </r>
        <r>
          <rPr>
            <sz val="9"/>
            <color indexed="81"/>
            <rFont val="Tahoma"/>
            <family val="2"/>
          </rPr>
          <t xml:space="preserve">
prescriptive rebate program</t>
        </r>
      </text>
    </comment>
    <comment ref="ARD2" authorId="0">
      <text>
        <r>
          <rPr>
            <b/>
            <sz val="9"/>
            <color indexed="81"/>
            <rFont val="Tahoma"/>
            <family val="2"/>
          </rPr>
          <t>Ingrid Malmgren:</t>
        </r>
        <r>
          <rPr>
            <sz val="9"/>
            <color indexed="81"/>
            <rFont val="Tahoma"/>
            <family val="2"/>
          </rPr>
          <t xml:space="preserve">
prescriptive rebate program</t>
        </r>
      </text>
    </comment>
    <comment ref="ARE2" authorId="0">
      <text>
        <r>
          <rPr>
            <b/>
            <sz val="9"/>
            <color indexed="81"/>
            <rFont val="Tahoma"/>
            <family val="2"/>
          </rPr>
          <t>Ingrid Malmgren:</t>
        </r>
        <r>
          <rPr>
            <sz val="9"/>
            <color indexed="81"/>
            <rFont val="Tahoma"/>
            <family val="2"/>
          </rPr>
          <t xml:space="preserve">
prescriptive rebate program</t>
        </r>
      </text>
    </comment>
    <comment ref="ARF2" authorId="0">
      <text>
        <r>
          <rPr>
            <b/>
            <sz val="9"/>
            <color indexed="81"/>
            <rFont val="Tahoma"/>
            <family val="2"/>
          </rPr>
          <t>Ingrid Malmgren:</t>
        </r>
        <r>
          <rPr>
            <sz val="9"/>
            <color indexed="81"/>
            <rFont val="Tahoma"/>
            <family val="2"/>
          </rPr>
          <t xml:space="preserve">
prescriptive rebate program</t>
        </r>
      </text>
    </comment>
    <comment ref="ARG2" authorId="0">
      <text>
        <r>
          <rPr>
            <b/>
            <sz val="9"/>
            <color indexed="81"/>
            <rFont val="Tahoma"/>
            <family val="2"/>
          </rPr>
          <t>Ingrid Malmgren:</t>
        </r>
        <r>
          <rPr>
            <sz val="9"/>
            <color indexed="81"/>
            <rFont val="Tahoma"/>
            <family val="2"/>
          </rPr>
          <t xml:space="preserve">
prescriptive rebate program</t>
        </r>
      </text>
    </comment>
    <comment ref="ARH2" authorId="0">
      <text>
        <r>
          <rPr>
            <b/>
            <sz val="9"/>
            <color indexed="81"/>
            <rFont val="Tahoma"/>
            <family val="2"/>
          </rPr>
          <t>Ingrid Malmgren:</t>
        </r>
        <r>
          <rPr>
            <sz val="9"/>
            <color indexed="81"/>
            <rFont val="Tahoma"/>
            <family val="2"/>
          </rPr>
          <t xml:space="preserve">
prescriptive rebate program</t>
        </r>
      </text>
    </comment>
    <comment ref="ARI2" authorId="0">
      <text>
        <r>
          <rPr>
            <b/>
            <sz val="9"/>
            <color indexed="81"/>
            <rFont val="Tahoma"/>
            <family val="2"/>
          </rPr>
          <t>Ingrid Malmgren:</t>
        </r>
        <r>
          <rPr>
            <sz val="9"/>
            <color indexed="81"/>
            <rFont val="Tahoma"/>
            <family val="2"/>
          </rPr>
          <t xml:space="preserve">
prescriptive rebate program</t>
        </r>
      </text>
    </comment>
    <comment ref="ARJ2" authorId="0">
      <text>
        <r>
          <rPr>
            <b/>
            <sz val="9"/>
            <color indexed="81"/>
            <rFont val="Tahoma"/>
            <family val="2"/>
          </rPr>
          <t>Ingrid Malmgren:</t>
        </r>
        <r>
          <rPr>
            <sz val="9"/>
            <color indexed="81"/>
            <rFont val="Tahoma"/>
            <family val="2"/>
          </rPr>
          <t xml:space="preserve">
prescriptive rebate program</t>
        </r>
      </text>
    </comment>
    <comment ref="ARK2" authorId="0">
      <text>
        <r>
          <rPr>
            <b/>
            <sz val="9"/>
            <color indexed="81"/>
            <rFont val="Tahoma"/>
            <family val="2"/>
          </rPr>
          <t>Ingrid Malmgren:</t>
        </r>
        <r>
          <rPr>
            <sz val="9"/>
            <color indexed="81"/>
            <rFont val="Tahoma"/>
            <family val="2"/>
          </rPr>
          <t xml:space="preserve">
prescriptive rebate program</t>
        </r>
      </text>
    </comment>
    <comment ref="ARL2" authorId="0">
      <text>
        <r>
          <rPr>
            <b/>
            <sz val="9"/>
            <color indexed="81"/>
            <rFont val="Tahoma"/>
            <family val="2"/>
          </rPr>
          <t>Ingrid Malmgren:</t>
        </r>
        <r>
          <rPr>
            <sz val="9"/>
            <color indexed="81"/>
            <rFont val="Tahoma"/>
            <family val="2"/>
          </rPr>
          <t xml:space="preserve">
prescriptive rebate program</t>
        </r>
      </text>
    </comment>
    <comment ref="ARM2" authorId="0">
      <text>
        <r>
          <rPr>
            <b/>
            <sz val="9"/>
            <color indexed="81"/>
            <rFont val="Tahoma"/>
            <family val="2"/>
          </rPr>
          <t>Ingrid Malmgren:</t>
        </r>
        <r>
          <rPr>
            <sz val="9"/>
            <color indexed="81"/>
            <rFont val="Tahoma"/>
            <family val="2"/>
          </rPr>
          <t xml:space="preserve">
prescriptive rebate program</t>
        </r>
      </text>
    </comment>
    <comment ref="ARN2" authorId="0">
      <text>
        <r>
          <rPr>
            <b/>
            <sz val="9"/>
            <color indexed="81"/>
            <rFont val="Tahoma"/>
            <family val="2"/>
          </rPr>
          <t>Ingrid Malmgren:</t>
        </r>
        <r>
          <rPr>
            <sz val="9"/>
            <color indexed="81"/>
            <rFont val="Tahoma"/>
            <family val="2"/>
          </rPr>
          <t xml:space="preserve">
prescriptive rebate program</t>
        </r>
      </text>
    </comment>
    <comment ref="ARO2" authorId="0">
      <text>
        <r>
          <rPr>
            <b/>
            <sz val="9"/>
            <color indexed="81"/>
            <rFont val="Tahoma"/>
            <family val="2"/>
          </rPr>
          <t>Ingrid Malmgren:</t>
        </r>
        <r>
          <rPr>
            <sz val="9"/>
            <color indexed="81"/>
            <rFont val="Tahoma"/>
            <family val="2"/>
          </rPr>
          <t xml:space="preserve">
prescriptive rebate program</t>
        </r>
      </text>
    </comment>
    <comment ref="ARP2" authorId="0">
      <text>
        <r>
          <rPr>
            <b/>
            <sz val="9"/>
            <color indexed="81"/>
            <rFont val="Tahoma"/>
            <family val="2"/>
          </rPr>
          <t>Ingrid Malmgren:</t>
        </r>
        <r>
          <rPr>
            <sz val="9"/>
            <color indexed="81"/>
            <rFont val="Tahoma"/>
            <family val="2"/>
          </rPr>
          <t xml:space="preserve">
prescriptive rebate program</t>
        </r>
      </text>
    </comment>
    <comment ref="ARQ2" authorId="0">
      <text>
        <r>
          <rPr>
            <b/>
            <sz val="9"/>
            <color indexed="81"/>
            <rFont val="Tahoma"/>
            <family val="2"/>
          </rPr>
          <t>Ingrid Malmgren:</t>
        </r>
        <r>
          <rPr>
            <sz val="9"/>
            <color indexed="81"/>
            <rFont val="Tahoma"/>
            <family val="2"/>
          </rPr>
          <t xml:space="preserve">
prescriptive rebate program</t>
        </r>
      </text>
    </comment>
    <comment ref="ARR2" authorId="0">
      <text>
        <r>
          <rPr>
            <b/>
            <sz val="9"/>
            <color indexed="81"/>
            <rFont val="Tahoma"/>
            <family val="2"/>
          </rPr>
          <t>Ingrid Malmgren:</t>
        </r>
        <r>
          <rPr>
            <sz val="9"/>
            <color indexed="81"/>
            <rFont val="Tahoma"/>
            <family val="2"/>
          </rPr>
          <t xml:space="preserve">
prescriptive rebate program</t>
        </r>
      </text>
    </comment>
    <comment ref="ARS2" authorId="0">
      <text>
        <r>
          <rPr>
            <b/>
            <sz val="9"/>
            <color indexed="81"/>
            <rFont val="Tahoma"/>
            <family val="2"/>
          </rPr>
          <t>Ingrid Malmgren:</t>
        </r>
        <r>
          <rPr>
            <sz val="9"/>
            <color indexed="81"/>
            <rFont val="Tahoma"/>
            <family val="2"/>
          </rPr>
          <t xml:space="preserve">
prescriptive rebate program</t>
        </r>
      </text>
    </comment>
    <comment ref="ART2" authorId="0">
      <text>
        <r>
          <rPr>
            <b/>
            <sz val="9"/>
            <color indexed="81"/>
            <rFont val="Tahoma"/>
            <family val="2"/>
          </rPr>
          <t>Ingrid Malmgren:</t>
        </r>
        <r>
          <rPr>
            <sz val="9"/>
            <color indexed="81"/>
            <rFont val="Tahoma"/>
            <family val="2"/>
          </rPr>
          <t xml:space="preserve">
prescriptive rebate program</t>
        </r>
      </text>
    </comment>
    <comment ref="ARU2" authorId="0">
      <text>
        <r>
          <rPr>
            <b/>
            <sz val="9"/>
            <color indexed="81"/>
            <rFont val="Tahoma"/>
            <family val="2"/>
          </rPr>
          <t>Ingrid Malmgren:</t>
        </r>
        <r>
          <rPr>
            <sz val="9"/>
            <color indexed="81"/>
            <rFont val="Tahoma"/>
            <family val="2"/>
          </rPr>
          <t xml:space="preserve">
prescriptive rebate program</t>
        </r>
      </text>
    </comment>
    <comment ref="ARV2" authorId="0">
      <text>
        <r>
          <rPr>
            <b/>
            <sz val="9"/>
            <color indexed="81"/>
            <rFont val="Tahoma"/>
            <family val="2"/>
          </rPr>
          <t>Ingrid Malmgren:</t>
        </r>
        <r>
          <rPr>
            <sz val="9"/>
            <color indexed="81"/>
            <rFont val="Tahoma"/>
            <family val="2"/>
          </rPr>
          <t xml:space="preserve">
prescriptive rebate program</t>
        </r>
      </text>
    </comment>
    <comment ref="ARW2" authorId="0">
      <text>
        <r>
          <rPr>
            <b/>
            <sz val="9"/>
            <color indexed="81"/>
            <rFont val="Tahoma"/>
            <family val="2"/>
          </rPr>
          <t>Ingrid Malmgren:</t>
        </r>
        <r>
          <rPr>
            <sz val="9"/>
            <color indexed="81"/>
            <rFont val="Tahoma"/>
            <family val="2"/>
          </rPr>
          <t xml:space="preserve">
prescriptive rebate program</t>
        </r>
      </text>
    </comment>
    <comment ref="ARX2" authorId="0">
      <text>
        <r>
          <rPr>
            <b/>
            <sz val="9"/>
            <color indexed="81"/>
            <rFont val="Tahoma"/>
            <family val="2"/>
          </rPr>
          <t>Ingrid Malmgren:</t>
        </r>
        <r>
          <rPr>
            <sz val="9"/>
            <color indexed="81"/>
            <rFont val="Tahoma"/>
            <family val="2"/>
          </rPr>
          <t xml:space="preserve">
prescriptive rebate program</t>
        </r>
      </text>
    </comment>
    <comment ref="ARY2" authorId="0">
      <text>
        <r>
          <rPr>
            <b/>
            <sz val="9"/>
            <color indexed="81"/>
            <rFont val="Tahoma"/>
            <family val="2"/>
          </rPr>
          <t>Ingrid Malmgren:</t>
        </r>
        <r>
          <rPr>
            <sz val="9"/>
            <color indexed="81"/>
            <rFont val="Tahoma"/>
            <family val="2"/>
          </rPr>
          <t xml:space="preserve">
prescriptive rebate program</t>
        </r>
      </text>
    </comment>
    <comment ref="ARZ2" authorId="0">
      <text>
        <r>
          <rPr>
            <b/>
            <sz val="9"/>
            <color indexed="81"/>
            <rFont val="Tahoma"/>
            <family val="2"/>
          </rPr>
          <t>Ingrid Malmgren:</t>
        </r>
        <r>
          <rPr>
            <sz val="9"/>
            <color indexed="81"/>
            <rFont val="Tahoma"/>
            <family val="2"/>
          </rPr>
          <t xml:space="preserve">
prescriptive rebate program</t>
        </r>
      </text>
    </comment>
    <comment ref="ASA2" authorId="0">
      <text>
        <r>
          <rPr>
            <b/>
            <sz val="9"/>
            <color indexed="81"/>
            <rFont val="Tahoma"/>
            <family val="2"/>
          </rPr>
          <t>Ingrid Malmgren:</t>
        </r>
        <r>
          <rPr>
            <sz val="9"/>
            <color indexed="81"/>
            <rFont val="Tahoma"/>
            <family val="2"/>
          </rPr>
          <t xml:space="preserve">
prescriptive rebate program</t>
        </r>
      </text>
    </comment>
    <comment ref="ASB2" authorId="0">
      <text>
        <r>
          <rPr>
            <b/>
            <sz val="9"/>
            <color indexed="81"/>
            <rFont val="Tahoma"/>
            <family val="2"/>
          </rPr>
          <t>Ingrid Malmgren:</t>
        </r>
        <r>
          <rPr>
            <sz val="9"/>
            <color indexed="81"/>
            <rFont val="Tahoma"/>
            <family val="2"/>
          </rPr>
          <t xml:space="preserve">
prescriptive rebate program</t>
        </r>
      </text>
    </comment>
    <comment ref="ASC2" authorId="0">
      <text>
        <r>
          <rPr>
            <b/>
            <sz val="9"/>
            <color indexed="81"/>
            <rFont val="Tahoma"/>
            <family val="2"/>
          </rPr>
          <t>Ingrid Malmgren:</t>
        </r>
        <r>
          <rPr>
            <sz val="9"/>
            <color indexed="81"/>
            <rFont val="Tahoma"/>
            <family val="2"/>
          </rPr>
          <t xml:space="preserve">
prescriptive rebate program</t>
        </r>
      </text>
    </comment>
    <comment ref="ASD2" authorId="0">
      <text>
        <r>
          <rPr>
            <b/>
            <sz val="9"/>
            <color indexed="81"/>
            <rFont val="Tahoma"/>
            <family val="2"/>
          </rPr>
          <t>Ingrid Malmgren:</t>
        </r>
        <r>
          <rPr>
            <sz val="9"/>
            <color indexed="81"/>
            <rFont val="Tahoma"/>
            <family val="2"/>
          </rPr>
          <t xml:space="preserve">
prescriptive rebate program</t>
        </r>
      </text>
    </comment>
    <comment ref="ASE2" authorId="0">
      <text>
        <r>
          <rPr>
            <b/>
            <sz val="9"/>
            <color indexed="81"/>
            <rFont val="Tahoma"/>
            <family val="2"/>
          </rPr>
          <t>Ingrid Malmgren:</t>
        </r>
        <r>
          <rPr>
            <sz val="9"/>
            <color indexed="81"/>
            <rFont val="Tahoma"/>
            <family val="2"/>
          </rPr>
          <t xml:space="preserve">
prescriptive rebate program</t>
        </r>
      </text>
    </comment>
    <comment ref="ASF2" authorId="0">
      <text>
        <r>
          <rPr>
            <b/>
            <sz val="9"/>
            <color indexed="81"/>
            <rFont val="Tahoma"/>
            <family val="2"/>
          </rPr>
          <t>Ingrid Malmgren:</t>
        </r>
        <r>
          <rPr>
            <sz val="9"/>
            <color indexed="81"/>
            <rFont val="Tahoma"/>
            <family val="2"/>
          </rPr>
          <t xml:space="preserve">
prescriptive rebate program</t>
        </r>
      </text>
    </comment>
    <comment ref="ASG2" authorId="0">
      <text>
        <r>
          <rPr>
            <b/>
            <sz val="9"/>
            <color indexed="81"/>
            <rFont val="Tahoma"/>
            <family val="2"/>
          </rPr>
          <t>Ingrid Malmgren:</t>
        </r>
        <r>
          <rPr>
            <sz val="9"/>
            <color indexed="81"/>
            <rFont val="Tahoma"/>
            <family val="2"/>
          </rPr>
          <t xml:space="preserve">
prescriptive rebate program</t>
        </r>
      </text>
    </comment>
    <comment ref="ASH2" authorId="0">
      <text>
        <r>
          <rPr>
            <b/>
            <sz val="9"/>
            <color indexed="81"/>
            <rFont val="Tahoma"/>
            <family val="2"/>
          </rPr>
          <t>Ingrid Malmgren:</t>
        </r>
        <r>
          <rPr>
            <sz val="9"/>
            <color indexed="81"/>
            <rFont val="Tahoma"/>
            <family val="2"/>
          </rPr>
          <t xml:space="preserve">
prescriptive rebate program</t>
        </r>
      </text>
    </comment>
    <comment ref="ASI2" authorId="0">
      <text>
        <r>
          <rPr>
            <b/>
            <sz val="9"/>
            <color indexed="81"/>
            <rFont val="Tahoma"/>
            <family val="2"/>
          </rPr>
          <t>Ingrid Malmgren:</t>
        </r>
        <r>
          <rPr>
            <sz val="9"/>
            <color indexed="81"/>
            <rFont val="Tahoma"/>
            <family val="2"/>
          </rPr>
          <t xml:space="preserve">
prescriptive rebate program</t>
        </r>
      </text>
    </comment>
    <comment ref="ASJ2" authorId="0">
      <text>
        <r>
          <rPr>
            <b/>
            <sz val="9"/>
            <color indexed="81"/>
            <rFont val="Tahoma"/>
            <family val="2"/>
          </rPr>
          <t>Ingrid Malmgren:</t>
        </r>
        <r>
          <rPr>
            <sz val="9"/>
            <color indexed="81"/>
            <rFont val="Tahoma"/>
            <family val="2"/>
          </rPr>
          <t xml:space="preserve">
prescriptive rebate program</t>
        </r>
      </text>
    </comment>
    <comment ref="ASK2" authorId="0">
      <text>
        <r>
          <rPr>
            <b/>
            <sz val="9"/>
            <color indexed="81"/>
            <rFont val="Tahoma"/>
            <family val="2"/>
          </rPr>
          <t>Ingrid Malmgren:</t>
        </r>
        <r>
          <rPr>
            <sz val="9"/>
            <color indexed="81"/>
            <rFont val="Tahoma"/>
            <family val="2"/>
          </rPr>
          <t xml:space="preserve">
prescriptive rebate program</t>
        </r>
      </text>
    </comment>
    <comment ref="ASL2" authorId="0">
      <text>
        <r>
          <rPr>
            <b/>
            <sz val="9"/>
            <color indexed="81"/>
            <rFont val="Tahoma"/>
            <family val="2"/>
          </rPr>
          <t>Ingrid Malmgren:</t>
        </r>
        <r>
          <rPr>
            <sz val="9"/>
            <color indexed="81"/>
            <rFont val="Tahoma"/>
            <family val="2"/>
          </rPr>
          <t xml:space="preserve">
prescriptive rebate program</t>
        </r>
      </text>
    </comment>
    <comment ref="ASM2" authorId="0">
      <text>
        <r>
          <rPr>
            <b/>
            <sz val="9"/>
            <color indexed="81"/>
            <rFont val="Tahoma"/>
            <family val="2"/>
          </rPr>
          <t>Ingrid Malmgren:</t>
        </r>
        <r>
          <rPr>
            <sz val="9"/>
            <color indexed="81"/>
            <rFont val="Tahoma"/>
            <family val="2"/>
          </rPr>
          <t xml:space="preserve">
prescriptive rebate program</t>
        </r>
      </text>
    </comment>
    <comment ref="ASN2" authorId="0">
      <text>
        <r>
          <rPr>
            <b/>
            <sz val="9"/>
            <color indexed="81"/>
            <rFont val="Tahoma"/>
            <family val="2"/>
          </rPr>
          <t>Ingrid Malmgren:</t>
        </r>
        <r>
          <rPr>
            <sz val="9"/>
            <color indexed="81"/>
            <rFont val="Tahoma"/>
            <family val="2"/>
          </rPr>
          <t xml:space="preserve">
prescriptive rebate program</t>
        </r>
      </text>
    </comment>
    <comment ref="ASO2" authorId="0">
      <text>
        <r>
          <rPr>
            <b/>
            <sz val="9"/>
            <color indexed="81"/>
            <rFont val="Tahoma"/>
            <family val="2"/>
          </rPr>
          <t>Ingrid Malmgren:</t>
        </r>
        <r>
          <rPr>
            <sz val="9"/>
            <color indexed="81"/>
            <rFont val="Tahoma"/>
            <family val="2"/>
          </rPr>
          <t xml:space="preserve">
prescriptive rebate program</t>
        </r>
      </text>
    </comment>
    <comment ref="ASP2" authorId="0">
      <text>
        <r>
          <rPr>
            <b/>
            <sz val="9"/>
            <color indexed="81"/>
            <rFont val="Tahoma"/>
            <family val="2"/>
          </rPr>
          <t>Ingrid Malmgren:</t>
        </r>
        <r>
          <rPr>
            <sz val="9"/>
            <color indexed="81"/>
            <rFont val="Tahoma"/>
            <family val="2"/>
          </rPr>
          <t xml:space="preserve">
prescriptive rebate program</t>
        </r>
      </text>
    </comment>
    <comment ref="ASQ2" authorId="0">
      <text>
        <r>
          <rPr>
            <b/>
            <sz val="9"/>
            <color indexed="81"/>
            <rFont val="Tahoma"/>
            <family val="2"/>
          </rPr>
          <t>Ingrid Malmgren:</t>
        </r>
        <r>
          <rPr>
            <sz val="9"/>
            <color indexed="81"/>
            <rFont val="Tahoma"/>
            <family val="2"/>
          </rPr>
          <t xml:space="preserve">
prescriptive rebate program</t>
        </r>
      </text>
    </comment>
    <comment ref="ASR2" authorId="0">
      <text>
        <r>
          <rPr>
            <b/>
            <sz val="9"/>
            <color indexed="81"/>
            <rFont val="Tahoma"/>
            <family val="2"/>
          </rPr>
          <t>Ingrid Malmgren:</t>
        </r>
        <r>
          <rPr>
            <sz val="9"/>
            <color indexed="81"/>
            <rFont val="Tahoma"/>
            <family val="2"/>
          </rPr>
          <t xml:space="preserve">
prescriptive rebate program</t>
        </r>
      </text>
    </comment>
    <comment ref="ASS2" authorId="0">
      <text>
        <r>
          <rPr>
            <b/>
            <sz val="9"/>
            <color indexed="81"/>
            <rFont val="Tahoma"/>
            <family val="2"/>
          </rPr>
          <t>Ingrid Malmgren:</t>
        </r>
        <r>
          <rPr>
            <sz val="9"/>
            <color indexed="81"/>
            <rFont val="Tahoma"/>
            <family val="2"/>
          </rPr>
          <t xml:space="preserve">
prescriptive rebate program</t>
        </r>
      </text>
    </comment>
    <comment ref="AST2" authorId="0">
      <text>
        <r>
          <rPr>
            <b/>
            <sz val="9"/>
            <color indexed="81"/>
            <rFont val="Tahoma"/>
            <family val="2"/>
          </rPr>
          <t>Ingrid Malmgren:</t>
        </r>
        <r>
          <rPr>
            <sz val="9"/>
            <color indexed="81"/>
            <rFont val="Tahoma"/>
            <family val="2"/>
          </rPr>
          <t xml:space="preserve">
prescriptive rebate program</t>
        </r>
      </text>
    </comment>
    <comment ref="ASU2" authorId="0">
      <text>
        <r>
          <rPr>
            <b/>
            <sz val="9"/>
            <color indexed="81"/>
            <rFont val="Tahoma"/>
            <family val="2"/>
          </rPr>
          <t>Ingrid Malmgren:</t>
        </r>
        <r>
          <rPr>
            <sz val="9"/>
            <color indexed="81"/>
            <rFont val="Tahoma"/>
            <family val="2"/>
          </rPr>
          <t xml:space="preserve">
prescriptive rebate program</t>
        </r>
      </text>
    </comment>
    <comment ref="ASV2" authorId="0">
      <text>
        <r>
          <rPr>
            <b/>
            <sz val="9"/>
            <color indexed="81"/>
            <rFont val="Tahoma"/>
            <family val="2"/>
          </rPr>
          <t>Ingrid Malmgren:</t>
        </r>
        <r>
          <rPr>
            <sz val="9"/>
            <color indexed="81"/>
            <rFont val="Tahoma"/>
            <family val="2"/>
          </rPr>
          <t xml:space="preserve">
prescriptive rebate program</t>
        </r>
      </text>
    </comment>
    <comment ref="ASW2" authorId="0">
      <text>
        <r>
          <rPr>
            <b/>
            <sz val="9"/>
            <color indexed="81"/>
            <rFont val="Tahoma"/>
            <family val="2"/>
          </rPr>
          <t>Ingrid Malmgren:</t>
        </r>
        <r>
          <rPr>
            <sz val="9"/>
            <color indexed="81"/>
            <rFont val="Tahoma"/>
            <family val="2"/>
          </rPr>
          <t xml:space="preserve">
prescriptive rebate program</t>
        </r>
      </text>
    </comment>
    <comment ref="ASX2" authorId="0">
      <text>
        <r>
          <rPr>
            <b/>
            <sz val="9"/>
            <color indexed="81"/>
            <rFont val="Tahoma"/>
            <family val="2"/>
          </rPr>
          <t>Ingrid Malmgren:</t>
        </r>
        <r>
          <rPr>
            <sz val="9"/>
            <color indexed="81"/>
            <rFont val="Tahoma"/>
            <family val="2"/>
          </rPr>
          <t xml:space="preserve">
prescriptive rebate program</t>
        </r>
      </text>
    </comment>
    <comment ref="ASY2" authorId="0">
      <text>
        <r>
          <rPr>
            <b/>
            <sz val="9"/>
            <color indexed="81"/>
            <rFont val="Tahoma"/>
            <family val="2"/>
          </rPr>
          <t>Ingrid Malmgren:</t>
        </r>
        <r>
          <rPr>
            <sz val="9"/>
            <color indexed="81"/>
            <rFont val="Tahoma"/>
            <family val="2"/>
          </rPr>
          <t xml:space="preserve">
prescriptive rebate program</t>
        </r>
      </text>
    </comment>
    <comment ref="ASZ2" authorId="0">
      <text>
        <r>
          <rPr>
            <b/>
            <sz val="9"/>
            <color indexed="81"/>
            <rFont val="Tahoma"/>
            <family val="2"/>
          </rPr>
          <t>Ingrid Malmgren:</t>
        </r>
        <r>
          <rPr>
            <sz val="9"/>
            <color indexed="81"/>
            <rFont val="Tahoma"/>
            <family val="2"/>
          </rPr>
          <t xml:space="preserve">
prescriptive rebate program</t>
        </r>
      </text>
    </comment>
    <comment ref="ATA2" authorId="0">
      <text>
        <r>
          <rPr>
            <b/>
            <sz val="9"/>
            <color indexed="81"/>
            <rFont val="Tahoma"/>
            <family val="2"/>
          </rPr>
          <t>Ingrid Malmgren:</t>
        </r>
        <r>
          <rPr>
            <sz val="9"/>
            <color indexed="81"/>
            <rFont val="Tahoma"/>
            <family val="2"/>
          </rPr>
          <t xml:space="preserve">
prescriptive rebate program</t>
        </r>
      </text>
    </comment>
    <comment ref="ATB2" authorId="0">
      <text>
        <r>
          <rPr>
            <b/>
            <sz val="9"/>
            <color indexed="81"/>
            <rFont val="Tahoma"/>
            <family val="2"/>
          </rPr>
          <t>Ingrid Malmgren:</t>
        </r>
        <r>
          <rPr>
            <sz val="9"/>
            <color indexed="81"/>
            <rFont val="Tahoma"/>
            <family val="2"/>
          </rPr>
          <t xml:space="preserve">
prescriptive rebate program</t>
        </r>
      </text>
    </comment>
    <comment ref="ATC2" authorId="0">
      <text>
        <r>
          <rPr>
            <b/>
            <sz val="9"/>
            <color indexed="81"/>
            <rFont val="Tahoma"/>
            <family val="2"/>
          </rPr>
          <t>Ingrid Malmgren:</t>
        </r>
        <r>
          <rPr>
            <sz val="9"/>
            <color indexed="81"/>
            <rFont val="Tahoma"/>
            <family val="2"/>
          </rPr>
          <t xml:space="preserve">
prescriptive rebate program</t>
        </r>
      </text>
    </comment>
    <comment ref="ATD2" authorId="0">
      <text>
        <r>
          <rPr>
            <b/>
            <sz val="9"/>
            <color indexed="81"/>
            <rFont val="Tahoma"/>
            <family val="2"/>
          </rPr>
          <t>Ingrid Malmgren:</t>
        </r>
        <r>
          <rPr>
            <sz val="9"/>
            <color indexed="81"/>
            <rFont val="Tahoma"/>
            <family val="2"/>
          </rPr>
          <t xml:space="preserve">
prescriptive rebate program</t>
        </r>
      </text>
    </comment>
    <comment ref="ATE2" authorId="0">
      <text>
        <r>
          <rPr>
            <b/>
            <sz val="9"/>
            <color indexed="81"/>
            <rFont val="Tahoma"/>
            <family val="2"/>
          </rPr>
          <t>Ingrid Malmgren:</t>
        </r>
        <r>
          <rPr>
            <sz val="9"/>
            <color indexed="81"/>
            <rFont val="Tahoma"/>
            <family val="2"/>
          </rPr>
          <t xml:space="preserve">
prescriptive rebate program</t>
        </r>
      </text>
    </comment>
    <comment ref="ATF2" authorId="0">
      <text>
        <r>
          <rPr>
            <b/>
            <sz val="9"/>
            <color indexed="81"/>
            <rFont val="Tahoma"/>
            <family val="2"/>
          </rPr>
          <t>Ingrid Malmgren:</t>
        </r>
        <r>
          <rPr>
            <sz val="9"/>
            <color indexed="81"/>
            <rFont val="Tahoma"/>
            <family val="2"/>
          </rPr>
          <t xml:space="preserve">
prescriptive rebate program</t>
        </r>
      </text>
    </comment>
    <comment ref="ATG2" authorId="0">
      <text>
        <r>
          <rPr>
            <b/>
            <sz val="9"/>
            <color indexed="81"/>
            <rFont val="Tahoma"/>
            <family val="2"/>
          </rPr>
          <t>Ingrid Malmgren:</t>
        </r>
        <r>
          <rPr>
            <sz val="9"/>
            <color indexed="81"/>
            <rFont val="Tahoma"/>
            <family val="2"/>
          </rPr>
          <t xml:space="preserve">
prescriptive rebate program</t>
        </r>
      </text>
    </comment>
    <comment ref="ATH2" authorId="0">
      <text>
        <r>
          <rPr>
            <b/>
            <sz val="9"/>
            <color indexed="81"/>
            <rFont val="Tahoma"/>
            <family val="2"/>
          </rPr>
          <t>Ingrid Malmgren:</t>
        </r>
        <r>
          <rPr>
            <sz val="9"/>
            <color indexed="81"/>
            <rFont val="Tahoma"/>
            <family val="2"/>
          </rPr>
          <t xml:space="preserve">
prescriptive rebate program</t>
        </r>
      </text>
    </comment>
    <comment ref="ATI2" authorId="0">
      <text>
        <r>
          <rPr>
            <b/>
            <sz val="9"/>
            <color indexed="81"/>
            <rFont val="Tahoma"/>
            <family val="2"/>
          </rPr>
          <t>Ingrid Malmgren:</t>
        </r>
        <r>
          <rPr>
            <sz val="9"/>
            <color indexed="81"/>
            <rFont val="Tahoma"/>
            <family val="2"/>
          </rPr>
          <t xml:space="preserve">
prescriptive rebate program</t>
        </r>
      </text>
    </comment>
    <comment ref="ATJ2" authorId="0">
      <text>
        <r>
          <rPr>
            <b/>
            <sz val="9"/>
            <color indexed="81"/>
            <rFont val="Tahoma"/>
            <family val="2"/>
          </rPr>
          <t>Ingrid Malmgren:</t>
        </r>
        <r>
          <rPr>
            <sz val="9"/>
            <color indexed="81"/>
            <rFont val="Tahoma"/>
            <family val="2"/>
          </rPr>
          <t xml:space="preserve">
prescriptive rebate program</t>
        </r>
      </text>
    </comment>
    <comment ref="ATK2" authorId="0">
      <text>
        <r>
          <rPr>
            <b/>
            <sz val="9"/>
            <color indexed="81"/>
            <rFont val="Tahoma"/>
            <family val="2"/>
          </rPr>
          <t>Ingrid Malmgren:</t>
        </r>
        <r>
          <rPr>
            <sz val="9"/>
            <color indexed="81"/>
            <rFont val="Tahoma"/>
            <family val="2"/>
          </rPr>
          <t xml:space="preserve">
prescriptive rebate program</t>
        </r>
      </text>
    </comment>
    <comment ref="ATL2" authorId="0">
      <text>
        <r>
          <rPr>
            <b/>
            <sz val="9"/>
            <color indexed="81"/>
            <rFont val="Tahoma"/>
            <family val="2"/>
          </rPr>
          <t>Ingrid Malmgren:</t>
        </r>
        <r>
          <rPr>
            <sz val="9"/>
            <color indexed="81"/>
            <rFont val="Tahoma"/>
            <family val="2"/>
          </rPr>
          <t xml:space="preserve">
prescriptive rebate program</t>
        </r>
      </text>
    </comment>
    <comment ref="ATM2" authorId="0">
      <text>
        <r>
          <rPr>
            <b/>
            <sz val="9"/>
            <color indexed="81"/>
            <rFont val="Tahoma"/>
            <family val="2"/>
          </rPr>
          <t>Ingrid Malmgren:</t>
        </r>
        <r>
          <rPr>
            <sz val="9"/>
            <color indexed="81"/>
            <rFont val="Tahoma"/>
            <family val="2"/>
          </rPr>
          <t xml:space="preserve">
prescriptive rebate program</t>
        </r>
      </text>
    </comment>
    <comment ref="ATN2" authorId="0">
      <text>
        <r>
          <rPr>
            <b/>
            <sz val="9"/>
            <color indexed="81"/>
            <rFont val="Tahoma"/>
            <family val="2"/>
          </rPr>
          <t>Ingrid Malmgren:</t>
        </r>
        <r>
          <rPr>
            <sz val="9"/>
            <color indexed="81"/>
            <rFont val="Tahoma"/>
            <family val="2"/>
          </rPr>
          <t xml:space="preserve">
prescriptive rebate program</t>
        </r>
      </text>
    </comment>
    <comment ref="ATO2" authorId="0">
      <text>
        <r>
          <rPr>
            <b/>
            <sz val="9"/>
            <color indexed="81"/>
            <rFont val="Tahoma"/>
            <family val="2"/>
          </rPr>
          <t>Ingrid Malmgren:</t>
        </r>
        <r>
          <rPr>
            <sz val="9"/>
            <color indexed="81"/>
            <rFont val="Tahoma"/>
            <family val="2"/>
          </rPr>
          <t xml:space="preserve">
prescriptive rebate program</t>
        </r>
      </text>
    </comment>
    <comment ref="ATP2" authorId="0">
      <text>
        <r>
          <rPr>
            <b/>
            <sz val="9"/>
            <color indexed="81"/>
            <rFont val="Tahoma"/>
            <family val="2"/>
          </rPr>
          <t>Ingrid Malmgren:</t>
        </r>
        <r>
          <rPr>
            <sz val="9"/>
            <color indexed="81"/>
            <rFont val="Tahoma"/>
            <family val="2"/>
          </rPr>
          <t xml:space="preserve">
prescriptive rebate program</t>
        </r>
      </text>
    </comment>
    <comment ref="ATQ2" authorId="0">
      <text>
        <r>
          <rPr>
            <b/>
            <sz val="9"/>
            <color indexed="81"/>
            <rFont val="Tahoma"/>
            <family val="2"/>
          </rPr>
          <t>Ingrid Malmgren:</t>
        </r>
        <r>
          <rPr>
            <sz val="9"/>
            <color indexed="81"/>
            <rFont val="Tahoma"/>
            <family val="2"/>
          </rPr>
          <t xml:space="preserve">
prescriptive rebate program</t>
        </r>
      </text>
    </comment>
    <comment ref="ATR2" authorId="0">
      <text>
        <r>
          <rPr>
            <b/>
            <sz val="9"/>
            <color indexed="81"/>
            <rFont val="Tahoma"/>
            <family val="2"/>
          </rPr>
          <t>Ingrid Malmgren:</t>
        </r>
        <r>
          <rPr>
            <sz val="9"/>
            <color indexed="81"/>
            <rFont val="Tahoma"/>
            <family val="2"/>
          </rPr>
          <t xml:space="preserve">
prescriptive rebate program</t>
        </r>
      </text>
    </comment>
    <comment ref="ATS2" authorId="0">
      <text>
        <r>
          <rPr>
            <b/>
            <sz val="9"/>
            <color indexed="81"/>
            <rFont val="Tahoma"/>
            <family val="2"/>
          </rPr>
          <t>Ingrid Malmgren:</t>
        </r>
        <r>
          <rPr>
            <sz val="9"/>
            <color indexed="81"/>
            <rFont val="Tahoma"/>
            <family val="2"/>
          </rPr>
          <t xml:space="preserve">
prescriptive rebate program</t>
        </r>
      </text>
    </comment>
    <comment ref="ATT2" authorId="0">
      <text>
        <r>
          <rPr>
            <b/>
            <sz val="9"/>
            <color indexed="81"/>
            <rFont val="Tahoma"/>
            <family val="2"/>
          </rPr>
          <t>Ingrid Malmgren:</t>
        </r>
        <r>
          <rPr>
            <sz val="9"/>
            <color indexed="81"/>
            <rFont val="Tahoma"/>
            <family val="2"/>
          </rPr>
          <t xml:space="preserve">
prescriptive rebate program</t>
        </r>
      </text>
    </comment>
    <comment ref="ATU2" authorId="0">
      <text>
        <r>
          <rPr>
            <b/>
            <sz val="9"/>
            <color indexed="81"/>
            <rFont val="Tahoma"/>
            <family val="2"/>
          </rPr>
          <t>Ingrid Malmgren:</t>
        </r>
        <r>
          <rPr>
            <sz val="9"/>
            <color indexed="81"/>
            <rFont val="Tahoma"/>
            <family val="2"/>
          </rPr>
          <t xml:space="preserve">
prescriptive rebate program</t>
        </r>
      </text>
    </comment>
    <comment ref="ATV2" authorId="0">
      <text>
        <r>
          <rPr>
            <b/>
            <sz val="9"/>
            <color indexed="81"/>
            <rFont val="Tahoma"/>
            <family val="2"/>
          </rPr>
          <t>Ingrid Malmgren:</t>
        </r>
        <r>
          <rPr>
            <sz val="9"/>
            <color indexed="81"/>
            <rFont val="Tahoma"/>
            <family val="2"/>
          </rPr>
          <t xml:space="preserve">
prescriptive rebate program</t>
        </r>
      </text>
    </comment>
    <comment ref="ATW2" authorId="0">
      <text>
        <r>
          <rPr>
            <b/>
            <sz val="9"/>
            <color indexed="81"/>
            <rFont val="Tahoma"/>
            <family val="2"/>
          </rPr>
          <t>Ingrid Malmgren:</t>
        </r>
        <r>
          <rPr>
            <sz val="9"/>
            <color indexed="81"/>
            <rFont val="Tahoma"/>
            <family val="2"/>
          </rPr>
          <t xml:space="preserve">
prescriptive rebate program</t>
        </r>
      </text>
    </comment>
    <comment ref="ATX2" authorId="0">
      <text>
        <r>
          <rPr>
            <b/>
            <sz val="9"/>
            <color indexed="81"/>
            <rFont val="Tahoma"/>
            <family val="2"/>
          </rPr>
          <t>Ingrid Malmgren:</t>
        </r>
        <r>
          <rPr>
            <sz val="9"/>
            <color indexed="81"/>
            <rFont val="Tahoma"/>
            <family val="2"/>
          </rPr>
          <t xml:space="preserve">
prescriptive rebate program</t>
        </r>
      </text>
    </comment>
    <comment ref="ATY2" authorId="0">
      <text>
        <r>
          <rPr>
            <b/>
            <sz val="9"/>
            <color indexed="81"/>
            <rFont val="Tahoma"/>
            <family val="2"/>
          </rPr>
          <t>Ingrid Malmgren:</t>
        </r>
        <r>
          <rPr>
            <sz val="9"/>
            <color indexed="81"/>
            <rFont val="Tahoma"/>
            <family val="2"/>
          </rPr>
          <t xml:space="preserve">
prescriptive rebate program</t>
        </r>
      </text>
    </comment>
    <comment ref="ATZ2" authorId="0">
      <text>
        <r>
          <rPr>
            <b/>
            <sz val="9"/>
            <color indexed="81"/>
            <rFont val="Tahoma"/>
            <family val="2"/>
          </rPr>
          <t>Ingrid Malmgren:</t>
        </r>
        <r>
          <rPr>
            <sz val="9"/>
            <color indexed="81"/>
            <rFont val="Tahoma"/>
            <family val="2"/>
          </rPr>
          <t xml:space="preserve">
prescriptive rebate program</t>
        </r>
      </text>
    </comment>
    <comment ref="AUA2" authorId="0">
      <text>
        <r>
          <rPr>
            <b/>
            <sz val="9"/>
            <color indexed="81"/>
            <rFont val="Tahoma"/>
            <family val="2"/>
          </rPr>
          <t>Ingrid Malmgren:</t>
        </r>
        <r>
          <rPr>
            <sz val="9"/>
            <color indexed="81"/>
            <rFont val="Tahoma"/>
            <family val="2"/>
          </rPr>
          <t xml:space="preserve">
prescriptive rebate program</t>
        </r>
      </text>
    </comment>
    <comment ref="AUB2" authorId="0">
      <text>
        <r>
          <rPr>
            <b/>
            <sz val="9"/>
            <color indexed="81"/>
            <rFont val="Tahoma"/>
            <family val="2"/>
          </rPr>
          <t>Ingrid Malmgren:</t>
        </r>
        <r>
          <rPr>
            <sz val="9"/>
            <color indexed="81"/>
            <rFont val="Tahoma"/>
            <family val="2"/>
          </rPr>
          <t xml:space="preserve">
prescriptive rebate program</t>
        </r>
      </text>
    </comment>
    <comment ref="AUC2" authorId="0">
      <text>
        <r>
          <rPr>
            <b/>
            <sz val="9"/>
            <color indexed="81"/>
            <rFont val="Tahoma"/>
            <family val="2"/>
          </rPr>
          <t>Ingrid Malmgren:</t>
        </r>
        <r>
          <rPr>
            <sz val="9"/>
            <color indexed="81"/>
            <rFont val="Tahoma"/>
            <family val="2"/>
          </rPr>
          <t xml:space="preserve">
prescriptive rebate program</t>
        </r>
      </text>
    </comment>
    <comment ref="AUD2" authorId="0">
      <text>
        <r>
          <rPr>
            <b/>
            <sz val="9"/>
            <color indexed="81"/>
            <rFont val="Tahoma"/>
            <family val="2"/>
          </rPr>
          <t>Ingrid Malmgren:</t>
        </r>
        <r>
          <rPr>
            <sz val="9"/>
            <color indexed="81"/>
            <rFont val="Tahoma"/>
            <family val="2"/>
          </rPr>
          <t xml:space="preserve">
prescriptive rebate program</t>
        </r>
      </text>
    </comment>
    <comment ref="AUE2" authorId="0">
      <text>
        <r>
          <rPr>
            <b/>
            <sz val="9"/>
            <color indexed="81"/>
            <rFont val="Tahoma"/>
            <family val="2"/>
          </rPr>
          <t>Ingrid Malmgren:</t>
        </r>
        <r>
          <rPr>
            <sz val="9"/>
            <color indexed="81"/>
            <rFont val="Tahoma"/>
            <family val="2"/>
          </rPr>
          <t xml:space="preserve">
prescriptive rebate program</t>
        </r>
      </text>
    </comment>
    <comment ref="AUF2" authorId="0">
      <text>
        <r>
          <rPr>
            <b/>
            <sz val="9"/>
            <color indexed="81"/>
            <rFont val="Tahoma"/>
            <family val="2"/>
          </rPr>
          <t>Ingrid Malmgren:</t>
        </r>
        <r>
          <rPr>
            <sz val="9"/>
            <color indexed="81"/>
            <rFont val="Tahoma"/>
            <family val="2"/>
          </rPr>
          <t xml:space="preserve">
prescriptive rebate program</t>
        </r>
      </text>
    </comment>
    <comment ref="AUG2" authorId="0">
      <text>
        <r>
          <rPr>
            <b/>
            <sz val="9"/>
            <color indexed="81"/>
            <rFont val="Tahoma"/>
            <family val="2"/>
          </rPr>
          <t>Ingrid Malmgren:</t>
        </r>
        <r>
          <rPr>
            <sz val="9"/>
            <color indexed="81"/>
            <rFont val="Tahoma"/>
            <family val="2"/>
          </rPr>
          <t xml:space="preserve">
prescriptive rebate program</t>
        </r>
      </text>
    </comment>
    <comment ref="AUH2" authorId="0">
      <text>
        <r>
          <rPr>
            <b/>
            <sz val="9"/>
            <color indexed="81"/>
            <rFont val="Tahoma"/>
            <family val="2"/>
          </rPr>
          <t>Ingrid Malmgren:</t>
        </r>
        <r>
          <rPr>
            <sz val="9"/>
            <color indexed="81"/>
            <rFont val="Tahoma"/>
            <family val="2"/>
          </rPr>
          <t xml:space="preserve">
prescriptive rebate program</t>
        </r>
      </text>
    </comment>
    <comment ref="AUI2" authorId="0">
      <text>
        <r>
          <rPr>
            <b/>
            <sz val="9"/>
            <color indexed="81"/>
            <rFont val="Tahoma"/>
            <family val="2"/>
          </rPr>
          <t>Ingrid Malmgren:</t>
        </r>
        <r>
          <rPr>
            <sz val="9"/>
            <color indexed="81"/>
            <rFont val="Tahoma"/>
            <family val="2"/>
          </rPr>
          <t xml:space="preserve">
prescriptive rebate program</t>
        </r>
      </text>
    </comment>
    <comment ref="AUJ2" authorId="0">
      <text>
        <r>
          <rPr>
            <b/>
            <sz val="9"/>
            <color indexed="81"/>
            <rFont val="Tahoma"/>
            <family val="2"/>
          </rPr>
          <t>Ingrid Malmgren:</t>
        </r>
        <r>
          <rPr>
            <sz val="9"/>
            <color indexed="81"/>
            <rFont val="Tahoma"/>
            <family val="2"/>
          </rPr>
          <t xml:space="preserve">
prescriptive rebate program</t>
        </r>
      </text>
    </comment>
    <comment ref="AUK2" authorId="0">
      <text>
        <r>
          <rPr>
            <b/>
            <sz val="9"/>
            <color indexed="81"/>
            <rFont val="Tahoma"/>
            <family val="2"/>
          </rPr>
          <t>Ingrid Malmgren:</t>
        </r>
        <r>
          <rPr>
            <sz val="9"/>
            <color indexed="81"/>
            <rFont val="Tahoma"/>
            <family val="2"/>
          </rPr>
          <t xml:space="preserve">
prescriptive rebate program</t>
        </r>
      </text>
    </comment>
    <comment ref="AUL2" authorId="0">
      <text>
        <r>
          <rPr>
            <b/>
            <sz val="9"/>
            <color indexed="81"/>
            <rFont val="Tahoma"/>
            <family val="2"/>
          </rPr>
          <t>Ingrid Malmgren:</t>
        </r>
        <r>
          <rPr>
            <sz val="9"/>
            <color indexed="81"/>
            <rFont val="Tahoma"/>
            <family val="2"/>
          </rPr>
          <t xml:space="preserve">
prescriptive rebate program</t>
        </r>
      </text>
    </comment>
    <comment ref="AUM2" authorId="0">
      <text>
        <r>
          <rPr>
            <b/>
            <sz val="9"/>
            <color indexed="81"/>
            <rFont val="Tahoma"/>
            <family val="2"/>
          </rPr>
          <t>Ingrid Malmgren:</t>
        </r>
        <r>
          <rPr>
            <sz val="9"/>
            <color indexed="81"/>
            <rFont val="Tahoma"/>
            <family val="2"/>
          </rPr>
          <t xml:space="preserve">
prescriptive rebate program</t>
        </r>
      </text>
    </comment>
    <comment ref="AUN2" authorId="0">
      <text>
        <r>
          <rPr>
            <b/>
            <sz val="9"/>
            <color indexed="81"/>
            <rFont val="Tahoma"/>
            <family val="2"/>
          </rPr>
          <t>Ingrid Malmgren:</t>
        </r>
        <r>
          <rPr>
            <sz val="9"/>
            <color indexed="81"/>
            <rFont val="Tahoma"/>
            <family val="2"/>
          </rPr>
          <t xml:space="preserve">
prescriptive rebate program</t>
        </r>
      </text>
    </comment>
    <comment ref="AUO2" authorId="0">
      <text>
        <r>
          <rPr>
            <b/>
            <sz val="9"/>
            <color indexed="81"/>
            <rFont val="Tahoma"/>
            <family val="2"/>
          </rPr>
          <t>Ingrid Malmgren:</t>
        </r>
        <r>
          <rPr>
            <sz val="9"/>
            <color indexed="81"/>
            <rFont val="Tahoma"/>
            <family val="2"/>
          </rPr>
          <t xml:space="preserve">
prescriptive rebate program</t>
        </r>
      </text>
    </comment>
    <comment ref="AUP2" authorId="0">
      <text>
        <r>
          <rPr>
            <b/>
            <sz val="9"/>
            <color indexed="81"/>
            <rFont val="Tahoma"/>
            <family val="2"/>
          </rPr>
          <t>Ingrid Malmgren:</t>
        </r>
        <r>
          <rPr>
            <sz val="9"/>
            <color indexed="81"/>
            <rFont val="Tahoma"/>
            <family val="2"/>
          </rPr>
          <t xml:space="preserve">
prescriptive rebate program</t>
        </r>
      </text>
    </comment>
    <comment ref="AUQ2" authorId="0">
      <text>
        <r>
          <rPr>
            <b/>
            <sz val="9"/>
            <color indexed="81"/>
            <rFont val="Tahoma"/>
            <family val="2"/>
          </rPr>
          <t>Ingrid Malmgren:</t>
        </r>
        <r>
          <rPr>
            <sz val="9"/>
            <color indexed="81"/>
            <rFont val="Tahoma"/>
            <family val="2"/>
          </rPr>
          <t xml:space="preserve">
prescriptive rebate program</t>
        </r>
      </text>
    </comment>
    <comment ref="AUR2" authorId="0">
      <text>
        <r>
          <rPr>
            <b/>
            <sz val="9"/>
            <color indexed="81"/>
            <rFont val="Tahoma"/>
            <family val="2"/>
          </rPr>
          <t>Ingrid Malmgren:</t>
        </r>
        <r>
          <rPr>
            <sz val="9"/>
            <color indexed="81"/>
            <rFont val="Tahoma"/>
            <family val="2"/>
          </rPr>
          <t xml:space="preserve">
prescriptive rebate program</t>
        </r>
      </text>
    </comment>
    <comment ref="AUS2" authorId="0">
      <text>
        <r>
          <rPr>
            <b/>
            <sz val="9"/>
            <color indexed="81"/>
            <rFont val="Tahoma"/>
            <family val="2"/>
          </rPr>
          <t>Ingrid Malmgren:</t>
        </r>
        <r>
          <rPr>
            <sz val="9"/>
            <color indexed="81"/>
            <rFont val="Tahoma"/>
            <family val="2"/>
          </rPr>
          <t xml:space="preserve">
prescriptive rebate program</t>
        </r>
      </text>
    </comment>
    <comment ref="AUT2" authorId="0">
      <text>
        <r>
          <rPr>
            <b/>
            <sz val="9"/>
            <color indexed="81"/>
            <rFont val="Tahoma"/>
            <family val="2"/>
          </rPr>
          <t>Ingrid Malmgren:</t>
        </r>
        <r>
          <rPr>
            <sz val="9"/>
            <color indexed="81"/>
            <rFont val="Tahoma"/>
            <family val="2"/>
          </rPr>
          <t xml:space="preserve">
prescriptive rebate program</t>
        </r>
      </text>
    </comment>
    <comment ref="AUU2" authorId="0">
      <text>
        <r>
          <rPr>
            <b/>
            <sz val="9"/>
            <color indexed="81"/>
            <rFont val="Tahoma"/>
            <family val="2"/>
          </rPr>
          <t>Ingrid Malmgren:</t>
        </r>
        <r>
          <rPr>
            <sz val="9"/>
            <color indexed="81"/>
            <rFont val="Tahoma"/>
            <family val="2"/>
          </rPr>
          <t xml:space="preserve">
prescriptive rebate program</t>
        </r>
      </text>
    </comment>
    <comment ref="AUV2" authorId="0">
      <text>
        <r>
          <rPr>
            <b/>
            <sz val="9"/>
            <color indexed="81"/>
            <rFont val="Tahoma"/>
            <family val="2"/>
          </rPr>
          <t>Ingrid Malmgren:</t>
        </r>
        <r>
          <rPr>
            <sz val="9"/>
            <color indexed="81"/>
            <rFont val="Tahoma"/>
            <family val="2"/>
          </rPr>
          <t xml:space="preserve">
prescriptive rebate program</t>
        </r>
      </text>
    </comment>
    <comment ref="AUW2" authorId="0">
      <text>
        <r>
          <rPr>
            <b/>
            <sz val="9"/>
            <color indexed="81"/>
            <rFont val="Tahoma"/>
            <family val="2"/>
          </rPr>
          <t>Ingrid Malmgren:</t>
        </r>
        <r>
          <rPr>
            <sz val="9"/>
            <color indexed="81"/>
            <rFont val="Tahoma"/>
            <family val="2"/>
          </rPr>
          <t xml:space="preserve">
prescriptive rebate program</t>
        </r>
      </text>
    </comment>
    <comment ref="AUX2" authorId="0">
      <text>
        <r>
          <rPr>
            <b/>
            <sz val="9"/>
            <color indexed="81"/>
            <rFont val="Tahoma"/>
            <family val="2"/>
          </rPr>
          <t>Ingrid Malmgren:</t>
        </r>
        <r>
          <rPr>
            <sz val="9"/>
            <color indexed="81"/>
            <rFont val="Tahoma"/>
            <family val="2"/>
          </rPr>
          <t xml:space="preserve">
prescriptive rebate program</t>
        </r>
      </text>
    </comment>
    <comment ref="AUY2" authorId="0">
      <text>
        <r>
          <rPr>
            <b/>
            <sz val="9"/>
            <color indexed="81"/>
            <rFont val="Tahoma"/>
            <family val="2"/>
          </rPr>
          <t>Ingrid Malmgren:</t>
        </r>
        <r>
          <rPr>
            <sz val="9"/>
            <color indexed="81"/>
            <rFont val="Tahoma"/>
            <family val="2"/>
          </rPr>
          <t xml:space="preserve">
prescriptive rebate program</t>
        </r>
      </text>
    </comment>
    <comment ref="AUZ2" authorId="0">
      <text>
        <r>
          <rPr>
            <b/>
            <sz val="9"/>
            <color indexed="81"/>
            <rFont val="Tahoma"/>
            <family val="2"/>
          </rPr>
          <t>Ingrid Malmgren:</t>
        </r>
        <r>
          <rPr>
            <sz val="9"/>
            <color indexed="81"/>
            <rFont val="Tahoma"/>
            <family val="2"/>
          </rPr>
          <t xml:space="preserve">
prescriptive rebate program</t>
        </r>
      </text>
    </comment>
    <comment ref="AVA2" authorId="0">
      <text>
        <r>
          <rPr>
            <b/>
            <sz val="9"/>
            <color indexed="81"/>
            <rFont val="Tahoma"/>
            <family val="2"/>
          </rPr>
          <t>Ingrid Malmgren:</t>
        </r>
        <r>
          <rPr>
            <sz val="9"/>
            <color indexed="81"/>
            <rFont val="Tahoma"/>
            <family val="2"/>
          </rPr>
          <t xml:space="preserve">
prescriptive rebate program</t>
        </r>
      </text>
    </comment>
    <comment ref="AVB2" authorId="0">
      <text>
        <r>
          <rPr>
            <b/>
            <sz val="9"/>
            <color indexed="81"/>
            <rFont val="Tahoma"/>
            <family val="2"/>
          </rPr>
          <t>Ingrid Malmgren:</t>
        </r>
        <r>
          <rPr>
            <sz val="9"/>
            <color indexed="81"/>
            <rFont val="Tahoma"/>
            <family val="2"/>
          </rPr>
          <t xml:space="preserve">
prescriptive rebate program</t>
        </r>
      </text>
    </comment>
    <comment ref="AVC2" authorId="0">
      <text>
        <r>
          <rPr>
            <b/>
            <sz val="9"/>
            <color indexed="81"/>
            <rFont val="Tahoma"/>
            <family val="2"/>
          </rPr>
          <t>Ingrid Malmgren:</t>
        </r>
        <r>
          <rPr>
            <sz val="9"/>
            <color indexed="81"/>
            <rFont val="Tahoma"/>
            <family val="2"/>
          </rPr>
          <t xml:space="preserve">
prescriptive rebate program</t>
        </r>
      </text>
    </comment>
    <comment ref="AVD2" authorId="0">
      <text>
        <r>
          <rPr>
            <b/>
            <sz val="9"/>
            <color indexed="81"/>
            <rFont val="Tahoma"/>
            <family val="2"/>
          </rPr>
          <t>Ingrid Malmgren:</t>
        </r>
        <r>
          <rPr>
            <sz val="9"/>
            <color indexed="81"/>
            <rFont val="Tahoma"/>
            <family val="2"/>
          </rPr>
          <t xml:space="preserve">
prescriptive rebate program</t>
        </r>
      </text>
    </comment>
    <comment ref="AVE2" authorId="0">
      <text>
        <r>
          <rPr>
            <b/>
            <sz val="9"/>
            <color indexed="81"/>
            <rFont val="Tahoma"/>
            <family val="2"/>
          </rPr>
          <t>Ingrid Malmgren:</t>
        </r>
        <r>
          <rPr>
            <sz val="9"/>
            <color indexed="81"/>
            <rFont val="Tahoma"/>
            <family val="2"/>
          </rPr>
          <t xml:space="preserve">
prescriptive rebate program</t>
        </r>
      </text>
    </comment>
    <comment ref="AVF2" authorId="0">
      <text>
        <r>
          <rPr>
            <b/>
            <sz val="9"/>
            <color indexed="81"/>
            <rFont val="Tahoma"/>
            <family val="2"/>
          </rPr>
          <t>Ingrid Malmgren:</t>
        </r>
        <r>
          <rPr>
            <sz val="9"/>
            <color indexed="81"/>
            <rFont val="Tahoma"/>
            <family val="2"/>
          </rPr>
          <t xml:space="preserve">
prescriptive rebate program</t>
        </r>
      </text>
    </comment>
    <comment ref="AVG2" authorId="0">
      <text>
        <r>
          <rPr>
            <b/>
            <sz val="9"/>
            <color indexed="81"/>
            <rFont val="Tahoma"/>
            <family val="2"/>
          </rPr>
          <t>Ingrid Malmgren:</t>
        </r>
        <r>
          <rPr>
            <sz val="9"/>
            <color indexed="81"/>
            <rFont val="Tahoma"/>
            <family val="2"/>
          </rPr>
          <t xml:space="preserve">
prescriptive rebate program</t>
        </r>
      </text>
    </comment>
    <comment ref="AVH2" authorId="0">
      <text>
        <r>
          <rPr>
            <b/>
            <sz val="9"/>
            <color indexed="81"/>
            <rFont val="Tahoma"/>
            <family val="2"/>
          </rPr>
          <t>Ingrid Malmgren:</t>
        </r>
        <r>
          <rPr>
            <sz val="9"/>
            <color indexed="81"/>
            <rFont val="Tahoma"/>
            <family val="2"/>
          </rPr>
          <t xml:space="preserve">
prescriptive rebate program</t>
        </r>
      </text>
    </comment>
    <comment ref="AVI2" authorId="0">
      <text>
        <r>
          <rPr>
            <b/>
            <sz val="9"/>
            <color indexed="81"/>
            <rFont val="Tahoma"/>
            <family val="2"/>
          </rPr>
          <t>Ingrid Malmgren:</t>
        </r>
        <r>
          <rPr>
            <sz val="9"/>
            <color indexed="81"/>
            <rFont val="Tahoma"/>
            <family val="2"/>
          </rPr>
          <t xml:space="preserve">
prescriptive rebate program</t>
        </r>
      </text>
    </comment>
    <comment ref="AVJ2" authorId="0">
      <text>
        <r>
          <rPr>
            <b/>
            <sz val="9"/>
            <color indexed="81"/>
            <rFont val="Tahoma"/>
            <family val="2"/>
          </rPr>
          <t>Ingrid Malmgren:</t>
        </r>
        <r>
          <rPr>
            <sz val="9"/>
            <color indexed="81"/>
            <rFont val="Tahoma"/>
            <family val="2"/>
          </rPr>
          <t xml:space="preserve">
prescriptive rebate program</t>
        </r>
      </text>
    </comment>
    <comment ref="AVK2" authorId="0">
      <text>
        <r>
          <rPr>
            <b/>
            <sz val="9"/>
            <color indexed="81"/>
            <rFont val="Tahoma"/>
            <family val="2"/>
          </rPr>
          <t>Ingrid Malmgren:</t>
        </r>
        <r>
          <rPr>
            <sz val="9"/>
            <color indexed="81"/>
            <rFont val="Tahoma"/>
            <family val="2"/>
          </rPr>
          <t xml:space="preserve">
prescriptive rebate program</t>
        </r>
      </text>
    </comment>
    <comment ref="AVL2" authorId="0">
      <text>
        <r>
          <rPr>
            <b/>
            <sz val="9"/>
            <color indexed="81"/>
            <rFont val="Tahoma"/>
            <family val="2"/>
          </rPr>
          <t>Ingrid Malmgren:</t>
        </r>
        <r>
          <rPr>
            <sz val="9"/>
            <color indexed="81"/>
            <rFont val="Tahoma"/>
            <family val="2"/>
          </rPr>
          <t xml:space="preserve">
prescriptive rebate program</t>
        </r>
      </text>
    </comment>
    <comment ref="AVM2" authorId="0">
      <text>
        <r>
          <rPr>
            <b/>
            <sz val="9"/>
            <color indexed="81"/>
            <rFont val="Tahoma"/>
            <family val="2"/>
          </rPr>
          <t>Ingrid Malmgren:</t>
        </r>
        <r>
          <rPr>
            <sz val="9"/>
            <color indexed="81"/>
            <rFont val="Tahoma"/>
            <family val="2"/>
          </rPr>
          <t xml:space="preserve">
prescriptive rebate program</t>
        </r>
      </text>
    </comment>
    <comment ref="AVN2" authorId="0">
      <text>
        <r>
          <rPr>
            <b/>
            <sz val="9"/>
            <color indexed="81"/>
            <rFont val="Tahoma"/>
            <family val="2"/>
          </rPr>
          <t>Ingrid Malmgren:</t>
        </r>
        <r>
          <rPr>
            <sz val="9"/>
            <color indexed="81"/>
            <rFont val="Tahoma"/>
            <family val="2"/>
          </rPr>
          <t xml:space="preserve">
prescriptive rebate program</t>
        </r>
      </text>
    </comment>
    <comment ref="AVO2" authorId="0">
      <text>
        <r>
          <rPr>
            <b/>
            <sz val="9"/>
            <color indexed="81"/>
            <rFont val="Tahoma"/>
            <family val="2"/>
          </rPr>
          <t>Ingrid Malmgren:</t>
        </r>
        <r>
          <rPr>
            <sz val="9"/>
            <color indexed="81"/>
            <rFont val="Tahoma"/>
            <family val="2"/>
          </rPr>
          <t xml:space="preserve">
prescriptive rebate program</t>
        </r>
      </text>
    </comment>
    <comment ref="AVP2" authorId="0">
      <text>
        <r>
          <rPr>
            <b/>
            <sz val="9"/>
            <color indexed="81"/>
            <rFont val="Tahoma"/>
            <family val="2"/>
          </rPr>
          <t>Ingrid Malmgren:</t>
        </r>
        <r>
          <rPr>
            <sz val="9"/>
            <color indexed="81"/>
            <rFont val="Tahoma"/>
            <family val="2"/>
          </rPr>
          <t xml:space="preserve">
prescriptive rebate program</t>
        </r>
      </text>
    </comment>
    <comment ref="AVQ2" authorId="0">
      <text>
        <r>
          <rPr>
            <b/>
            <sz val="9"/>
            <color indexed="81"/>
            <rFont val="Tahoma"/>
            <family val="2"/>
          </rPr>
          <t>Ingrid Malmgren:</t>
        </r>
        <r>
          <rPr>
            <sz val="9"/>
            <color indexed="81"/>
            <rFont val="Tahoma"/>
            <family val="2"/>
          </rPr>
          <t xml:space="preserve">
prescriptive rebate program</t>
        </r>
      </text>
    </comment>
    <comment ref="AVR2" authorId="0">
      <text>
        <r>
          <rPr>
            <b/>
            <sz val="9"/>
            <color indexed="81"/>
            <rFont val="Tahoma"/>
            <family val="2"/>
          </rPr>
          <t>Ingrid Malmgren:</t>
        </r>
        <r>
          <rPr>
            <sz val="9"/>
            <color indexed="81"/>
            <rFont val="Tahoma"/>
            <family val="2"/>
          </rPr>
          <t xml:space="preserve">
prescriptive rebate program</t>
        </r>
      </text>
    </comment>
    <comment ref="AVS2" authorId="0">
      <text>
        <r>
          <rPr>
            <b/>
            <sz val="9"/>
            <color indexed="81"/>
            <rFont val="Tahoma"/>
            <family val="2"/>
          </rPr>
          <t>Ingrid Malmgren:</t>
        </r>
        <r>
          <rPr>
            <sz val="9"/>
            <color indexed="81"/>
            <rFont val="Tahoma"/>
            <family val="2"/>
          </rPr>
          <t xml:space="preserve">
prescriptive rebate program</t>
        </r>
      </text>
    </comment>
    <comment ref="AVT2" authorId="0">
      <text>
        <r>
          <rPr>
            <b/>
            <sz val="9"/>
            <color indexed="81"/>
            <rFont val="Tahoma"/>
            <family val="2"/>
          </rPr>
          <t>Ingrid Malmgren:</t>
        </r>
        <r>
          <rPr>
            <sz val="9"/>
            <color indexed="81"/>
            <rFont val="Tahoma"/>
            <family val="2"/>
          </rPr>
          <t xml:space="preserve">
prescriptive rebate program</t>
        </r>
      </text>
    </comment>
    <comment ref="AVU2" authorId="0">
      <text>
        <r>
          <rPr>
            <b/>
            <sz val="9"/>
            <color indexed="81"/>
            <rFont val="Tahoma"/>
            <family val="2"/>
          </rPr>
          <t>Ingrid Malmgren:</t>
        </r>
        <r>
          <rPr>
            <sz val="9"/>
            <color indexed="81"/>
            <rFont val="Tahoma"/>
            <family val="2"/>
          </rPr>
          <t xml:space="preserve">
prescriptive rebate program</t>
        </r>
      </text>
    </comment>
    <comment ref="AVV2" authorId="0">
      <text>
        <r>
          <rPr>
            <b/>
            <sz val="9"/>
            <color indexed="81"/>
            <rFont val="Tahoma"/>
            <family val="2"/>
          </rPr>
          <t>Ingrid Malmgren:</t>
        </r>
        <r>
          <rPr>
            <sz val="9"/>
            <color indexed="81"/>
            <rFont val="Tahoma"/>
            <family val="2"/>
          </rPr>
          <t xml:space="preserve">
prescriptive rebate program</t>
        </r>
      </text>
    </comment>
    <comment ref="AVW2" authorId="0">
      <text>
        <r>
          <rPr>
            <b/>
            <sz val="9"/>
            <color indexed="81"/>
            <rFont val="Tahoma"/>
            <family val="2"/>
          </rPr>
          <t>Ingrid Malmgren:</t>
        </r>
        <r>
          <rPr>
            <sz val="9"/>
            <color indexed="81"/>
            <rFont val="Tahoma"/>
            <family val="2"/>
          </rPr>
          <t xml:space="preserve">
prescriptive rebate program</t>
        </r>
      </text>
    </comment>
    <comment ref="AVX2" authorId="0">
      <text>
        <r>
          <rPr>
            <b/>
            <sz val="9"/>
            <color indexed="81"/>
            <rFont val="Tahoma"/>
            <family val="2"/>
          </rPr>
          <t>Ingrid Malmgren:</t>
        </r>
        <r>
          <rPr>
            <sz val="9"/>
            <color indexed="81"/>
            <rFont val="Tahoma"/>
            <family val="2"/>
          </rPr>
          <t xml:space="preserve">
prescriptive rebate program</t>
        </r>
      </text>
    </comment>
    <comment ref="AVY2" authorId="0">
      <text>
        <r>
          <rPr>
            <b/>
            <sz val="9"/>
            <color indexed="81"/>
            <rFont val="Tahoma"/>
            <family val="2"/>
          </rPr>
          <t>Ingrid Malmgren:</t>
        </r>
        <r>
          <rPr>
            <sz val="9"/>
            <color indexed="81"/>
            <rFont val="Tahoma"/>
            <family val="2"/>
          </rPr>
          <t xml:space="preserve">
prescriptive rebate program</t>
        </r>
      </text>
    </comment>
    <comment ref="AVZ2" authorId="0">
      <text>
        <r>
          <rPr>
            <b/>
            <sz val="9"/>
            <color indexed="81"/>
            <rFont val="Tahoma"/>
            <family val="2"/>
          </rPr>
          <t>Ingrid Malmgren:</t>
        </r>
        <r>
          <rPr>
            <sz val="9"/>
            <color indexed="81"/>
            <rFont val="Tahoma"/>
            <family val="2"/>
          </rPr>
          <t xml:space="preserve">
prescriptive rebate program</t>
        </r>
      </text>
    </comment>
    <comment ref="AWA2" authorId="0">
      <text>
        <r>
          <rPr>
            <b/>
            <sz val="9"/>
            <color indexed="81"/>
            <rFont val="Tahoma"/>
            <family val="2"/>
          </rPr>
          <t>Ingrid Malmgren:</t>
        </r>
        <r>
          <rPr>
            <sz val="9"/>
            <color indexed="81"/>
            <rFont val="Tahoma"/>
            <family val="2"/>
          </rPr>
          <t xml:space="preserve">
prescriptive rebate program</t>
        </r>
      </text>
    </comment>
    <comment ref="AWB2" authorId="0">
      <text>
        <r>
          <rPr>
            <b/>
            <sz val="9"/>
            <color indexed="81"/>
            <rFont val="Tahoma"/>
            <family val="2"/>
          </rPr>
          <t>Ingrid Malmgren:</t>
        </r>
        <r>
          <rPr>
            <sz val="9"/>
            <color indexed="81"/>
            <rFont val="Tahoma"/>
            <family val="2"/>
          </rPr>
          <t xml:space="preserve">
prescriptive rebate program</t>
        </r>
      </text>
    </comment>
    <comment ref="AWC2" authorId="0">
      <text>
        <r>
          <rPr>
            <b/>
            <sz val="9"/>
            <color indexed="81"/>
            <rFont val="Tahoma"/>
            <family val="2"/>
          </rPr>
          <t>Ingrid Malmgren:</t>
        </r>
        <r>
          <rPr>
            <sz val="9"/>
            <color indexed="81"/>
            <rFont val="Tahoma"/>
            <family val="2"/>
          </rPr>
          <t xml:space="preserve">
prescriptive rebate program</t>
        </r>
      </text>
    </comment>
    <comment ref="AWD2" authorId="0">
      <text>
        <r>
          <rPr>
            <b/>
            <sz val="9"/>
            <color indexed="81"/>
            <rFont val="Tahoma"/>
            <family val="2"/>
          </rPr>
          <t>Ingrid Malmgren:</t>
        </r>
        <r>
          <rPr>
            <sz val="9"/>
            <color indexed="81"/>
            <rFont val="Tahoma"/>
            <family val="2"/>
          </rPr>
          <t xml:space="preserve">
prescriptive rebate program</t>
        </r>
      </text>
    </comment>
    <comment ref="AWE2" authorId="0">
      <text>
        <r>
          <rPr>
            <b/>
            <sz val="9"/>
            <color indexed="81"/>
            <rFont val="Tahoma"/>
            <family val="2"/>
          </rPr>
          <t>Ingrid Malmgren:</t>
        </r>
        <r>
          <rPr>
            <sz val="9"/>
            <color indexed="81"/>
            <rFont val="Tahoma"/>
            <family val="2"/>
          </rPr>
          <t xml:space="preserve">
prescriptive rebate program</t>
        </r>
      </text>
    </comment>
    <comment ref="AWF2" authorId="0">
      <text>
        <r>
          <rPr>
            <b/>
            <sz val="9"/>
            <color indexed="81"/>
            <rFont val="Tahoma"/>
            <family val="2"/>
          </rPr>
          <t>Ingrid Malmgren:</t>
        </r>
        <r>
          <rPr>
            <sz val="9"/>
            <color indexed="81"/>
            <rFont val="Tahoma"/>
            <family val="2"/>
          </rPr>
          <t xml:space="preserve">
prescriptive rebate program</t>
        </r>
      </text>
    </comment>
    <comment ref="AWG2" authorId="0">
      <text>
        <r>
          <rPr>
            <b/>
            <sz val="9"/>
            <color indexed="81"/>
            <rFont val="Tahoma"/>
            <family val="2"/>
          </rPr>
          <t>Ingrid Malmgren:</t>
        </r>
        <r>
          <rPr>
            <sz val="9"/>
            <color indexed="81"/>
            <rFont val="Tahoma"/>
            <family val="2"/>
          </rPr>
          <t xml:space="preserve">
prescriptive rebate program</t>
        </r>
      </text>
    </comment>
    <comment ref="AWH2" authorId="0">
      <text>
        <r>
          <rPr>
            <b/>
            <sz val="9"/>
            <color indexed="81"/>
            <rFont val="Tahoma"/>
            <family val="2"/>
          </rPr>
          <t>Ingrid Malmgren:</t>
        </r>
        <r>
          <rPr>
            <sz val="9"/>
            <color indexed="81"/>
            <rFont val="Tahoma"/>
            <family val="2"/>
          </rPr>
          <t xml:space="preserve">
prescriptive rebate program</t>
        </r>
      </text>
    </comment>
    <comment ref="AWI2" authorId="0">
      <text>
        <r>
          <rPr>
            <b/>
            <sz val="9"/>
            <color indexed="81"/>
            <rFont val="Tahoma"/>
            <family val="2"/>
          </rPr>
          <t>Ingrid Malmgren:</t>
        </r>
        <r>
          <rPr>
            <sz val="9"/>
            <color indexed="81"/>
            <rFont val="Tahoma"/>
            <family val="2"/>
          </rPr>
          <t xml:space="preserve">
prescriptive rebate program</t>
        </r>
      </text>
    </comment>
    <comment ref="AWJ2" authorId="0">
      <text>
        <r>
          <rPr>
            <b/>
            <sz val="9"/>
            <color indexed="81"/>
            <rFont val="Tahoma"/>
            <family val="2"/>
          </rPr>
          <t>Ingrid Malmgren:</t>
        </r>
        <r>
          <rPr>
            <sz val="9"/>
            <color indexed="81"/>
            <rFont val="Tahoma"/>
            <family val="2"/>
          </rPr>
          <t xml:space="preserve">
prescriptive rebate program</t>
        </r>
      </text>
    </comment>
    <comment ref="AWK2" authorId="0">
      <text>
        <r>
          <rPr>
            <b/>
            <sz val="9"/>
            <color indexed="81"/>
            <rFont val="Tahoma"/>
            <family val="2"/>
          </rPr>
          <t>Ingrid Malmgren:</t>
        </r>
        <r>
          <rPr>
            <sz val="9"/>
            <color indexed="81"/>
            <rFont val="Tahoma"/>
            <family val="2"/>
          </rPr>
          <t xml:space="preserve">
prescriptive rebate program</t>
        </r>
      </text>
    </comment>
    <comment ref="AWL2" authorId="0">
      <text>
        <r>
          <rPr>
            <b/>
            <sz val="9"/>
            <color indexed="81"/>
            <rFont val="Tahoma"/>
            <family val="2"/>
          </rPr>
          <t>Ingrid Malmgren:</t>
        </r>
        <r>
          <rPr>
            <sz val="9"/>
            <color indexed="81"/>
            <rFont val="Tahoma"/>
            <family val="2"/>
          </rPr>
          <t xml:space="preserve">
prescriptive rebate program</t>
        </r>
      </text>
    </comment>
    <comment ref="AWM2" authorId="0">
      <text>
        <r>
          <rPr>
            <b/>
            <sz val="9"/>
            <color indexed="81"/>
            <rFont val="Tahoma"/>
            <family val="2"/>
          </rPr>
          <t>Ingrid Malmgren:</t>
        </r>
        <r>
          <rPr>
            <sz val="9"/>
            <color indexed="81"/>
            <rFont val="Tahoma"/>
            <family val="2"/>
          </rPr>
          <t xml:space="preserve">
prescriptive rebate program</t>
        </r>
      </text>
    </comment>
    <comment ref="AWN2" authorId="0">
      <text>
        <r>
          <rPr>
            <b/>
            <sz val="9"/>
            <color indexed="81"/>
            <rFont val="Tahoma"/>
            <family val="2"/>
          </rPr>
          <t>Ingrid Malmgren:</t>
        </r>
        <r>
          <rPr>
            <sz val="9"/>
            <color indexed="81"/>
            <rFont val="Tahoma"/>
            <family val="2"/>
          </rPr>
          <t xml:space="preserve">
prescriptive rebate program</t>
        </r>
      </text>
    </comment>
    <comment ref="AWO2" authorId="0">
      <text>
        <r>
          <rPr>
            <b/>
            <sz val="9"/>
            <color indexed="81"/>
            <rFont val="Tahoma"/>
            <family val="2"/>
          </rPr>
          <t>Ingrid Malmgren:</t>
        </r>
        <r>
          <rPr>
            <sz val="9"/>
            <color indexed="81"/>
            <rFont val="Tahoma"/>
            <family val="2"/>
          </rPr>
          <t xml:space="preserve">
prescriptive rebate program</t>
        </r>
      </text>
    </comment>
    <comment ref="AWP2" authorId="0">
      <text>
        <r>
          <rPr>
            <b/>
            <sz val="9"/>
            <color indexed="81"/>
            <rFont val="Tahoma"/>
            <family val="2"/>
          </rPr>
          <t>Ingrid Malmgren:</t>
        </r>
        <r>
          <rPr>
            <sz val="9"/>
            <color indexed="81"/>
            <rFont val="Tahoma"/>
            <family val="2"/>
          </rPr>
          <t xml:space="preserve">
prescriptive rebate program</t>
        </r>
      </text>
    </comment>
    <comment ref="AWQ2" authorId="0">
      <text>
        <r>
          <rPr>
            <b/>
            <sz val="9"/>
            <color indexed="81"/>
            <rFont val="Tahoma"/>
            <family val="2"/>
          </rPr>
          <t>Ingrid Malmgren:</t>
        </r>
        <r>
          <rPr>
            <sz val="9"/>
            <color indexed="81"/>
            <rFont val="Tahoma"/>
            <family val="2"/>
          </rPr>
          <t xml:space="preserve">
prescriptive rebate program</t>
        </r>
      </text>
    </comment>
    <comment ref="AWR2" authorId="0">
      <text>
        <r>
          <rPr>
            <b/>
            <sz val="9"/>
            <color indexed="81"/>
            <rFont val="Tahoma"/>
            <family val="2"/>
          </rPr>
          <t>Ingrid Malmgren:</t>
        </r>
        <r>
          <rPr>
            <sz val="9"/>
            <color indexed="81"/>
            <rFont val="Tahoma"/>
            <family val="2"/>
          </rPr>
          <t xml:space="preserve">
prescriptive rebate program</t>
        </r>
      </text>
    </comment>
    <comment ref="AWS2" authorId="0">
      <text>
        <r>
          <rPr>
            <b/>
            <sz val="9"/>
            <color indexed="81"/>
            <rFont val="Tahoma"/>
            <family val="2"/>
          </rPr>
          <t>Ingrid Malmgren:</t>
        </r>
        <r>
          <rPr>
            <sz val="9"/>
            <color indexed="81"/>
            <rFont val="Tahoma"/>
            <family val="2"/>
          </rPr>
          <t xml:space="preserve">
prescriptive rebate program</t>
        </r>
      </text>
    </comment>
    <comment ref="AWT2" authorId="0">
      <text>
        <r>
          <rPr>
            <b/>
            <sz val="9"/>
            <color indexed="81"/>
            <rFont val="Tahoma"/>
            <family val="2"/>
          </rPr>
          <t>Ingrid Malmgren:</t>
        </r>
        <r>
          <rPr>
            <sz val="9"/>
            <color indexed="81"/>
            <rFont val="Tahoma"/>
            <family val="2"/>
          </rPr>
          <t xml:space="preserve">
prescriptive rebate program</t>
        </r>
      </text>
    </comment>
    <comment ref="AWU2" authorId="0">
      <text>
        <r>
          <rPr>
            <b/>
            <sz val="9"/>
            <color indexed="81"/>
            <rFont val="Tahoma"/>
            <family val="2"/>
          </rPr>
          <t>Ingrid Malmgren:</t>
        </r>
        <r>
          <rPr>
            <sz val="9"/>
            <color indexed="81"/>
            <rFont val="Tahoma"/>
            <family val="2"/>
          </rPr>
          <t xml:space="preserve">
prescriptive rebate program</t>
        </r>
      </text>
    </comment>
    <comment ref="AWV2" authorId="0">
      <text>
        <r>
          <rPr>
            <b/>
            <sz val="9"/>
            <color indexed="81"/>
            <rFont val="Tahoma"/>
            <family val="2"/>
          </rPr>
          <t>Ingrid Malmgren:</t>
        </r>
        <r>
          <rPr>
            <sz val="9"/>
            <color indexed="81"/>
            <rFont val="Tahoma"/>
            <family val="2"/>
          </rPr>
          <t xml:space="preserve">
prescriptive rebate program</t>
        </r>
      </text>
    </comment>
    <comment ref="AWW2" authorId="0">
      <text>
        <r>
          <rPr>
            <b/>
            <sz val="9"/>
            <color indexed="81"/>
            <rFont val="Tahoma"/>
            <family val="2"/>
          </rPr>
          <t>Ingrid Malmgren:</t>
        </r>
        <r>
          <rPr>
            <sz val="9"/>
            <color indexed="81"/>
            <rFont val="Tahoma"/>
            <family val="2"/>
          </rPr>
          <t xml:space="preserve">
prescriptive rebate program</t>
        </r>
      </text>
    </comment>
    <comment ref="AWX2" authorId="0">
      <text>
        <r>
          <rPr>
            <b/>
            <sz val="9"/>
            <color indexed="81"/>
            <rFont val="Tahoma"/>
            <family val="2"/>
          </rPr>
          <t>Ingrid Malmgren:</t>
        </r>
        <r>
          <rPr>
            <sz val="9"/>
            <color indexed="81"/>
            <rFont val="Tahoma"/>
            <family val="2"/>
          </rPr>
          <t xml:space="preserve">
prescriptive rebate program</t>
        </r>
      </text>
    </comment>
    <comment ref="AWY2" authorId="0">
      <text>
        <r>
          <rPr>
            <b/>
            <sz val="9"/>
            <color indexed="81"/>
            <rFont val="Tahoma"/>
            <family val="2"/>
          </rPr>
          <t>Ingrid Malmgren:</t>
        </r>
        <r>
          <rPr>
            <sz val="9"/>
            <color indexed="81"/>
            <rFont val="Tahoma"/>
            <family val="2"/>
          </rPr>
          <t xml:space="preserve">
prescriptive rebate program</t>
        </r>
      </text>
    </comment>
    <comment ref="AWZ2" authorId="0">
      <text>
        <r>
          <rPr>
            <b/>
            <sz val="9"/>
            <color indexed="81"/>
            <rFont val="Tahoma"/>
            <family val="2"/>
          </rPr>
          <t>Ingrid Malmgren:</t>
        </r>
        <r>
          <rPr>
            <sz val="9"/>
            <color indexed="81"/>
            <rFont val="Tahoma"/>
            <family val="2"/>
          </rPr>
          <t xml:space="preserve">
prescriptive rebate program</t>
        </r>
      </text>
    </comment>
    <comment ref="AXA2" authorId="0">
      <text>
        <r>
          <rPr>
            <b/>
            <sz val="9"/>
            <color indexed="81"/>
            <rFont val="Tahoma"/>
            <family val="2"/>
          </rPr>
          <t>Ingrid Malmgren:</t>
        </r>
        <r>
          <rPr>
            <sz val="9"/>
            <color indexed="81"/>
            <rFont val="Tahoma"/>
            <family val="2"/>
          </rPr>
          <t xml:space="preserve">
prescriptive rebate program</t>
        </r>
      </text>
    </comment>
    <comment ref="AXB2" authorId="0">
      <text>
        <r>
          <rPr>
            <b/>
            <sz val="9"/>
            <color indexed="81"/>
            <rFont val="Tahoma"/>
            <family val="2"/>
          </rPr>
          <t>Ingrid Malmgren:</t>
        </r>
        <r>
          <rPr>
            <sz val="9"/>
            <color indexed="81"/>
            <rFont val="Tahoma"/>
            <family val="2"/>
          </rPr>
          <t xml:space="preserve">
prescriptive rebate program</t>
        </r>
      </text>
    </comment>
    <comment ref="AXC2" authorId="0">
      <text>
        <r>
          <rPr>
            <b/>
            <sz val="9"/>
            <color indexed="81"/>
            <rFont val="Tahoma"/>
            <family val="2"/>
          </rPr>
          <t>Ingrid Malmgren:</t>
        </r>
        <r>
          <rPr>
            <sz val="9"/>
            <color indexed="81"/>
            <rFont val="Tahoma"/>
            <family val="2"/>
          </rPr>
          <t xml:space="preserve">
prescriptive rebate program</t>
        </r>
      </text>
    </comment>
    <comment ref="AXD2" authorId="0">
      <text>
        <r>
          <rPr>
            <b/>
            <sz val="9"/>
            <color indexed="81"/>
            <rFont val="Tahoma"/>
            <family val="2"/>
          </rPr>
          <t>Ingrid Malmgren:</t>
        </r>
        <r>
          <rPr>
            <sz val="9"/>
            <color indexed="81"/>
            <rFont val="Tahoma"/>
            <family val="2"/>
          </rPr>
          <t xml:space="preserve">
prescriptive rebate program</t>
        </r>
      </text>
    </comment>
    <comment ref="AXE2" authorId="0">
      <text>
        <r>
          <rPr>
            <b/>
            <sz val="9"/>
            <color indexed="81"/>
            <rFont val="Tahoma"/>
            <family val="2"/>
          </rPr>
          <t>Ingrid Malmgren:</t>
        </r>
        <r>
          <rPr>
            <sz val="9"/>
            <color indexed="81"/>
            <rFont val="Tahoma"/>
            <family val="2"/>
          </rPr>
          <t xml:space="preserve">
prescriptive rebate program</t>
        </r>
      </text>
    </comment>
    <comment ref="AXF2" authorId="0">
      <text>
        <r>
          <rPr>
            <b/>
            <sz val="9"/>
            <color indexed="81"/>
            <rFont val="Tahoma"/>
            <family val="2"/>
          </rPr>
          <t>Ingrid Malmgren:</t>
        </r>
        <r>
          <rPr>
            <sz val="9"/>
            <color indexed="81"/>
            <rFont val="Tahoma"/>
            <family val="2"/>
          </rPr>
          <t xml:space="preserve">
prescriptive rebate program</t>
        </r>
      </text>
    </comment>
    <comment ref="AXG2" authorId="0">
      <text>
        <r>
          <rPr>
            <b/>
            <sz val="9"/>
            <color indexed="81"/>
            <rFont val="Tahoma"/>
            <family val="2"/>
          </rPr>
          <t>Ingrid Malmgren:</t>
        </r>
        <r>
          <rPr>
            <sz val="9"/>
            <color indexed="81"/>
            <rFont val="Tahoma"/>
            <family val="2"/>
          </rPr>
          <t xml:space="preserve">
prescriptive rebate program</t>
        </r>
      </text>
    </comment>
    <comment ref="AXH2" authorId="0">
      <text>
        <r>
          <rPr>
            <b/>
            <sz val="9"/>
            <color indexed="81"/>
            <rFont val="Tahoma"/>
            <family val="2"/>
          </rPr>
          <t>Ingrid Malmgren:</t>
        </r>
        <r>
          <rPr>
            <sz val="9"/>
            <color indexed="81"/>
            <rFont val="Tahoma"/>
            <family val="2"/>
          </rPr>
          <t xml:space="preserve">
prescriptive rebate program</t>
        </r>
      </text>
    </comment>
    <comment ref="AXI2" authorId="0">
      <text>
        <r>
          <rPr>
            <b/>
            <sz val="9"/>
            <color indexed="81"/>
            <rFont val="Tahoma"/>
            <family val="2"/>
          </rPr>
          <t>Ingrid Malmgren:</t>
        </r>
        <r>
          <rPr>
            <sz val="9"/>
            <color indexed="81"/>
            <rFont val="Tahoma"/>
            <family val="2"/>
          </rPr>
          <t xml:space="preserve">
prescriptive rebate program</t>
        </r>
      </text>
    </comment>
    <comment ref="AXJ2" authorId="0">
      <text>
        <r>
          <rPr>
            <b/>
            <sz val="9"/>
            <color indexed="81"/>
            <rFont val="Tahoma"/>
            <family val="2"/>
          </rPr>
          <t>Ingrid Malmgren:</t>
        </r>
        <r>
          <rPr>
            <sz val="9"/>
            <color indexed="81"/>
            <rFont val="Tahoma"/>
            <family val="2"/>
          </rPr>
          <t xml:space="preserve">
prescriptive rebate program</t>
        </r>
      </text>
    </comment>
    <comment ref="AXK2" authorId="0">
      <text>
        <r>
          <rPr>
            <b/>
            <sz val="9"/>
            <color indexed="81"/>
            <rFont val="Tahoma"/>
            <family val="2"/>
          </rPr>
          <t>Ingrid Malmgren:</t>
        </r>
        <r>
          <rPr>
            <sz val="9"/>
            <color indexed="81"/>
            <rFont val="Tahoma"/>
            <family val="2"/>
          </rPr>
          <t xml:space="preserve">
prescriptive rebate program</t>
        </r>
      </text>
    </comment>
    <comment ref="AXL2" authorId="0">
      <text>
        <r>
          <rPr>
            <b/>
            <sz val="9"/>
            <color indexed="81"/>
            <rFont val="Tahoma"/>
            <family val="2"/>
          </rPr>
          <t>Ingrid Malmgren:</t>
        </r>
        <r>
          <rPr>
            <sz val="9"/>
            <color indexed="81"/>
            <rFont val="Tahoma"/>
            <family val="2"/>
          </rPr>
          <t xml:space="preserve">
prescriptive rebate program</t>
        </r>
      </text>
    </comment>
    <comment ref="AXM2" authorId="0">
      <text>
        <r>
          <rPr>
            <b/>
            <sz val="9"/>
            <color indexed="81"/>
            <rFont val="Tahoma"/>
            <family val="2"/>
          </rPr>
          <t>Ingrid Malmgren:</t>
        </r>
        <r>
          <rPr>
            <sz val="9"/>
            <color indexed="81"/>
            <rFont val="Tahoma"/>
            <family val="2"/>
          </rPr>
          <t xml:space="preserve">
prescriptive rebate program</t>
        </r>
      </text>
    </comment>
    <comment ref="AXN2" authorId="0">
      <text>
        <r>
          <rPr>
            <b/>
            <sz val="9"/>
            <color indexed="81"/>
            <rFont val="Tahoma"/>
            <family val="2"/>
          </rPr>
          <t>Ingrid Malmgren:</t>
        </r>
        <r>
          <rPr>
            <sz val="9"/>
            <color indexed="81"/>
            <rFont val="Tahoma"/>
            <family val="2"/>
          </rPr>
          <t xml:space="preserve">
prescriptive rebate program</t>
        </r>
      </text>
    </comment>
    <comment ref="AXO2" authorId="0">
      <text>
        <r>
          <rPr>
            <b/>
            <sz val="9"/>
            <color indexed="81"/>
            <rFont val="Tahoma"/>
            <family val="2"/>
          </rPr>
          <t>Ingrid Malmgren:</t>
        </r>
        <r>
          <rPr>
            <sz val="9"/>
            <color indexed="81"/>
            <rFont val="Tahoma"/>
            <family val="2"/>
          </rPr>
          <t xml:space="preserve">
prescriptive rebate program</t>
        </r>
      </text>
    </comment>
    <comment ref="AXP2" authorId="0">
      <text>
        <r>
          <rPr>
            <b/>
            <sz val="9"/>
            <color indexed="81"/>
            <rFont val="Tahoma"/>
            <family val="2"/>
          </rPr>
          <t>Ingrid Malmgren:</t>
        </r>
        <r>
          <rPr>
            <sz val="9"/>
            <color indexed="81"/>
            <rFont val="Tahoma"/>
            <family val="2"/>
          </rPr>
          <t xml:space="preserve">
prescriptive rebate program</t>
        </r>
      </text>
    </comment>
    <comment ref="AXQ2" authorId="0">
      <text>
        <r>
          <rPr>
            <b/>
            <sz val="9"/>
            <color indexed="81"/>
            <rFont val="Tahoma"/>
            <family val="2"/>
          </rPr>
          <t>Ingrid Malmgren:</t>
        </r>
        <r>
          <rPr>
            <sz val="9"/>
            <color indexed="81"/>
            <rFont val="Tahoma"/>
            <family val="2"/>
          </rPr>
          <t xml:space="preserve">
prescriptive rebate program</t>
        </r>
      </text>
    </comment>
    <comment ref="AXR2" authorId="0">
      <text>
        <r>
          <rPr>
            <b/>
            <sz val="9"/>
            <color indexed="81"/>
            <rFont val="Tahoma"/>
            <family val="2"/>
          </rPr>
          <t>Ingrid Malmgren:</t>
        </r>
        <r>
          <rPr>
            <sz val="9"/>
            <color indexed="81"/>
            <rFont val="Tahoma"/>
            <family val="2"/>
          </rPr>
          <t xml:space="preserve">
prescriptive rebate program</t>
        </r>
      </text>
    </comment>
    <comment ref="AXS2" authorId="0">
      <text>
        <r>
          <rPr>
            <b/>
            <sz val="9"/>
            <color indexed="81"/>
            <rFont val="Tahoma"/>
            <family val="2"/>
          </rPr>
          <t>Ingrid Malmgren:</t>
        </r>
        <r>
          <rPr>
            <sz val="9"/>
            <color indexed="81"/>
            <rFont val="Tahoma"/>
            <family val="2"/>
          </rPr>
          <t xml:space="preserve">
prescriptive rebate program</t>
        </r>
      </text>
    </comment>
    <comment ref="AXT2" authorId="0">
      <text>
        <r>
          <rPr>
            <b/>
            <sz val="9"/>
            <color indexed="81"/>
            <rFont val="Tahoma"/>
            <family val="2"/>
          </rPr>
          <t>Ingrid Malmgren:</t>
        </r>
        <r>
          <rPr>
            <sz val="9"/>
            <color indexed="81"/>
            <rFont val="Tahoma"/>
            <family val="2"/>
          </rPr>
          <t xml:space="preserve">
prescriptive rebate program</t>
        </r>
      </text>
    </comment>
    <comment ref="AXU2" authorId="0">
      <text>
        <r>
          <rPr>
            <b/>
            <sz val="9"/>
            <color indexed="81"/>
            <rFont val="Tahoma"/>
            <family val="2"/>
          </rPr>
          <t>Ingrid Malmgren:</t>
        </r>
        <r>
          <rPr>
            <sz val="9"/>
            <color indexed="81"/>
            <rFont val="Tahoma"/>
            <family val="2"/>
          </rPr>
          <t xml:space="preserve">
prescriptive rebate program</t>
        </r>
      </text>
    </comment>
    <comment ref="AXV2" authorId="0">
      <text>
        <r>
          <rPr>
            <b/>
            <sz val="9"/>
            <color indexed="81"/>
            <rFont val="Tahoma"/>
            <family val="2"/>
          </rPr>
          <t>Ingrid Malmgren:</t>
        </r>
        <r>
          <rPr>
            <sz val="9"/>
            <color indexed="81"/>
            <rFont val="Tahoma"/>
            <family val="2"/>
          </rPr>
          <t xml:space="preserve">
prescriptive rebate program</t>
        </r>
      </text>
    </comment>
    <comment ref="AXW2" authorId="0">
      <text>
        <r>
          <rPr>
            <b/>
            <sz val="9"/>
            <color indexed="81"/>
            <rFont val="Tahoma"/>
            <family val="2"/>
          </rPr>
          <t>Ingrid Malmgren:</t>
        </r>
        <r>
          <rPr>
            <sz val="9"/>
            <color indexed="81"/>
            <rFont val="Tahoma"/>
            <family val="2"/>
          </rPr>
          <t xml:space="preserve">
prescriptive rebate program</t>
        </r>
      </text>
    </comment>
    <comment ref="AXX2" authorId="0">
      <text>
        <r>
          <rPr>
            <b/>
            <sz val="9"/>
            <color indexed="81"/>
            <rFont val="Tahoma"/>
            <family val="2"/>
          </rPr>
          <t>Ingrid Malmgren:</t>
        </r>
        <r>
          <rPr>
            <sz val="9"/>
            <color indexed="81"/>
            <rFont val="Tahoma"/>
            <family val="2"/>
          </rPr>
          <t xml:space="preserve">
prescriptive rebate program</t>
        </r>
      </text>
    </comment>
    <comment ref="AXY2" authorId="0">
      <text>
        <r>
          <rPr>
            <b/>
            <sz val="9"/>
            <color indexed="81"/>
            <rFont val="Tahoma"/>
            <family val="2"/>
          </rPr>
          <t>Ingrid Malmgren:</t>
        </r>
        <r>
          <rPr>
            <sz val="9"/>
            <color indexed="81"/>
            <rFont val="Tahoma"/>
            <family val="2"/>
          </rPr>
          <t xml:space="preserve">
prescriptive rebate program</t>
        </r>
      </text>
    </comment>
    <comment ref="AXZ2" authorId="0">
      <text>
        <r>
          <rPr>
            <b/>
            <sz val="9"/>
            <color indexed="81"/>
            <rFont val="Tahoma"/>
            <family val="2"/>
          </rPr>
          <t>Ingrid Malmgren:</t>
        </r>
        <r>
          <rPr>
            <sz val="9"/>
            <color indexed="81"/>
            <rFont val="Tahoma"/>
            <family val="2"/>
          </rPr>
          <t xml:space="preserve">
prescriptive rebate program</t>
        </r>
      </text>
    </comment>
    <comment ref="AYA2" authorId="0">
      <text>
        <r>
          <rPr>
            <b/>
            <sz val="9"/>
            <color indexed="81"/>
            <rFont val="Tahoma"/>
            <family val="2"/>
          </rPr>
          <t>Ingrid Malmgren:</t>
        </r>
        <r>
          <rPr>
            <sz val="9"/>
            <color indexed="81"/>
            <rFont val="Tahoma"/>
            <family val="2"/>
          </rPr>
          <t xml:space="preserve">
prescriptive rebate program</t>
        </r>
      </text>
    </comment>
    <comment ref="AYB2" authorId="0">
      <text>
        <r>
          <rPr>
            <b/>
            <sz val="9"/>
            <color indexed="81"/>
            <rFont val="Tahoma"/>
            <family val="2"/>
          </rPr>
          <t>Ingrid Malmgren:</t>
        </r>
        <r>
          <rPr>
            <sz val="9"/>
            <color indexed="81"/>
            <rFont val="Tahoma"/>
            <family val="2"/>
          </rPr>
          <t xml:space="preserve">
prescriptive rebate program</t>
        </r>
      </text>
    </comment>
    <comment ref="AYC2" authorId="0">
      <text>
        <r>
          <rPr>
            <b/>
            <sz val="9"/>
            <color indexed="81"/>
            <rFont val="Tahoma"/>
            <family val="2"/>
          </rPr>
          <t>Ingrid Malmgren:</t>
        </r>
        <r>
          <rPr>
            <sz val="9"/>
            <color indexed="81"/>
            <rFont val="Tahoma"/>
            <family val="2"/>
          </rPr>
          <t xml:space="preserve">
prescriptive rebate program</t>
        </r>
      </text>
    </comment>
    <comment ref="AYD2" authorId="0">
      <text>
        <r>
          <rPr>
            <b/>
            <sz val="9"/>
            <color indexed="81"/>
            <rFont val="Tahoma"/>
            <family val="2"/>
          </rPr>
          <t>Ingrid Malmgren:</t>
        </r>
        <r>
          <rPr>
            <sz val="9"/>
            <color indexed="81"/>
            <rFont val="Tahoma"/>
            <family val="2"/>
          </rPr>
          <t xml:space="preserve">
prescriptive rebate program</t>
        </r>
      </text>
    </comment>
    <comment ref="AYE2" authorId="0">
      <text>
        <r>
          <rPr>
            <b/>
            <sz val="9"/>
            <color indexed="81"/>
            <rFont val="Tahoma"/>
            <family val="2"/>
          </rPr>
          <t>Ingrid Malmgren:</t>
        </r>
        <r>
          <rPr>
            <sz val="9"/>
            <color indexed="81"/>
            <rFont val="Tahoma"/>
            <family val="2"/>
          </rPr>
          <t xml:space="preserve">
prescriptive rebate program</t>
        </r>
      </text>
    </comment>
    <comment ref="AYF2" authorId="0">
      <text>
        <r>
          <rPr>
            <b/>
            <sz val="9"/>
            <color indexed="81"/>
            <rFont val="Tahoma"/>
            <family val="2"/>
          </rPr>
          <t>Ingrid Malmgren:</t>
        </r>
        <r>
          <rPr>
            <sz val="9"/>
            <color indexed="81"/>
            <rFont val="Tahoma"/>
            <family val="2"/>
          </rPr>
          <t xml:space="preserve">
prescriptive rebate program</t>
        </r>
      </text>
    </comment>
    <comment ref="AYG2" authorId="0">
      <text>
        <r>
          <rPr>
            <b/>
            <sz val="9"/>
            <color indexed="81"/>
            <rFont val="Tahoma"/>
            <family val="2"/>
          </rPr>
          <t>Ingrid Malmgren:</t>
        </r>
        <r>
          <rPr>
            <sz val="9"/>
            <color indexed="81"/>
            <rFont val="Tahoma"/>
            <family val="2"/>
          </rPr>
          <t xml:space="preserve">
prescriptive rebate program</t>
        </r>
      </text>
    </comment>
    <comment ref="AYH2" authorId="0">
      <text>
        <r>
          <rPr>
            <b/>
            <sz val="9"/>
            <color indexed="81"/>
            <rFont val="Tahoma"/>
            <family val="2"/>
          </rPr>
          <t>Ingrid Malmgren:</t>
        </r>
        <r>
          <rPr>
            <sz val="9"/>
            <color indexed="81"/>
            <rFont val="Tahoma"/>
            <family val="2"/>
          </rPr>
          <t xml:space="preserve">
prescriptive rebate program</t>
        </r>
      </text>
    </comment>
    <comment ref="AYI2" authorId="0">
      <text>
        <r>
          <rPr>
            <b/>
            <sz val="9"/>
            <color indexed="81"/>
            <rFont val="Tahoma"/>
            <family val="2"/>
          </rPr>
          <t>Ingrid Malmgren:</t>
        </r>
        <r>
          <rPr>
            <sz val="9"/>
            <color indexed="81"/>
            <rFont val="Tahoma"/>
            <family val="2"/>
          </rPr>
          <t xml:space="preserve">
prescriptive rebate program</t>
        </r>
      </text>
    </comment>
    <comment ref="AYJ2" authorId="0">
      <text>
        <r>
          <rPr>
            <b/>
            <sz val="9"/>
            <color indexed="81"/>
            <rFont val="Tahoma"/>
            <family val="2"/>
          </rPr>
          <t>Ingrid Malmgren:</t>
        </r>
        <r>
          <rPr>
            <sz val="9"/>
            <color indexed="81"/>
            <rFont val="Tahoma"/>
            <family val="2"/>
          </rPr>
          <t xml:space="preserve">
prescriptive rebate program</t>
        </r>
      </text>
    </comment>
    <comment ref="AYK2" authorId="0">
      <text>
        <r>
          <rPr>
            <b/>
            <sz val="9"/>
            <color indexed="81"/>
            <rFont val="Tahoma"/>
            <family val="2"/>
          </rPr>
          <t>Ingrid Malmgren:</t>
        </r>
        <r>
          <rPr>
            <sz val="9"/>
            <color indexed="81"/>
            <rFont val="Tahoma"/>
            <family val="2"/>
          </rPr>
          <t xml:space="preserve">
prescriptive rebate program</t>
        </r>
      </text>
    </comment>
    <comment ref="AYL2" authorId="0">
      <text>
        <r>
          <rPr>
            <b/>
            <sz val="9"/>
            <color indexed="81"/>
            <rFont val="Tahoma"/>
            <family val="2"/>
          </rPr>
          <t>Ingrid Malmgren:</t>
        </r>
        <r>
          <rPr>
            <sz val="9"/>
            <color indexed="81"/>
            <rFont val="Tahoma"/>
            <family val="2"/>
          </rPr>
          <t xml:space="preserve">
prescriptive rebate program</t>
        </r>
      </text>
    </comment>
    <comment ref="AYM2" authorId="0">
      <text>
        <r>
          <rPr>
            <b/>
            <sz val="9"/>
            <color indexed="81"/>
            <rFont val="Tahoma"/>
            <family val="2"/>
          </rPr>
          <t>Ingrid Malmgren:</t>
        </r>
        <r>
          <rPr>
            <sz val="9"/>
            <color indexed="81"/>
            <rFont val="Tahoma"/>
            <family val="2"/>
          </rPr>
          <t xml:space="preserve">
prescriptive rebate program</t>
        </r>
      </text>
    </comment>
    <comment ref="AYN2" authorId="0">
      <text>
        <r>
          <rPr>
            <b/>
            <sz val="9"/>
            <color indexed="81"/>
            <rFont val="Tahoma"/>
            <family val="2"/>
          </rPr>
          <t>Ingrid Malmgren:</t>
        </r>
        <r>
          <rPr>
            <sz val="9"/>
            <color indexed="81"/>
            <rFont val="Tahoma"/>
            <family val="2"/>
          </rPr>
          <t xml:space="preserve">
prescriptive rebate program</t>
        </r>
      </text>
    </comment>
    <comment ref="AYO2" authorId="0">
      <text>
        <r>
          <rPr>
            <b/>
            <sz val="9"/>
            <color indexed="81"/>
            <rFont val="Tahoma"/>
            <family val="2"/>
          </rPr>
          <t>Ingrid Malmgren:</t>
        </r>
        <r>
          <rPr>
            <sz val="9"/>
            <color indexed="81"/>
            <rFont val="Tahoma"/>
            <family val="2"/>
          </rPr>
          <t xml:space="preserve">
prescriptive rebate program</t>
        </r>
      </text>
    </comment>
    <comment ref="AYP2" authorId="0">
      <text>
        <r>
          <rPr>
            <b/>
            <sz val="9"/>
            <color indexed="81"/>
            <rFont val="Tahoma"/>
            <family val="2"/>
          </rPr>
          <t>Ingrid Malmgren:</t>
        </r>
        <r>
          <rPr>
            <sz val="9"/>
            <color indexed="81"/>
            <rFont val="Tahoma"/>
            <family val="2"/>
          </rPr>
          <t xml:space="preserve">
prescriptive rebate program</t>
        </r>
      </text>
    </comment>
    <comment ref="AYQ2" authorId="0">
      <text>
        <r>
          <rPr>
            <b/>
            <sz val="9"/>
            <color indexed="81"/>
            <rFont val="Tahoma"/>
            <family val="2"/>
          </rPr>
          <t>Ingrid Malmgren:</t>
        </r>
        <r>
          <rPr>
            <sz val="9"/>
            <color indexed="81"/>
            <rFont val="Tahoma"/>
            <family val="2"/>
          </rPr>
          <t xml:space="preserve">
prescriptive rebate program</t>
        </r>
      </text>
    </comment>
    <comment ref="AYR2" authorId="0">
      <text>
        <r>
          <rPr>
            <b/>
            <sz val="9"/>
            <color indexed="81"/>
            <rFont val="Tahoma"/>
            <family val="2"/>
          </rPr>
          <t>Ingrid Malmgren:</t>
        </r>
        <r>
          <rPr>
            <sz val="9"/>
            <color indexed="81"/>
            <rFont val="Tahoma"/>
            <family val="2"/>
          </rPr>
          <t xml:space="preserve">
prescriptive rebate program</t>
        </r>
      </text>
    </comment>
    <comment ref="AYS2" authorId="0">
      <text>
        <r>
          <rPr>
            <b/>
            <sz val="9"/>
            <color indexed="81"/>
            <rFont val="Tahoma"/>
            <family val="2"/>
          </rPr>
          <t>Ingrid Malmgren:</t>
        </r>
        <r>
          <rPr>
            <sz val="9"/>
            <color indexed="81"/>
            <rFont val="Tahoma"/>
            <family val="2"/>
          </rPr>
          <t xml:space="preserve">
prescriptive rebate program</t>
        </r>
      </text>
    </comment>
    <comment ref="AYT2" authorId="0">
      <text>
        <r>
          <rPr>
            <b/>
            <sz val="9"/>
            <color indexed="81"/>
            <rFont val="Tahoma"/>
            <family val="2"/>
          </rPr>
          <t>Ingrid Malmgren:</t>
        </r>
        <r>
          <rPr>
            <sz val="9"/>
            <color indexed="81"/>
            <rFont val="Tahoma"/>
            <family val="2"/>
          </rPr>
          <t xml:space="preserve">
prescriptive rebate program</t>
        </r>
      </text>
    </comment>
    <comment ref="AYU2" authorId="0">
      <text>
        <r>
          <rPr>
            <b/>
            <sz val="9"/>
            <color indexed="81"/>
            <rFont val="Tahoma"/>
            <family val="2"/>
          </rPr>
          <t>Ingrid Malmgren:</t>
        </r>
        <r>
          <rPr>
            <sz val="9"/>
            <color indexed="81"/>
            <rFont val="Tahoma"/>
            <family val="2"/>
          </rPr>
          <t xml:space="preserve">
prescriptive rebate program</t>
        </r>
      </text>
    </comment>
    <comment ref="AYV2" authorId="0">
      <text>
        <r>
          <rPr>
            <b/>
            <sz val="9"/>
            <color indexed="81"/>
            <rFont val="Tahoma"/>
            <family val="2"/>
          </rPr>
          <t>Ingrid Malmgren:</t>
        </r>
        <r>
          <rPr>
            <sz val="9"/>
            <color indexed="81"/>
            <rFont val="Tahoma"/>
            <family val="2"/>
          </rPr>
          <t xml:space="preserve">
prescriptive rebate program</t>
        </r>
      </text>
    </comment>
    <comment ref="AYW2" authorId="0">
      <text>
        <r>
          <rPr>
            <b/>
            <sz val="9"/>
            <color indexed="81"/>
            <rFont val="Tahoma"/>
            <family val="2"/>
          </rPr>
          <t>Ingrid Malmgren:</t>
        </r>
        <r>
          <rPr>
            <sz val="9"/>
            <color indexed="81"/>
            <rFont val="Tahoma"/>
            <family val="2"/>
          </rPr>
          <t xml:space="preserve">
prescriptive rebate program</t>
        </r>
      </text>
    </comment>
    <comment ref="AYX2" authorId="0">
      <text>
        <r>
          <rPr>
            <b/>
            <sz val="9"/>
            <color indexed="81"/>
            <rFont val="Tahoma"/>
            <family val="2"/>
          </rPr>
          <t>Ingrid Malmgren:</t>
        </r>
        <r>
          <rPr>
            <sz val="9"/>
            <color indexed="81"/>
            <rFont val="Tahoma"/>
            <family val="2"/>
          </rPr>
          <t xml:space="preserve">
prescriptive rebate program</t>
        </r>
      </text>
    </comment>
    <comment ref="AYY2" authorId="0">
      <text>
        <r>
          <rPr>
            <b/>
            <sz val="9"/>
            <color indexed="81"/>
            <rFont val="Tahoma"/>
            <family val="2"/>
          </rPr>
          <t>Ingrid Malmgren:</t>
        </r>
        <r>
          <rPr>
            <sz val="9"/>
            <color indexed="81"/>
            <rFont val="Tahoma"/>
            <family val="2"/>
          </rPr>
          <t xml:space="preserve">
prescriptive rebate program</t>
        </r>
      </text>
    </comment>
    <comment ref="AYZ2" authorId="0">
      <text>
        <r>
          <rPr>
            <b/>
            <sz val="9"/>
            <color indexed="81"/>
            <rFont val="Tahoma"/>
            <family val="2"/>
          </rPr>
          <t>Ingrid Malmgren:</t>
        </r>
        <r>
          <rPr>
            <sz val="9"/>
            <color indexed="81"/>
            <rFont val="Tahoma"/>
            <family val="2"/>
          </rPr>
          <t xml:space="preserve">
prescriptive rebate program</t>
        </r>
      </text>
    </comment>
    <comment ref="AZA2" authorId="0">
      <text>
        <r>
          <rPr>
            <b/>
            <sz val="9"/>
            <color indexed="81"/>
            <rFont val="Tahoma"/>
            <family val="2"/>
          </rPr>
          <t>Ingrid Malmgren:</t>
        </r>
        <r>
          <rPr>
            <sz val="9"/>
            <color indexed="81"/>
            <rFont val="Tahoma"/>
            <family val="2"/>
          </rPr>
          <t xml:space="preserve">
prescriptive rebate program</t>
        </r>
      </text>
    </comment>
    <comment ref="AZB2" authorId="0">
      <text>
        <r>
          <rPr>
            <b/>
            <sz val="9"/>
            <color indexed="81"/>
            <rFont val="Tahoma"/>
            <family val="2"/>
          </rPr>
          <t>Ingrid Malmgren:</t>
        </r>
        <r>
          <rPr>
            <sz val="9"/>
            <color indexed="81"/>
            <rFont val="Tahoma"/>
            <family val="2"/>
          </rPr>
          <t xml:space="preserve">
prescriptive rebate program</t>
        </r>
      </text>
    </comment>
    <comment ref="AZC2" authorId="0">
      <text>
        <r>
          <rPr>
            <b/>
            <sz val="9"/>
            <color indexed="81"/>
            <rFont val="Tahoma"/>
            <family val="2"/>
          </rPr>
          <t>Ingrid Malmgren:</t>
        </r>
        <r>
          <rPr>
            <sz val="9"/>
            <color indexed="81"/>
            <rFont val="Tahoma"/>
            <family val="2"/>
          </rPr>
          <t xml:space="preserve">
prescriptive rebate program</t>
        </r>
      </text>
    </comment>
    <comment ref="AZD2" authorId="0">
      <text>
        <r>
          <rPr>
            <b/>
            <sz val="9"/>
            <color indexed="81"/>
            <rFont val="Tahoma"/>
            <family val="2"/>
          </rPr>
          <t>Ingrid Malmgren:</t>
        </r>
        <r>
          <rPr>
            <sz val="9"/>
            <color indexed="81"/>
            <rFont val="Tahoma"/>
            <family val="2"/>
          </rPr>
          <t xml:space="preserve">
prescriptive rebate program</t>
        </r>
      </text>
    </comment>
    <comment ref="AZE2" authorId="0">
      <text>
        <r>
          <rPr>
            <b/>
            <sz val="9"/>
            <color indexed="81"/>
            <rFont val="Tahoma"/>
            <family val="2"/>
          </rPr>
          <t>Ingrid Malmgren:</t>
        </r>
        <r>
          <rPr>
            <sz val="9"/>
            <color indexed="81"/>
            <rFont val="Tahoma"/>
            <family val="2"/>
          </rPr>
          <t xml:space="preserve">
prescriptive rebate program</t>
        </r>
      </text>
    </comment>
    <comment ref="AZF2" authorId="0">
      <text>
        <r>
          <rPr>
            <b/>
            <sz val="9"/>
            <color indexed="81"/>
            <rFont val="Tahoma"/>
            <family val="2"/>
          </rPr>
          <t>Ingrid Malmgren:</t>
        </r>
        <r>
          <rPr>
            <sz val="9"/>
            <color indexed="81"/>
            <rFont val="Tahoma"/>
            <family val="2"/>
          </rPr>
          <t xml:space="preserve">
prescriptive rebate program</t>
        </r>
      </text>
    </comment>
    <comment ref="AZG2" authorId="0">
      <text>
        <r>
          <rPr>
            <b/>
            <sz val="9"/>
            <color indexed="81"/>
            <rFont val="Tahoma"/>
            <family val="2"/>
          </rPr>
          <t>Ingrid Malmgren:</t>
        </r>
        <r>
          <rPr>
            <sz val="9"/>
            <color indexed="81"/>
            <rFont val="Tahoma"/>
            <family val="2"/>
          </rPr>
          <t xml:space="preserve">
prescriptive rebate program</t>
        </r>
      </text>
    </comment>
    <comment ref="AZH2" authorId="0">
      <text>
        <r>
          <rPr>
            <b/>
            <sz val="9"/>
            <color indexed="81"/>
            <rFont val="Tahoma"/>
            <family val="2"/>
          </rPr>
          <t>Ingrid Malmgren:</t>
        </r>
        <r>
          <rPr>
            <sz val="9"/>
            <color indexed="81"/>
            <rFont val="Tahoma"/>
            <family val="2"/>
          </rPr>
          <t xml:space="preserve">
prescriptive rebate program</t>
        </r>
      </text>
    </comment>
    <comment ref="AZI2" authorId="0">
      <text>
        <r>
          <rPr>
            <b/>
            <sz val="9"/>
            <color indexed="81"/>
            <rFont val="Tahoma"/>
            <family val="2"/>
          </rPr>
          <t>Ingrid Malmgren:</t>
        </r>
        <r>
          <rPr>
            <sz val="9"/>
            <color indexed="81"/>
            <rFont val="Tahoma"/>
            <family val="2"/>
          </rPr>
          <t xml:space="preserve">
prescriptive rebate program</t>
        </r>
      </text>
    </comment>
    <comment ref="AZJ2" authorId="0">
      <text>
        <r>
          <rPr>
            <b/>
            <sz val="9"/>
            <color indexed="81"/>
            <rFont val="Tahoma"/>
            <family val="2"/>
          </rPr>
          <t>Ingrid Malmgren:</t>
        </r>
        <r>
          <rPr>
            <sz val="9"/>
            <color indexed="81"/>
            <rFont val="Tahoma"/>
            <family val="2"/>
          </rPr>
          <t xml:space="preserve">
prescriptive rebate program</t>
        </r>
      </text>
    </comment>
    <comment ref="AZK2" authorId="0">
      <text>
        <r>
          <rPr>
            <b/>
            <sz val="9"/>
            <color indexed="81"/>
            <rFont val="Tahoma"/>
            <family val="2"/>
          </rPr>
          <t>Ingrid Malmgren:</t>
        </r>
        <r>
          <rPr>
            <sz val="9"/>
            <color indexed="81"/>
            <rFont val="Tahoma"/>
            <family val="2"/>
          </rPr>
          <t xml:space="preserve">
prescriptive rebate program</t>
        </r>
      </text>
    </comment>
    <comment ref="AZL2" authorId="0">
      <text>
        <r>
          <rPr>
            <b/>
            <sz val="9"/>
            <color indexed="81"/>
            <rFont val="Tahoma"/>
            <family val="2"/>
          </rPr>
          <t>Ingrid Malmgren:</t>
        </r>
        <r>
          <rPr>
            <sz val="9"/>
            <color indexed="81"/>
            <rFont val="Tahoma"/>
            <family val="2"/>
          </rPr>
          <t xml:space="preserve">
prescriptive rebate program</t>
        </r>
      </text>
    </comment>
    <comment ref="AZM2" authorId="0">
      <text>
        <r>
          <rPr>
            <b/>
            <sz val="9"/>
            <color indexed="81"/>
            <rFont val="Tahoma"/>
            <family val="2"/>
          </rPr>
          <t>Ingrid Malmgren:</t>
        </r>
        <r>
          <rPr>
            <sz val="9"/>
            <color indexed="81"/>
            <rFont val="Tahoma"/>
            <family val="2"/>
          </rPr>
          <t xml:space="preserve">
prescriptive rebate program</t>
        </r>
      </text>
    </comment>
    <comment ref="AZN2" authorId="0">
      <text>
        <r>
          <rPr>
            <b/>
            <sz val="9"/>
            <color indexed="81"/>
            <rFont val="Tahoma"/>
            <family val="2"/>
          </rPr>
          <t>Ingrid Malmgren:</t>
        </r>
        <r>
          <rPr>
            <sz val="9"/>
            <color indexed="81"/>
            <rFont val="Tahoma"/>
            <family val="2"/>
          </rPr>
          <t xml:space="preserve">
prescriptive rebate program</t>
        </r>
      </text>
    </comment>
    <comment ref="AZO2" authorId="0">
      <text>
        <r>
          <rPr>
            <b/>
            <sz val="9"/>
            <color indexed="81"/>
            <rFont val="Tahoma"/>
            <family val="2"/>
          </rPr>
          <t>Ingrid Malmgren:</t>
        </r>
        <r>
          <rPr>
            <sz val="9"/>
            <color indexed="81"/>
            <rFont val="Tahoma"/>
            <family val="2"/>
          </rPr>
          <t xml:space="preserve">
prescriptive rebate program</t>
        </r>
      </text>
    </comment>
    <comment ref="AZP2" authorId="0">
      <text>
        <r>
          <rPr>
            <b/>
            <sz val="9"/>
            <color indexed="81"/>
            <rFont val="Tahoma"/>
            <family val="2"/>
          </rPr>
          <t>Ingrid Malmgren:</t>
        </r>
        <r>
          <rPr>
            <sz val="9"/>
            <color indexed="81"/>
            <rFont val="Tahoma"/>
            <family val="2"/>
          </rPr>
          <t xml:space="preserve">
prescriptive rebate program</t>
        </r>
      </text>
    </comment>
    <comment ref="AZQ2" authorId="0">
      <text>
        <r>
          <rPr>
            <b/>
            <sz val="9"/>
            <color indexed="81"/>
            <rFont val="Tahoma"/>
            <family val="2"/>
          </rPr>
          <t>Ingrid Malmgren:</t>
        </r>
        <r>
          <rPr>
            <sz val="9"/>
            <color indexed="81"/>
            <rFont val="Tahoma"/>
            <family val="2"/>
          </rPr>
          <t xml:space="preserve">
prescriptive rebate program</t>
        </r>
      </text>
    </comment>
    <comment ref="AZR2" authorId="0">
      <text>
        <r>
          <rPr>
            <b/>
            <sz val="9"/>
            <color indexed="81"/>
            <rFont val="Tahoma"/>
            <family val="2"/>
          </rPr>
          <t>Ingrid Malmgren:</t>
        </r>
        <r>
          <rPr>
            <sz val="9"/>
            <color indexed="81"/>
            <rFont val="Tahoma"/>
            <family val="2"/>
          </rPr>
          <t xml:space="preserve">
prescriptive rebate program</t>
        </r>
      </text>
    </comment>
    <comment ref="AZS2" authorId="0">
      <text>
        <r>
          <rPr>
            <b/>
            <sz val="9"/>
            <color indexed="81"/>
            <rFont val="Tahoma"/>
            <family val="2"/>
          </rPr>
          <t>Ingrid Malmgren:</t>
        </r>
        <r>
          <rPr>
            <sz val="9"/>
            <color indexed="81"/>
            <rFont val="Tahoma"/>
            <family val="2"/>
          </rPr>
          <t xml:space="preserve">
prescriptive rebate program</t>
        </r>
      </text>
    </comment>
    <comment ref="AZT2" authorId="0">
      <text>
        <r>
          <rPr>
            <b/>
            <sz val="9"/>
            <color indexed="81"/>
            <rFont val="Tahoma"/>
            <family val="2"/>
          </rPr>
          <t>Ingrid Malmgren:</t>
        </r>
        <r>
          <rPr>
            <sz val="9"/>
            <color indexed="81"/>
            <rFont val="Tahoma"/>
            <family val="2"/>
          </rPr>
          <t xml:space="preserve">
prescriptive rebate program</t>
        </r>
      </text>
    </comment>
    <comment ref="AZU2" authorId="0">
      <text>
        <r>
          <rPr>
            <b/>
            <sz val="9"/>
            <color indexed="81"/>
            <rFont val="Tahoma"/>
            <family val="2"/>
          </rPr>
          <t>Ingrid Malmgren:</t>
        </r>
        <r>
          <rPr>
            <sz val="9"/>
            <color indexed="81"/>
            <rFont val="Tahoma"/>
            <family val="2"/>
          </rPr>
          <t xml:space="preserve">
prescriptive rebate program</t>
        </r>
      </text>
    </comment>
    <comment ref="AZV2" authorId="0">
      <text>
        <r>
          <rPr>
            <b/>
            <sz val="9"/>
            <color indexed="81"/>
            <rFont val="Tahoma"/>
            <family val="2"/>
          </rPr>
          <t>Ingrid Malmgren:</t>
        </r>
        <r>
          <rPr>
            <sz val="9"/>
            <color indexed="81"/>
            <rFont val="Tahoma"/>
            <family val="2"/>
          </rPr>
          <t xml:space="preserve">
prescriptive rebate program</t>
        </r>
      </text>
    </comment>
    <comment ref="AZW2" authorId="0">
      <text>
        <r>
          <rPr>
            <b/>
            <sz val="9"/>
            <color indexed="81"/>
            <rFont val="Tahoma"/>
            <family val="2"/>
          </rPr>
          <t>Ingrid Malmgren:</t>
        </r>
        <r>
          <rPr>
            <sz val="9"/>
            <color indexed="81"/>
            <rFont val="Tahoma"/>
            <family val="2"/>
          </rPr>
          <t xml:space="preserve">
prescriptive rebate program</t>
        </r>
      </text>
    </comment>
    <comment ref="AZX2" authorId="0">
      <text>
        <r>
          <rPr>
            <b/>
            <sz val="9"/>
            <color indexed="81"/>
            <rFont val="Tahoma"/>
            <family val="2"/>
          </rPr>
          <t>Ingrid Malmgren:</t>
        </r>
        <r>
          <rPr>
            <sz val="9"/>
            <color indexed="81"/>
            <rFont val="Tahoma"/>
            <family val="2"/>
          </rPr>
          <t xml:space="preserve">
prescriptive rebate program</t>
        </r>
      </text>
    </comment>
    <comment ref="AZY2" authorId="0">
      <text>
        <r>
          <rPr>
            <b/>
            <sz val="9"/>
            <color indexed="81"/>
            <rFont val="Tahoma"/>
            <family val="2"/>
          </rPr>
          <t>Ingrid Malmgren:</t>
        </r>
        <r>
          <rPr>
            <sz val="9"/>
            <color indexed="81"/>
            <rFont val="Tahoma"/>
            <family val="2"/>
          </rPr>
          <t xml:space="preserve">
prescriptive rebate program</t>
        </r>
      </text>
    </comment>
    <comment ref="AZZ2" authorId="0">
      <text>
        <r>
          <rPr>
            <b/>
            <sz val="9"/>
            <color indexed="81"/>
            <rFont val="Tahoma"/>
            <family val="2"/>
          </rPr>
          <t>Ingrid Malmgren:</t>
        </r>
        <r>
          <rPr>
            <sz val="9"/>
            <color indexed="81"/>
            <rFont val="Tahoma"/>
            <family val="2"/>
          </rPr>
          <t xml:space="preserve">
prescriptive rebate program</t>
        </r>
      </text>
    </comment>
    <comment ref="BAA2" authorId="0">
      <text>
        <r>
          <rPr>
            <b/>
            <sz val="9"/>
            <color indexed="81"/>
            <rFont val="Tahoma"/>
            <family val="2"/>
          </rPr>
          <t>Ingrid Malmgren:</t>
        </r>
        <r>
          <rPr>
            <sz val="9"/>
            <color indexed="81"/>
            <rFont val="Tahoma"/>
            <family val="2"/>
          </rPr>
          <t xml:space="preserve">
prescriptive rebate program</t>
        </r>
      </text>
    </comment>
    <comment ref="BAB2" authorId="0">
      <text>
        <r>
          <rPr>
            <b/>
            <sz val="9"/>
            <color indexed="81"/>
            <rFont val="Tahoma"/>
            <family val="2"/>
          </rPr>
          <t>Ingrid Malmgren:</t>
        </r>
        <r>
          <rPr>
            <sz val="9"/>
            <color indexed="81"/>
            <rFont val="Tahoma"/>
            <family val="2"/>
          </rPr>
          <t xml:space="preserve">
prescriptive rebate program</t>
        </r>
      </text>
    </comment>
    <comment ref="BAC2" authorId="0">
      <text>
        <r>
          <rPr>
            <b/>
            <sz val="9"/>
            <color indexed="81"/>
            <rFont val="Tahoma"/>
            <family val="2"/>
          </rPr>
          <t>Ingrid Malmgren:</t>
        </r>
        <r>
          <rPr>
            <sz val="9"/>
            <color indexed="81"/>
            <rFont val="Tahoma"/>
            <family val="2"/>
          </rPr>
          <t xml:space="preserve">
prescriptive rebate program</t>
        </r>
      </text>
    </comment>
    <comment ref="BAD2" authorId="0">
      <text>
        <r>
          <rPr>
            <b/>
            <sz val="9"/>
            <color indexed="81"/>
            <rFont val="Tahoma"/>
            <family val="2"/>
          </rPr>
          <t>Ingrid Malmgren:</t>
        </r>
        <r>
          <rPr>
            <sz val="9"/>
            <color indexed="81"/>
            <rFont val="Tahoma"/>
            <family val="2"/>
          </rPr>
          <t xml:space="preserve">
prescriptive rebate program</t>
        </r>
      </text>
    </comment>
    <comment ref="BAE2" authorId="0">
      <text>
        <r>
          <rPr>
            <b/>
            <sz val="9"/>
            <color indexed="81"/>
            <rFont val="Tahoma"/>
            <family val="2"/>
          </rPr>
          <t>Ingrid Malmgren:</t>
        </r>
        <r>
          <rPr>
            <sz val="9"/>
            <color indexed="81"/>
            <rFont val="Tahoma"/>
            <family val="2"/>
          </rPr>
          <t xml:space="preserve">
prescriptive rebate program</t>
        </r>
      </text>
    </comment>
    <comment ref="BAF2" authorId="0">
      <text>
        <r>
          <rPr>
            <b/>
            <sz val="9"/>
            <color indexed="81"/>
            <rFont val="Tahoma"/>
            <family val="2"/>
          </rPr>
          <t>Ingrid Malmgren:</t>
        </r>
        <r>
          <rPr>
            <sz val="9"/>
            <color indexed="81"/>
            <rFont val="Tahoma"/>
            <family val="2"/>
          </rPr>
          <t xml:space="preserve">
prescriptive rebate program</t>
        </r>
      </text>
    </comment>
    <comment ref="BAG2" authorId="0">
      <text>
        <r>
          <rPr>
            <b/>
            <sz val="9"/>
            <color indexed="81"/>
            <rFont val="Tahoma"/>
            <family val="2"/>
          </rPr>
          <t>Ingrid Malmgren:</t>
        </r>
        <r>
          <rPr>
            <sz val="9"/>
            <color indexed="81"/>
            <rFont val="Tahoma"/>
            <family val="2"/>
          </rPr>
          <t xml:space="preserve">
prescriptive rebate program</t>
        </r>
      </text>
    </comment>
    <comment ref="BAH2" authorId="0">
      <text>
        <r>
          <rPr>
            <b/>
            <sz val="9"/>
            <color indexed="81"/>
            <rFont val="Tahoma"/>
            <family val="2"/>
          </rPr>
          <t>Ingrid Malmgren:</t>
        </r>
        <r>
          <rPr>
            <sz val="9"/>
            <color indexed="81"/>
            <rFont val="Tahoma"/>
            <family val="2"/>
          </rPr>
          <t xml:space="preserve">
prescriptive rebate program</t>
        </r>
      </text>
    </comment>
    <comment ref="BAI2" authorId="0">
      <text>
        <r>
          <rPr>
            <b/>
            <sz val="9"/>
            <color indexed="81"/>
            <rFont val="Tahoma"/>
            <family val="2"/>
          </rPr>
          <t>Ingrid Malmgren:</t>
        </r>
        <r>
          <rPr>
            <sz val="9"/>
            <color indexed="81"/>
            <rFont val="Tahoma"/>
            <family val="2"/>
          </rPr>
          <t xml:space="preserve">
prescriptive rebate program</t>
        </r>
      </text>
    </comment>
    <comment ref="BAJ2" authorId="0">
      <text>
        <r>
          <rPr>
            <b/>
            <sz val="9"/>
            <color indexed="81"/>
            <rFont val="Tahoma"/>
            <family val="2"/>
          </rPr>
          <t>Ingrid Malmgren:</t>
        </r>
        <r>
          <rPr>
            <sz val="9"/>
            <color indexed="81"/>
            <rFont val="Tahoma"/>
            <family val="2"/>
          </rPr>
          <t xml:space="preserve">
prescriptive rebate program</t>
        </r>
      </text>
    </comment>
    <comment ref="BAK2" authorId="0">
      <text>
        <r>
          <rPr>
            <b/>
            <sz val="9"/>
            <color indexed="81"/>
            <rFont val="Tahoma"/>
            <family val="2"/>
          </rPr>
          <t>Ingrid Malmgren:</t>
        </r>
        <r>
          <rPr>
            <sz val="9"/>
            <color indexed="81"/>
            <rFont val="Tahoma"/>
            <family val="2"/>
          </rPr>
          <t xml:space="preserve">
prescriptive rebate program</t>
        </r>
      </text>
    </comment>
    <comment ref="BAL2" authorId="0">
      <text>
        <r>
          <rPr>
            <b/>
            <sz val="9"/>
            <color indexed="81"/>
            <rFont val="Tahoma"/>
            <family val="2"/>
          </rPr>
          <t>Ingrid Malmgren:</t>
        </r>
        <r>
          <rPr>
            <sz val="9"/>
            <color indexed="81"/>
            <rFont val="Tahoma"/>
            <family val="2"/>
          </rPr>
          <t xml:space="preserve">
prescriptive rebate program</t>
        </r>
      </text>
    </comment>
    <comment ref="BAM2" authorId="0">
      <text>
        <r>
          <rPr>
            <b/>
            <sz val="9"/>
            <color indexed="81"/>
            <rFont val="Tahoma"/>
            <family val="2"/>
          </rPr>
          <t>Ingrid Malmgren:</t>
        </r>
        <r>
          <rPr>
            <sz val="9"/>
            <color indexed="81"/>
            <rFont val="Tahoma"/>
            <family val="2"/>
          </rPr>
          <t xml:space="preserve">
prescriptive rebate program</t>
        </r>
      </text>
    </comment>
    <comment ref="BAN2" authorId="0">
      <text>
        <r>
          <rPr>
            <b/>
            <sz val="9"/>
            <color indexed="81"/>
            <rFont val="Tahoma"/>
            <family val="2"/>
          </rPr>
          <t>Ingrid Malmgren:</t>
        </r>
        <r>
          <rPr>
            <sz val="9"/>
            <color indexed="81"/>
            <rFont val="Tahoma"/>
            <family val="2"/>
          </rPr>
          <t xml:space="preserve">
prescriptive rebate program</t>
        </r>
      </text>
    </comment>
    <comment ref="BAO2" authorId="0">
      <text>
        <r>
          <rPr>
            <b/>
            <sz val="9"/>
            <color indexed="81"/>
            <rFont val="Tahoma"/>
            <family val="2"/>
          </rPr>
          <t>Ingrid Malmgren:</t>
        </r>
        <r>
          <rPr>
            <sz val="9"/>
            <color indexed="81"/>
            <rFont val="Tahoma"/>
            <family val="2"/>
          </rPr>
          <t xml:space="preserve">
prescriptive rebate program</t>
        </r>
      </text>
    </comment>
    <comment ref="BAP2" authorId="0">
      <text>
        <r>
          <rPr>
            <b/>
            <sz val="9"/>
            <color indexed="81"/>
            <rFont val="Tahoma"/>
            <family val="2"/>
          </rPr>
          <t>Ingrid Malmgren:</t>
        </r>
        <r>
          <rPr>
            <sz val="9"/>
            <color indexed="81"/>
            <rFont val="Tahoma"/>
            <family val="2"/>
          </rPr>
          <t xml:space="preserve">
prescriptive rebate program</t>
        </r>
      </text>
    </comment>
    <comment ref="BAQ2" authorId="0">
      <text>
        <r>
          <rPr>
            <b/>
            <sz val="9"/>
            <color indexed="81"/>
            <rFont val="Tahoma"/>
            <family val="2"/>
          </rPr>
          <t>Ingrid Malmgren:</t>
        </r>
        <r>
          <rPr>
            <sz val="9"/>
            <color indexed="81"/>
            <rFont val="Tahoma"/>
            <family val="2"/>
          </rPr>
          <t xml:space="preserve">
prescriptive rebate program</t>
        </r>
      </text>
    </comment>
    <comment ref="BAR2" authorId="0">
      <text>
        <r>
          <rPr>
            <b/>
            <sz val="9"/>
            <color indexed="81"/>
            <rFont val="Tahoma"/>
            <family val="2"/>
          </rPr>
          <t>Ingrid Malmgren:</t>
        </r>
        <r>
          <rPr>
            <sz val="9"/>
            <color indexed="81"/>
            <rFont val="Tahoma"/>
            <family val="2"/>
          </rPr>
          <t xml:space="preserve">
prescriptive rebate program</t>
        </r>
      </text>
    </comment>
    <comment ref="BAS2" authorId="0">
      <text>
        <r>
          <rPr>
            <b/>
            <sz val="9"/>
            <color indexed="81"/>
            <rFont val="Tahoma"/>
            <family val="2"/>
          </rPr>
          <t>Ingrid Malmgren:</t>
        </r>
        <r>
          <rPr>
            <sz val="9"/>
            <color indexed="81"/>
            <rFont val="Tahoma"/>
            <family val="2"/>
          </rPr>
          <t xml:space="preserve">
prescriptive rebate program</t>
        </r>
      </text>
    </comment>
    <comment ref="BAT2" authorId="0">
      <text>
        <r>
          <rPr>
            <b/>
            <sz val="9"/>
            <color indexed="81"/>
            <rFont val="Tahoma"/>
            <family val="2"/>
          </rPr>
          <t>Ingrid Malmgren:</t>
        </r>
        <r>
          <rPr>
            <sz val="9"/>
            <color indexed="81"/>
            <rFont val="Tahoma"/>
            <family val="2"/>
          </rPr>
          <t xml:space="preserve">
prescriptive rebate program</t>
        </r>
      </text>
    </comment>
    <comment ref="BAU2" authorId="0">
      <text>
        <r>
          <rPr>
            <b/>
            <sz val="9"/>
            <color indexed="81"/>
            <rFont val="Tahoma"/>
            <family val="2"/>
          </rPr>
          <t>Ingrid Malmgren:</t>
        </r>
        <r>
          <rPr>
            <sz val="9"/>
            <color indexed="81"/>
            <rFont val="Tahoma"/>
            <family val="2"/>
          </rPr>
          <t xml:space="preserve">
prescriptive rebate program</t>
        </r>
      </text>
    </comment>
    <comment ref="BAV2" authorId="0">
      <text>
        <r>
          <rPr>
            <b/>
            <sz val="9"/>
            <color indexed="81"/>
            <rFont val="Tahoma"/>
            <family val="2"/>
          </rPr>
          <t>Ingrid Malmgren:</t>
        </r>
        <r>
          <rPr>
            <sz val="9"/>
            <color indexed="81"/>
            <rFont val="Tahoma"/>
            <family val="2"/>
          </rPr>
          <t xml:space="preserve">
prescriptive rebate program</t>
        </r>
      </text>
    </comment>
    <comment ref="BAW2" authorId="0">
      <text>
        <r>
          <rPr>
            <b/>
            <sz val="9"/>
            <color indexed="81"/>
            <rFont val="Tahoma"/>
            <family val="2"/>
          </rPr>
          <t>Ingrid Malmgren:</t>
        </r>
        <r>
          <rPr>
            <sz val="9"/>
            <color indexed="81"/>
            <rFont val="Tahoma"/>
            <family val="2"/>
          </rPr>
          <t xml:space="preserve">
prescriptive rebate program</t>
        </r>
      </text>
    </comment>
    <comment ref="BAX2" authorId="0">
      <text>
        <r>
          <rPr>
            <b/>
            <sz val="9"/>
            <color indexed="81"/>
            <rFont val="Tahoma"/>
            <family val="2"/>
          </rPr>
          <t>Ingrid Malmgren:</t>
        </r>
        <r>
          <rPr>
            <sz val="9"/>
            <color indexed="81"/>
            <rFont val="Tahoma"/>
            <family val="2"/>
          </rPr>
          <t xml:space="preserve">
prescriptive rebate program</t>
        </r>
      </text>
    </comment>
    <comment ref="BAY2" authorId="0">
      <text>
        <r>
          <rPr>
            <b/>
            <sz val="9"/>
            <color indexed="81"/>
            <rFont val="Tahoma"/>
            <family val="2"/>
          </rPr>
          <t>Ingrid Malmgren:</t>
        </r>
        <r>
          <rPr>
            <sz val="9"/>
            <color indexed="81"/>
            <rFont val="Tahoma"/>
            <family val="2"/>
          </rPr>
          <t xml:space="preserve">
prescriptive rebate program</t>
        </r>
      </text>
    </comment>
    <comment ref="BAZ2" authorId="0">
      <text>
        <r>
          <rPr>
            <b/>
            <sz val="9"/>
            <color indexed="81"/>
            <rFont val="Tahoma"/>
            <family val="2"/>
          </rPr>
          <t>Ingrid Malmgren:</t>
        </r>
        <r>
          <rPr>
            <sz val="9"/>
            <color indexed="81"/>
            <rFont val="Tahoma"/>
            <family val="2"/>
          </rPr>
          <t xml:space="preserve">
prescriptive rebate program</t>
        </r>
      </text>
    </comment>
    <comment ref="BBA2" authorId="0">
      <text>
        <r>
          <rPr>
            <b/>
            <sz val="9"/>
            <color indexed="81"/>
            <rFont val="Tahoma"/>
            <family val="2"/>
          </rPr>
          <t>Ingrid Malmgren:</t>
        </r>
        <r>
          <rPr>
            <sz val="9"/>
            <color indexed="81"/>
            <rFont val="Tahoma"/>
            <family val="2"/>
          </rPr>
          <t xml:space="preserve">
prescriptive rebate program</t>
        </r>
      </text>
    </comment>
    <comment ref="BBB2" authorId="0">
      <text>
        <r>
          <rPr>
            <b/>
            <sz val="9"/>
            <color indexed="81"/>
            <rFont val="Tahoma"/>
            <family val="2"/>
          </rPr>
          <t>Ingrid Malmgren:</t>
        </r>
        <r>
          <rPr>
            <sz val="9"/>
            <color indexed="81"/>
            <rFont val="Tahoma"/>
            <family val="2"/>
          </rPr>
          <t xml:space="preserve">
prescriptive rebate program</t>
        </r>
      </text>
    </comment>
    <comment ref="BBC2" authorId="0">
      <text>
        <r>
          <rPr>
            <b/>
            <sz val="9"/>
            <color indexed="81"/>
            <rFont val="Tahoma"/>
            <family val="2"/>
          </rPr>
          <t>Ingrid Malmgren:</t>
        </r>
        <r>
          <rPr>
            <sz val="9"/>
            <color indexed="81"/>
            <rFont val="Tahoma"/>
            <family val="2"/>
          </rPr>
          <t xml:space="preserve">
prescriptive rebate program</t>
        </r>
      </text>
    </comment>
    <comment ref="BBD2" authorId="0">
      <text>
        <r>
          <rPr>
            <b/>
            <sz val="9"/>
            <color indexed="81"/>
            <rFont val="Tahoma"/>
            <family val="2"/>
          </rPr>
          <t>Ingrid Malmgren:</t>
        </r>
        <r>
          <rPr>
            <sz val="9"/>
            <color indexed="81"/>
            <rFont val="Tahoma"/>
            <family val="2"/>
          </rPr>
          <t xml:space="preserve">
prescriptive rebate program</t>
        </r>
      </text>
    </comment>
    <comment ref="BBE2" authorId="0">
      <text>
        <r>
          <rPr>
            <b/>
            <sz val="9"/>
            <color indexed="81"/>
            <rFont val="Tahoma"/>
            <family val="2"/>
          </rPr>
          <t>Ingrid Malmgren:</t>
        </r>
        <r>
          <rPr>
            <sz val="9"/>
            <color indexed="81"/>
            <rFont val="Tahoma"/>
            <family val="2"/>
          </rPr>
          <t xml:space="preserve">
prescriptive rebate program</t>
        </r>
      </text>
    </comment>
    <comment ref="BBF2" authorId="0">
      <text>
        <r>
          <rPr>
            <b/>
            <sz val="9"/>
            <color indexed="81"/>
            <rFont val="Tahoma"/>
            <family val="2"/>
          </rPr>
          <t>Ingrid Malmgren:</t>
        </r>
        <r>
          <rPr>
            <sz val="9"/>
            <color indexed="81"/>
            <rFont val="Tahoma"/>
            <family val="2"/>
          </rPr>
          <t xml:space="preserve">
prescriptive rebate program</t>
        </r>
      </text>
    </comment>
    <comment ref="BBG2" authorId="0">
      <text>
        <r>
          <rPr>
            <b/>
            <sz val="9"/>
            <color indexed="81"/>
            <rFont val="Tahoma"/>
            <family val="2"/>
          </rPr>
          <t>Ingrid Malmgren:</t>
        </r>
        <r>
          <rPr>
            <sz val="9"/>
            <color indexed="81"/>
            <rFont val="Tahoma"/>
            <family val="2"/>
          </rPr>
          <t xml:space="preserve">
prescriptive rebate program</t>
        </r>
      </text>
    </comment>
    <comment ref="BBH2" authorId="0">
      <text>
        <r>
          <rPr>
            <b/>
            <sz val="9"/>
            <color indexed="81"/>
            <rFont val="Tahoma"/>
            <family val="2"/>
          </rPr>
          <t>Ingrid Malmgren:</t>
        </r>
        <r>
          <rPr>
            <sz val="9"/>
            <color indexed="81"/>
            <rFont val="Tahoma"/>
            <family val="2"/>
          </rPr>
          <t xml:space="preserve">
prescriptive rebate program</t>
        </r>
      </text>
    </comment>
    <comment ref="BBI2" authorId="0">
      <text>
        <r>
          <rPr>
            <b/>
            <sz val="9"/>
            <color indexed="81"/>
            <rFont val="Tahoma"/>
            <family val="2"/>
          </rPr>
          <t>Ingrid Malmgren:</t>
        </r>
        <r>
          <rPr>
            <sz val="9"/>
            <color indexed="81"/>
            <rFont val="Tahoma"/>
            <family val="2"/>
          </rPr>
          <t xml:space="preserve">
prescriptive rebate program</t>
        </r>
      </text>
    </comment>
    <comment ref="BBJ2" authorId="0">
      <text>
        <r>
          <rPr>
            <b/>
            <sz val="9"/>
            <color indexed="81"/>
            <rFont val="Tahoma"/>
            <family val="2"/>
          </rPr>
          <t>Ingrid Malmgren:</t>
        </r>
        <r>
          <rPr>
            <sz val="9"/>
            <color indexed="81"/>
            <rFont val="Tahoma"/>
            <family val="2"/>
          </rPr>
          <t xml:space="preserve">
prescriptive rebate program</t>
        </r>
      </text>
    </comment>
    <comment ref="BBK2" authorId="0">
      <text>
        <r>
          <rPr>
            <b/>
            <sz val="9"/>
            <color indexed="81"/>
            <rFont val="Tahoma"/>
            <family val="2"/>
          </rPr>
          <t>Ingrid Malmgren:</t>
        </r>
        <r>
          <rPr>
            <sz val="9"/>
            <color indexed="81"/>
            <rFont val="Tahoma"/>
            <family val="2"/>
          </rPr>
          <t xml:space="preserve">
prescriptive rebate program</t>
        </r>
      </text>
    </comment>
    <comment ref="BBL2" authorId="0">
      <text>
        <r>
          <rPr>
            <b/>
            <sz val="9"/>
            <color indexed="81"/>
            <rFont val="Tahoma"/>
            <family val="2"/>
          </rPr>
          <t>Ingrid Malmgren:</t>
        </r>
        <r>
          <rPr>
            <sz val="9"/>
            <color indexed="81"/>
            <rFont val="Tahoma"/>
            <family val="2"/>
          </rPr>
          <t xml:space="preserve">
prescriptive rebate program</t>
        </r>
      </text>
    </comment>
    <comment ref="BBM2" authorId="0">
      <text>
        <r>
          <rPr>
            <b/>
            <sz val="9"/>
            <color indexed="81"/>
            <rFont val="Tahoma"/>
            <family val="2"/>
          </rPr>
          <t>Ingrid Malmgren:</t>
        </r>
        <r>
          <rPr>
            <sz val="9"/>
            <color indexed="81"/>
            <rFont val="Tahoma"/>
            <family val="2"/>
          </rPr>
          <t xml:space="preserve">
prescriptive rebate program</t>
        </r>
      </text>
    </comment>
    <comment ref="BBN2" authorId="0">
      <text>
        <r>
          <rPr>
            <b/>
            <sz val="9"/>
            <color indexed="81"/>
            <rFont val="Tahoma"/>
            <family val="2"/>
          </rPr>
          <t>Ingrid Malmgren:</t>
        </r>
        <r>
          <rPr>
            <sz val="9"/>
            <color indexed="81"/>
            <rFont val="Tahoma"/>
            <family val="2"/>
          </rPr>
          <t xml:space="preserve">
prescriptive rebate program</t>
        </r>
      </text>
    </comment>
    <comment ref="BBO2" authorId="0">
      <text>
        <r>
          <rPr>
            <b/>
            <sz val="9"/>
            <color indexed="81"/>
            <rFont val="Tahoma"/>
            <family val="2"/>
          </rPr>
          <t>Ingrid Malmgren:</t>
        </r>
        <r>
          <rPr>
            <sz val="9"/>
            <color indexed="81"/>
            <rFont val="Tahoma"/>
            <family val="2"/>
          </rPr>
          <t xml:space="preserve">
prescriptive rebate program</t>
        </r>
      </text>
    </comment>
    <comment ref="BBP2" authorId="0">
      <text>
        <r>
          <rPr>
            <b/>
            <sz val="9"/>
            <color indexed="81"/>
            <rFont val="Tahoma"/>
            <family val="2"/>
          </rPr>
          <t>Ingrid Malmgren:</t>
        </r>
        <r>
          <rPr>
            <sz val="9"/>
            <color indexed="81"/>
            <rFont val="Tahoma"/>
            <family val="2"/>
          </rPr>
          <t xml:space="preserve">
prescriptive rebate program</t>
        </r>
      </text>
    </comment>
    <comment ref="BBQ2" authorId="0">
      <text>
        <r>
          <rPr>
            <b/>
            <sz val="9"/>
            <color indexed="81"/>
            <rFont val="Tahoma"/>
            <family val="2"/>
          </rPr>
          <t>Ingrid Malmgren:</t>
        </r>
        <r>
          <rPr>
            <sz val="9"/>
            <color indexed="81"/>
            <rFont val="Tahoma"/>
            <family val="2"/>
          </rPr>
          <t xml:space="preserve">
prescriptive rebate program</t>
        </r>
      </text>
    </comment>
    <comment ref="BBR2" authorId="0">
      <text>
        <r>
          <rPr>
            <b/>
            <sz val="9"/>
            <color indexed="81"/>
            <rFont val="Tahoma"/>
            <family val="2"/>
          </rPr>
          <t>Ingrid Malmgren:</t>
        </r>
        <r>
          <rPr>
            <sz val="9"/>
            <color indexed="81"/>
            <rFont val="Tahoma"/>
            <family val="2"/>
          </rPr>
          <t xml:space="preserve">
prescriptive rebate program</t>
        </r>
      </text>
    </comment>
    <comment ref="BBS2" authorId="0">
      <text>
        <r>
          <rPr>
            <b/>
            <sz val="9"/>
            <color indexed="81"/>
            <rFont val="Tahoma"/>
            <family val="2"/>
          </rPr>
          <t>Ingrid Malmgren:</t>
        </r>
        <r>
          <rPr>
            <sz val="9"/>
            <color indexed="81"/>
            <rFont val="Tahoma"/>
            <family val="2"/>
          </rPr>
          <t xml:space="preserve">
prescriptive rebate program</t>
        </r>
      </text>
    </comment>
    <comment ref="BBT2" authorId="0">
      <text>
        <r>
          <rPr>
            <b/>
            <sz val="9"/>
            <color indexed="81"/>
            <rFont val="Tahoma"/>
            <family val="2"/>
          </rPr>
          <t>Ingrid Malmgren:</t>
        </r>
        <r>
          <rPr>
            <sz val="9"/>
            <color indexed="81"/>
            <rFont val="Tahoma"/>
            <family val="2"/>
          </rPr>
          <t xml:space="preserve">
prescriptive rebate program</t>
        </r>
      </text>
    </comment>
    <comment ref="BBU2" authorId="0">
      <text>
        <r>
          <rPr>
            <b/>
            <sz val="9"/>
            <color indexed="81"/>
            <rFont val="Tahoma"/>
            <family val="2"/>
          </rPr>
          <t>Ingrid Malmgren:</t>
        </r>
        <r>
          <rPr>
            <sz val="9"/>
            <color indexed="81"/>
            <rFont val="Tahoma"/>
            <family val="2"/>
          </rPr>
          <t xml:space="preserve">
prescriptive rebate program</t>
        </r>
      </text>
    </comment>
    <comment ref="BBV2" authorId="0">
      <text>
        <r>
          <rPr>
            <b/>
            <sz val="9"/>
            <color indexed="81"/>
            <rFont val="Tahoma"/>
            <family val="2"/>
          </rPr>
          <t>Ingrid Malmgren:</t>
        </r>
        <r>
          <rPr>
            <sz val="9"/>
            <color indexed="81"/>
            <rFont val="Tahoma"/>
            <family val="2"/>
          </rPr>
          <t xml:space="preserve">
prescriptive rebate program</t>
        </r>
      </text>
    </comment>
    <comment ref="BBW2" authorId="0">
      <text>
        <r>
          <rPr>
            <b/>
            <sz val="9"/>
            <color indexed="81"/>
            <rFont val="Tahoma"/>
            <family val="2"/>
          </rPr>
          <t>Ingrid Malmgren:</t>
        </r>
        <r>
          <rPr>
            <sz val="9"/>
            <color indexed="81"/>
            <rFont val="Tahoma"/>
            <family val="2"/>
          </rPr>
          <t xml:space="preserve">
prescriptive rebate program</t>
        </r>
      </text>
    </comment>
    <comment ref="BBX2" authorId="0">
      <text>
        <r>
          <rPr>
            <b/>
            <sz val="9"/>
            <color indexed="81"/>
            <rFont val="Tahoma"/>
            <family val="2"/>
          </rPr>
          <t>Ingrid Malmgren:</t>
        </r>
        <r>
          <rPr>
            <sz val="9"/>
            <color indexed="81"/>
            <rFont val="Tahoma"/>
            <family val="2"/>
          </rPr>
          <t xml:space="preserve">
prescriptive rebate program</t>
        </r>
      </text>
    </comment>
    <comment ref="BBY2" authorId="0">
      <text>
        <r>
          <rPr>
            <b/>
            <sz val="9"/>
            <color indexed="81"/>
            <rFont val="Tahoma"/>
            <family val="2"/>
          </rPr>
          <t>Ingrid Malmgren:</t>
        </r>
        <r>
          <rPr>
            <sz val="9"/>
            <color indexed="81"/>
            <rFont val="Tahoma"/>
            <family val="2"/>
          </rPr>
          <t xml:space="preserve">
prescriptive rebate program</t>
        </r>
      </text>
    </comment>
    <comment ref="BBZ2" authorId="0">
      <text>
        <r>
          <rPr>
            <b/>
            <sz val="9"/>
            <color indexed="81"/>
            <rFont val="Tahoma"/>
            <family val="2"/>
          </rPr>
          <t>Ingrid Malmgren:</t>
        </r>
        <r>
          <rPr>
            <sz val="9"/>
            <color indexed="81"/>
            <rFont val="Tahoma"/>
            <family val="2"/>
          </rPr>
          <t xml:space="preserve">
prescriptive rebate program</t>
        </r>
      </text>
    </comment>
    <comment ref="BCA2" authorId="0">
      <text>
        <r>
          <rPr>
            <b/>
            <sz val="9"/>
            <color indexed="81"/>
            <rFont val="Tahoma"/>
            <family val="2"/>
          </rPr>
          <t>Ingrid Malmgren:</t>
        </r>
        <r>
          <rPr>
            <sz val="9"/>
            <color indexed="81"/>
            <rFont val="Tahoma"/>
            <family val="2"/>
          </rPr>
          <t xml:space="preserve">
prescriptive rebate program</t>
        </r>
      </text>
    </comment>
    <comment ref="BCB2" authorId="0">
      <text>
        <r>
          <rPr>
            <b/>
            <sz val="9"/>
            <color indexed="81"/>
            <rFont val="Tahoma"/>
            <family val="2"/>
          </rPr>
          <t>Ingrid Malmgren:</t>
        </r>
        <r>
          <rPr>
            <sz val="9"/>
            <color indexed="81"/>
            <rFont val="Tahoma"/>
            <family val="2"/>
          </rPr>
          <t xml:space="preserve">
prescriptive rebate program</t>
        </r>
      </text>
    </comment>
    <comment ref="BCC2" authorId="0">
      <text>
        <r>
          <rPr>
            <b/>
            <sz val="9"/>
            <color indexed="81"/>
            <rFont val="Tahoma"/>
            <family val="2"/>
          </rPr>
          <t>Ingrid Malmgren:</t>
        </r>
        <r>
          <rPr>
            <sz val="9"/>
            <color indexed="81"/>
            <rFont val="Tahoma"/>
            <family val="2"/>
          </rPr>
          <t xml:space="preserve">
prescriptive rebate program</t>
        </r>
      </text>
    </comment>
    <comment ref="BCD2" authorId="0">
      <text>
        <r>
          <rPr>
            <b/>
            <sz val="9"/>
            <color indexed="81"/>
            <rFont val="Tahoma"/>
            <family val="2"/>
          </rPr>
          <t>Ingrid Malmgren:</t>
        </r>
        <r>
          <rPr>
            <sz val="9"/>
            <color indexed="81"/>
            <rFont val="Tahoma"/>
            <family val="2"/>
          </rPr>
          <t xml:space="preserve">
prescriptive rebate program</t>
        </r>
      </text>
    </comment>
    <comment ref="BCE2" authorId="0">
      <text>
        <r>
          <rPr>
            <b/>
            <sz val="9"/>
            <color indexed="81"/>
            <rFont val="Tahoma"/>
            <family val="2"/>
          </rPr>
          <t>Ingrid Malmgren:</t>
        </r>
        <r>
          <rPr>
            <sz val="9"/>
            <color indexed="81"/>
            <rFont val="Tahoma"/>
            <family val="2"/>
          </rPr>
          <t xml:space="preserve">
prescriptive rebate program</t>
        </r>
      </text>
    </comment>
    <comment ref="BCF2" authorId="0">
      <text>
        <r>
          <rPr>
            <b/>
            <sz val="9"/>
            <color indexed="81"/>
            <rFont val="Tahoma"/>
            <family val="2"/>
          </rPr>
          <t>Ingrid Malmgren:</t>
        </r>
        <r>
          <rPr>
            <sz val="9"/>
            <color indexed="81"/>
            <rFont val="Tahoma"/>
            <family val="2"/>
          </rPr>
          <t xml:space="preserve">
prescriptive rebate program</t>
        </r>
      </text>
    </comment>
    <comment ref="BCG2" authorId="0">
      <text>
        <r>
          <rPr>
            <b/>
            <sz val="9"/>
            <color indexed="81"/>
            <rFont val="Tahoma"/>
            <family val="2"/>
          </rPr>
          <t>Ingrid Malmgren:</t>
        </r>
        <r>
          <rPr>
            <sz val="9"/>
            <color indexed="81"/>
            <rFont val="Tahoma"/>
            <family val="2"/>
          </rPr>
          <t xml:space="preserve">
prescriptive rebate program</t>
        </r>
      </text>
    </comment>
    <comment ref="BCH2" authorId="0">
      <text>
        <r>
          <rPr>
            <b/>
            <sz val="9"/>
            <color indexed="81"/>
            <rFont val="Tahoma"/>
            <family val="2"/>
          </rPr>
          <t>Ingrid Malmgren:</t>
        </r>
        <r>
          <rPr>
            <sz val="9"/>
            <color indexed="81"/>
            <rFont val="Tahoma"/>
            <family val="2"/>
          </rPr>
          <t xml:space="preserve">
prescriptive rebate program</t>
        </r>
      </text>
    </comment>
    <comment ref="BCI2" authorId="0">
      <text>
        <r>
          <rPr>
            <b/>
            <sz val="9"/>
            <color indexed="81"/>
            <rFont val="Tahoma"/>
            <family val="2"/>
          </rPr>
          <t>Ingrid Malmgren:</t>
        </r>
        <r>
          <rPr>
            <sz val="9"/>
            <color indexed="81"/>
            <rFont val="Tahoma"/>
            <family val="2"/>
          </rPr>
          <t xml:space="preserve">
prescriptive rebate program</t>
        </r>
      </text>
    </comment>
    <comment ref="BCJ2" authorId="0">
      <text>
        <r>
          <rPr>
            <b/>
            <sz val="9"/>
            <color indexed="81"/>
            <rFont val="Tahoma"/>
            <family val="2"/>
          </rPr>
          <t>Ingrid Malmgren:</t>
        </r>
        <r>
          <rPr>
            <sz val="9"/>
            <color indexed="81"/>
            <rFont val="Tahoma"/>
            <family val="2"/>
          </rPr>
          <t xml:space="preserve">
prescriptive rebate program</t>
        </r>
      </text>
    </comment>
    <comment ref="BCK2" authorId="0">
      <text>
        <r>
          <rPr>
            <b/>
            <sz val="9"/>
            <color indexed="81"/>
            <rFont val="Tahoma"/>
            <family val="2"/>
          </rPr>
          <t>Ingrid Malmgren:</t>
        </r>
        <r>
          <rPr>
            <sz val="9"/>
            <color indexed="81"/>
            <rFont val="Tahoma"/>
            <family val="2"/>
          </rPr>
          <t xml:space="preserve">
prescriptive rebate program</t>
        </r>
      </text>
    </comment>
    <comment ref="BCL2" authorId="0">
      <text>
        <r>
          <rPr>
            <b/>
            <sz val="9"/>
            <color indexed="81"/>
            <rFont val="Tahoma"/>
            <family val="2"/>
          </rPr>
          <t>Ingrid Malmgren:</t>
        </r>
        <r>
          <rPr>
            <sz val="9"/>
            <color indexed="81"/>
            <rFont val="Tahoma"/>
            <family val="2"/>
          </rPr>
          <t xml:space="preserve">
prescriptive rebate program</t>
        </r>
      </text>
    </comment>
    <comment ref="BCM2" authorId="0">
      <text>
        <r>
          <rPr>
            <b/>
            <sz val="9"/>
            <color indexed="81"/>
            <rFont val="Tahoma"/>
            <family val="2"/>
          </rPr>
          <t>Ingrid Malmgren:</t>
        </r>
        <r>
          <rPr>
            <sz val="9"/>
            <color indexed="81"/>
            <rFont val="Tahoma"/>
            <family val="2"/>
          </rPr>
          <t xml:space="preserve">
prescriptive rebate program</t>
        </r>
      </text>
    </comment>
    <comment ref="BCN2" authorId="0">
      <text>
        <r>
          <rPr>
            <b/>
            <sz val="9"/>
            <color indexed="81"/>
            <rFont val="Tahoma"/>
            <family val="2"/>
          </rPr>
          <t>Ingrid Malmgren:</t>
        </r>
        <r>
          <rPr>
            <sz val="9"/>
            <color indexed="81"/>
            <rFont val="Tahoma"/>
            <family val="2"/>
          </rPr>
          <t xml:space="preserve">
prescriptive rebate program</t>
        </r>
      </text>
    </comment>
    <comment ref="BCO2" authorId="0">
      <text>
        <r>
          <rPr>
            <b/>
            <sz val="9"/>
            <color indexed="81"/>
            <rFont val="Tahoma"/>
            <family val="2"/>
          </rPr>
          <t>Ingrid Malmgren:</t>
        </r>
        <r>
          <rPr>
            <sz val="9"/>
            <color indexed="81"/>
            <rFont val="Tahoma"/>
            <family val="2"/>
          </rPr>
          <t xml:space="preserve">
prescriptive rebate program</t>
        </r>
      </text>
    </comment>
    <comment ref="BCP2" authorId="0">
      <text>
        <r>
          <rPr>
            <b/>
            <sz val="9"/>
            <color indexed="81"/>
            <rFont val="Tahoma"/>
            <family val="2"/>
          </rPr>
          <t>Ingrid Malmgren:</t>
        </r>
        <r>
          <rPr>
            <sz val="9"/>
            <color indexed="81"/>
            <rFont val="Tahoma"/>
            <family val="2"/>
          </rPr>
          <t xml:space="preserve">
prescriptive rebate program</t>
        </r>
      </text>
    </comment>
    <comment ref="BCQ2" authorId="0">
      <text>
        <r>
          <rPr>
            <b/>
            <sz val="9"/>
            <color indexed="81"/>
            <rFont val="Tahoma"/>
            <family val="2"/>
          </rPr>
          <t>Ingrid Malmgren:</t>
        </r>
        <r>
          <rPr>
            <sz val="9"/>
            <color indexed="81"/>
            <rFont val="Tahoma"/>
            <family val="2"/>
          </rPr>
          <t xml:space="preserve">
prescriptive rebate program</t>
        </r>
      </text>
    </comment>
    <comment ref="BCR2" authorId="0">
      <text>
        <r>
          <rPr>
            <b/>
            <sz val="9"/>
            <color indexed="81"/>
            <rFont val="Tahoma"/>
            <family val="2"/>
          </rPr>
          <t>Ingrid Malmgren:</t>
        </r>
        <r>
          <rPr>
            <sz val="9"/>
            <color indexed="81"/>
            <rFont val="Tahoma"/>
            <family val="2"/>
          </rPr>
          <t xml:space="preserve">
prescriptive rebate program</t>
        </r>
      </text>
    </comment>
    <comment ref="BCS2" authorId="0">
      <text>
        <r>
          <rPr>
            <b/>
            <sz val="9"/>
            <color indexed="81"/>
            <rFont val="Tahoma"/>
            <family val="2"/>
          </rPr>
          <t>Ingrid Malmgren:</t>
        </r>
        <r>
          <rPr>
            <sz val="9"/>
            <color indexed="81"/>
            <rFont val="Tahoma"/>
            <family val="2"/>
          </rPr>
          <t xml:space="preserve">
prescriptive rebate program</t>
        </r>
      </text>
    </comment>
    <comment ref="BCT2" authorId="0">
      <text>
        <r>
          <rPr>
            <b/>
            <sz val="9"/>
            <color indexed="81"/>
            <rFont val="Tahoma"/>
            <family val="2"/>
          </rPr>
          <t>Ingrid Malmgren:</t>
        </r>
        <r>
          <rPr>
            <sz val="9"/>
            <color indexed="81"/>
            <rFont val="Tahoma"/>
            <family val="2"/>
          </rPr>
          <t xml:space="preserve">
prescriptive rebate program</t>
        </r>
      </text>
    </comment>
    <comment ref="BCU2" authorId="0">
      <text>
        <r>
          <rPr>
            <b/>
            <sz val="9"/>
            <color indexed="81"/>
            <rFont val="Tahoma"/>
            <family val="2"/>
          </rPr>
          <t>Ingrid Malmgren:</t>
        </r>
        <r>
          <rPr>
            <sz val="9"/>
            <color indexed="81"/>
            <rFont val="Tahoma"/>
            <family val="2"/>
          </rPr>
          <t xml:space="preserve">
prescriptive rebate program</t>
        </r>
      </text>
    </comment>
    <comment ref="BCV2" authorId="0">
      <text>
        <r>
          <rPr>
            <b/>
            <sz val="9"/>
            <color indexed="81"/>
            <rFont val="Tahoma"/>
            <family val="2"/>
          </rPr>
          <t>Ingrid Malmgren:</t>
        </r>
        <r>
          <rPr>
            <sz val="9"/>
            <color indexed="81"/>
            <rFont val="Tahoma"/>
            <family val="2"/>
          </rPr>
          <t xml:space="preserve">
prescriptive rebate program</t>
        </r>
      </text>
    </comment>
    <comment ref="BCW2" authorId="0">
      <text>
        <r>
          <rPr>
            <b/>
            <sz val="9"/>
            <color indexed="81"/>
            <rFont val="Tahoma"/>
            <family val="2"/>
          </rPr>
          <t>Ingrid Malmgren:</t>
        </r>
        <r>
          <rPr>
            <sz val="9"/>
            <color indexed="81"/>
            <rFont val="Tahoma"/>
            <family val="2"/>
          </rPr>
          <t xml:space="preserve">
prescriptive rebate program</t>
        </r>
      </text>
    </comment>
    <comment ref="BCX2" authorId="0">
      <text>
        <r>
          <rPr>
            <b/>
            <sz val="9"/>
            <color indexed="81"/>
            <rFont val="Tahoma"/>
            <family val="2"/>
          </rPr>
          <t>Ingrid Malmgren:</t>
        </r>
        <r>
          <rPr>
            <sz val="9"/>
            <color indexed="81"/>
            <rFont val="Tahoma"/>
            <family val="2"/>
          </rPr>
          <t xml:space="preserve">
prescriptive rebate program</t>
        </r>
      </text>
    </comment>
    <comment ref="BCY2" authorId="0">
      <text>
        <r>
          <rPr>
            <b/>
            <sz val="9"/>
            <color indexed="81"/>
            <rFont val="Tahoma"/>
            <family val="2"/>
          </rPr>
          <t>Ingrid Malmgren:</t>
        </r>
        <r>
          <rPr>
            <sz val="9"/>
            <color indexed="81"/>
            <rFont val="Tahoma"/>
            <family val="2"/>
          </rPr>
          <t xml:space="preserve">
prescriptive rebate program</t>
        </r>
      </text>
    </comment>
    <comment ref="BCZ2" authorId="0">
      <text>
        <r>
          <rPr>
            <b/>
            <sz val="9"/>
            <color indexed="81"/>
            <rFont val="Tahoma"/>
            <family val="2"/>
          </rPr>
          <t>Ingrid Malmgren:</t>
        </r>
        <r>
          <rPr>
            <sz val="9"/>
            <color indexed="81"/>
            <rFont val="Tahoma"/>
            <family val="2"/>
          </rPr>
          <t xml:space="preserve">
prescriptive rebate program</t>
        </r>
      </text>
    </comment>
    <comment ref="BDA2" authorId="0">
      <text>
        <r>
          <rPr>
            <b/>
            <sz val="9"/>
            <color indexed="81"/>
            <rFont val="Tahoma"/>
            <family val="2"/>
          </rPr>
          <t>Ingrid Malmgren:</t>
        </r>
        <r>
          <rPr>
            <sz val="9"/>
            <color indexed="81"/>
            <rFont val="Tahoma"/>
            <family val="2"/>
          </rPr>
          <t xml:space="preserve">
prescriptive rebate program</t>
        </r>
      </text>
    </comment>
    <comment ref="BDB2" authorId="0">
      <text>
        <r>
          <rPr>
            <b/>
            <sz val="9"/>
            <color indexed="81"/>
            <rFont val="Tahoma"/>
            <family val="2"/>
          </rPr>
          <t>Ingrid Malmgren:</t>
        </r>
        <r>
          <rPr>
            <sz val="9"/>
            <color indexed="81"/>
            <rFont val="Tahoma"/>
            <family val="2"/>
          </rPr>
          <t xml:space="preserve">
prescriptive rebate program</t>
        </r>
      </text>
    </comment>
    <comment ref="BDC2" authorId="0">
      <text>
        <r>
          <rPr>
            <b/>
            <sz val="9"/>
            <color indexed="81"/>
            <rFont val="Tahoma"/>
            <family val="2"/>
          </rPr>
          <t>Ingrid Malmgren:</t>
        </r>
        <r>
          <rPr>
            <sz val="9"/>
            <color indexed="81"/>
            <rFont val="Tahoma"/>
            <family val="2"/>
          </rPr>
          <t xml:space="preserve">
prescriptive rebate program</t>
        </r>
      </text>
    </comment>
    <comment ref="BDD2" authorId="0">
      <text>
        <r>
          <rPr>
            <b/>
            <sz val="9"/>
            <color indexed="81"/>
            <rFont val="Tahoma"/>
            <family val="2"/>
          </rPr>
          <t>Ingrid Malmgren:</t>
        </r>
        <r>
          <rPr>
            <sz val="9"/>
            <color indexed="81"/>
            <rFont val="Tahoma"/>
            <family val="2"/>
          </rPr>
          <t xml:space="preserve">
prescriptive rebate program</t>
        </r>
      </text>
    </comment>
    <comment ref="BDE2" authorId="0">
      <text>
        <r>
          <rPr>
            <b/>
            <sz val="9"/>
            <color indexed="81"/>
            <rFont val="Tahoma"/>
            <family val="2"/>
          </rPr>
          <t>Ingrid Malmgren:</t>
        </r>
        <r>
          <rPr>
            <sz val="9"/>
            <color indexed="81"/>
            <rFont val="Tahoma"/>
            <family val="2"/>
          </rPr>
          <t xml:space="preserve">
prescriptive rebate program</t>
        </r>
      </text>
    </comment>
    <comment ref="BDF2" authorId="0">
      <text>
        <r>
          <rPr>
            <b/>
            <sz val="9"/>
            <color indexed="81"/>
            <rFont val="Tahoma"/>
            <family val="2"/>
          </rPr>
          <t>Ingrid Malmgren:</t>
        </r>
        <r>
          <rPr>
            <sz val="9"/>
            <color indexed="81"/>
            <rFont val="Tahoma"/>
            <family val="2"/>
          </rPr>
          <t xml:space="preserve">
prescriptive rebate program</t>
        </r>
      </text>
    </comment>
    <comment ref="BDG2" authorId="0">
      <text>
        <r>
          <rPr>
            <b/>
            <sz val="9"/>
            <color indexed="81"/>
            <rFont val="Tahoma"/>
            <family val="2"/>
          </rPr>
          <t>Ingrid Malmgren:</t>
        </r>
        <r>
          <rPr>
            <sz val="9"/>
            <color indexed="81"/>
            <rFont val="Tahoma"/>
            <family val="2"/>
          </rPr>
          <t xml:space="preserve">
prescriptive rebate program</t>
        </r>
      </text>
    </comment>
    <comment ref="BDH2" authorId="0">
      <text>
        <r>
          <rPr>
            <b/>
            <sz val="9"/>
            <color indexed="81"/>
            <rFont val="Tahoma"/>
            <family val="2"/>
          </rPr>
          <t>Ingrid Malmgren:</t>
        </r>
        <r>
          <rPr>
            <sz val="9"/>
            <color indexed="81"/>
            <rFont val="Tahoma"/>
            <family val="2"/>
          </rPr>
          <t xml:space="preserve">
prescriptive rebate program</t>
        </r>
      </text>
    </comment>
    <comment ref="BDI2" authorId="0">
      <text>
        <r>
          <rPr>
            <b/>
            <sz val="9"/>
            <color indexed="81"/>
            <rFont val="Tahoma"/>
            <family val="2"/>
          </rPr>
          <t>Ingrid Malmgren:</t>
        </r>
        <r>
          <rPr>
            <sz val="9"/>
            <color indexed="81"/>
            <rFont val="Tahoma"/>
            <family val="2"/>
          </rPr>
          <t xml:space="preserve">
prescriptive rebate program</t>
        </r>
      </text>
    </comment>
    <comment ref="BDJ2" authorId="0">
      <text>
        <r>
          <rPr>
            <b/>
            <sz val="9"/>
            <color indexed="81"/>
            <rFont val="Tahoma"/>
            <family val="2"/>
          </rPr>
          <t>Ingrid Malmgren:</t>
        </r>
        <r>
          <rPr>
            <sz val="9"/>
            <color indexed="81"/>
            <rFont val="Tahoma"/>
            <family val="2"/>
          </rPr>
          <t xml:space="preserve">
prescriptive rebate program</t>
        </r>
      </text>
    </comment>
    <comment ref="BDK2" authorId="0">
      <text>
        <r>
          <rPr>
            <b/>
            <sz val="9"/>
            <color indexed="81"/>
            <rFont val="Tahoma"/>
            <family val="2"/>
          </rPr>
          <t>Ingrid Malmgren:</t>
        </r>
        <r>
          <rPr>
            <sz val="9"/>
            <color indexed="81"/>
            <rFont val="Tahoma"/>
            <family val="2"/>
          </rPr>
          <t xml:space="preserve">
prescriptive rebate program</t>
        </r>
      </text>
    </comment>
    <comment ref="BDL2" authorId="0">
      <text>
        <r>
          <rPr>
            <b/>
            <sz val="9"/>
            <color indexed="81"/>
            <rFont val="Tahoma"/>
            <family val="2"/>
          </rPr>
          <t>Ingrid Malmgren:</t>
        </r>
        <r>
          <rPr>
            <sz val="9"/>
            <color indexed="81"/>
            <rFont val="Tahoma"/>
            <family val="2"/>
          </rPr>
          <t xml:space="preserve">
prescriptive rebate program</t>
        </r>
      </text>
    </comment>
    <comment ref="BDM2" authorId="0">
      <text>
        <r>
          <rPr>
            <b/>
            <sz val="9"/>
            <color indexed="81"/>
            <rFont val="Tahoma"/>
            <family val="2"/>
          </rPr>
          <t>Ingrid Malmgren:</t>
        </r>
        <r>
          <rPr>
            <sz val="9"/>
            <color indexed="81"/>
            <rFont val="Tahoma"/>
            <family val="2"/>
          </rPr>
          <t xml:space="preserve">
prescriptive rebate program</t>
        </r>
      </text>
    </comment>
    <comment ref="BDN2" authorId="0">
      <text>
        <r>
          <rPr>
            <b/>
            <sz val="9"/>
            <color indexed="81"/>
            <rFont val="Tahoma"/>
            <family val="2"/>
          </rPr>
          <t>Ingrid Malmgren:</t>
        </r>
        <r>
          <rPr>
            <sz val="9"/>
            <color indexed="81"/>
            <rFont val="Tahoma"/>
            <family val="2"/>
          </rPr>
          <t xml:space="preserve">
prescriptive rebate program</t>
        </r>
      </text>
    </comment>
    <comment ref="BDO2" authorId="0">
      <text>
        <r>
          <rPr>
            <b/>
            <sz val="9"/>
            <color indexed="81"/>
            <rFont val="Tahoma"/>
            <family val="2"/>
          </rPr>
          <t>Ingrid Malmgren:</t>
        </r>
        <r>
          <rPr>
            <sz val="9"/>
            <color indexed="81"/>
            <rFont val="Tahoma"/>
            <family val="2"/>
          </rPr>
          <t xml:space="preserve">
prescriptive rebate program</t>
        </r>
      </text>
    </comment>
    <comment ref="BDP2" authorId="0">
      <text>
        <r>
          <rPr>
            <b/>
            <sz val="9"/>
            <color indexed="81"/>
            <rFont val="Tahoma"/>
            <family val="2"/>
          </rPr>
          <t>Ingrid Malmgren:</t>
        </r>
        <r>
          <rPr>
            <sz val="9"/>
            <color indexed="81"/>
            <rFont val="Tahoma"/>
            <family val="2"/>
          </rPr>
          <t xml:space="preserve">
prescriptive rebate program</t>
        </r>
      </text>
    </comment>
    <comment ref="BDQ2" authorId="0">
      <text>
        <r>
          <rPr>
            <b/>
            <sz val="9"/>
            <color indexed="81"/>
            <rFont val="Tahoma"/>
            <family val="2"/>
          </rPr>
          <t>Ingrid Malmgren:</t>
        </r>
        <r>
          <rPr>
            <sz val="9"/>
            <color indexed="81"/>
            <rFont val="Tahoma"/>
            <family val="2"/>
          </rPr>
          <t xml:space="preserve">
prescriptive rebate program</t>
        </r>
      </text>
    </comment>
    <comment ref="BDR2" authorId="0">
      <text>
        <r>
          <rPr>
            <b/>
            <sz val="9"/>
            <color indexed="81"/>
            <rFont val="Tahoma"/>
            <family val="2"/>
          </rPr>
          <t>Ingrid Malmgren:</t>
        </r>
        <r>
          <rPr>
            <sz val="9"/>
            <color indexed="81"/>
            <rFont val="Tahoma"/>
            <family val="2"/>
          </rPr>
          <t xml:space="preserve">
prescriptive rebate program</t>
        </r>
      </text>
    </comment>
    <comment ref="BDS2" authorId="0">
      <text>
        <r>
          <rPr>
            <b/>
            <sz val="9"/>
            <color indexed="81"/>
            <rFont val="Tahoma"/>
            <family val="2"/>
          </rPr>
          <t>Ingrid Malmgren:</t>
        </r>
        <r>
          <rPr>
            <sz val="9"/>
            <color indexed="81"/>
            <rFont val="Tahoma"/>
            <family val="2"/>
          </rPr>
          <t xml:space="preserve">
prescriptive rebate program</t>
        </r>
      </text>
    </comment>
    <comment ref="BDT2" authorId="0">
      <text>
        <r>
          <rPr>
            <b/>
            <sz val="9"/>
            <color indexed="81"/>
            <rFont val="Tahoma"/>
            <family val="2"/>
          </rPr>
          <t>Ingrid Malmgren:</t>
        </r>
        <r>
          <rPr>
            <sz val="9"/>
            <color indexed="81"/>
            <rFont val="Tahoma"/>
            <family val="2"/>
          </rPr>
          <t xml:space="preserve">
prescriptive rebate program</t>
        </r>
      </text>
    </comment>
    <comment ref="BDU2" authorId="0">
      <text>
        <r>
          <rPr>
            <b/>
            <sz val="9"/>
            <color indexed="81"/>
            <rFont val="Tahoma"/>
            <family val="2"/>
          </rPr>
          <t>Ingrid Malmgren:</t>
        </r>
        <r>
          <rPr>
            <sz val="9"/>
            <color indexed="81"/>
            <rFont val="Tahoma"/>
            <family val="2"/>
          </rPr>
          <t xml:space="preserve">
prescriptive rebate program</t>
        </r>
      </text>
    </comment>
    <comment ref="BDV2" authorId="0">
      <text>
        <r>
          <rPr>
            <b/>
            <sz val="9"/>
            <color indexed="81"/>
            <rFont val="Tahoma"/>
            <family val="2"/>
          </rPr>
          <t>Ingrid Malmgren:</t>
        </r>
        <r>
          <rPr>
            <sz val="9"/>
            <color indexed="81"/>
            <rFont val="Tahoma"/>
            <family val="2"/>
          </rPr>
          <t xml:space="preserve">
prescriptive rebate program</t>
        </r>
      </text>
    </comment>
    <comment ref="BDW2" authorId="0">
      <text>
        <r>
          <rPr>
            <b/>
            <sz val="9"/>
            <color indexed="81"/>
            <rFont val="Tahoma"/>
            <family val="2"/>
          </rPr>
          <t>Ingrid Malmgren:</t>
        </r>
        <r>
          <rPr>
            <sz val="9"/>
            <color indexed="81"/>
            <rFont val="Tahoma"/>
            <family val="2"/>
          </rPr>
          <t xml:space="preserve">
prescriptive rebate program</t>
        </r>
      </text>
    </comment>
    <comment ref="BDX2" authorId="0">
      <text>
        <r>
          <rPr>
            <b/>
            <sz val="9"/>
            <color indexed="81"/>
            <rFont val="Tahoma"/>
            <family val="2"/>
          </rPr>
          <t>Ingrid Malmgren:</t>
        </r>
        <r>
          <rPr>
            <sz val="9"/>
            <color indexed="81"/>
            <rFont val="Tahoma"/>
            <family val="2"/>
          </rPr>
          <t xml:space="preserve">
prescriptive rebate program</t>
        </r>
      </text>
    </comment>
    <comment ref="BDY2" authorId="0">
      <text>
        <r>
          <rPr>
            <b/>
            <sz val="9"/>
            <color indexed="81"/>
            <rFont val="Tahoma"/>
            <family val="2"/>
          </rPr>
          <t>Ingrid Malmgren:</t>
        </r>
        <r>
          <rPr>
            <sz val="9"/>
            <color indexed="81"/>
            <rFont val="Tahoma"/>
            <family val="2"/>
          </rPr>
          <t xml:space="preserve">
prescriptive rebate program</t>
        </r>
      </text>
    </comment>
    <comment ref="BDZ2" authorId="0">
      <text>
        <r>
          <rPr>
            <b/>
            <sz val="9"/>
            <color indexed="81"/>
            <rFont val="Tahoma"/>
            <family val="2"/>
          </rPr>
          <t>Ingrid Malmgren:</t>
        </r>
        <r>
          <rPr>
            <sz val="9"/>
            <color indexed="81"/>
            <rFont val="Tahoma"/>
            <family val="2"/>
          </rPr>
          <t xml:space="preserve">
prescriptive rebate program</t>
        </r>
      </text>
    </comment>
    <comment ref="BEA2" authorId="0">
      <text>
        <r>
          <rPr>
            <b/>
            <sz val="9"/>
            <color indexed="81"/>
            <rFont val="Tahoma"/>
            <family val="2"/>
          </rPr>
          <t>Ingrid Malmgren:</t>
        </r>
        <r>
          <rPr>
            <sz val="9"/>
            <color indexed="81"/>
            <rFont val="Tahoma"/>
            <family val="2"/>
          </rPr>
          <t xml:space="preserve">
prescriptive rebate program</t>
        </r>
      </text>
    </comment>
    <comment ref="BEB2" authorId="0">
      <text>
        <r>
          <rPr>
            <b/>
            <sz val="9"/>
            <color indexed="81"/>
            <rFont val="Tahoma"/>
            <family val="2"/>
          </rPr>
          <t>Ingrid Malmgren:</t>
        </r>
        <r>
          <rPr>
            <sz val="9"/>
            <color indexed="81"/>
            <rFont val="Tahoma"/>
            <family val="2"/>
          </rPr>
          <t xml:space="preserve">
prescriptive rebate program</t>
        </r>
      </text>
    </comment>
    <comment ref="BEC2" authorId="0">
      <text>
        <r>
          <rPr>
            <b/>
            <sz val="9"/>
            <color indexed="81"/>
            <rFont val="Tahoma"/>
            <family val="2"/>
          </rPr>
          <t>Ingrid Malmgren:</t>
        </r>
        <r>
          <rPr>
            <sz val="9"/>
            <color indexed="81"/>
            <rFont val="Tahoma"/>
            <family val="2"/>
          </rPr>
          <t xml:space="preserve">
prescriptive rebate program</t>
        </r>
      </text>
    </comment>
    <comment ref="BED2" authorId="0">
      <text>
        <r>
          <rPr>
            <b/>
            <sz val="9"/>
            <color indexed="81"/>
            <rFont val="Tahoma"/>
            <family val="2"/>
          </rPr>
          <t>Ingrid Malmgren:</t>
        </r>
        <r>
          <rPr>
            <sz val="9"/>
            <color indexed="81"/>
            <rFont val="Tahoma"/>
            <family val="2"/>
          </rPr>
          <t xml:space="preserve">
prescriptive rebate program</t>
        </r>
      </text>
    </comment>
    <comment ref="BEE2" authorId="0">
      <text>
        <r>
          <rPr>
            <b/>
            <sz val="9"/>
            <color indexed="81"/>
            <rFont val="Tahoma"/>
            <family val="2"/>
          </rPr>
          <t>Ingrid Malmgren:</t>
        </r>
        <r>
          <rPr>
            <sz val="9"/>
            <color indexed="81"/>
            <rFont val="Tahoma"/>
            <family val="2"/>
          </rPr>
          <t xml:space="preserve">
prescriptive rebate program</t>
        </r>
      </text>
    </comment>
    <comment ref="BEF2" authorId="0">
      <text>
        <r>
          <rPr>
            <b/>
            <sz val="9"/>
            <color indexed="81"/>
            <rFont val="Tahoma"/>
            <family val="2"/>
          </rPr>
          <t>Ingrid Malmgren:</t>
        </r>
        <r>
          <rPr>
            <sz val="9"/>
            <color indexed="81"/>
            <rFont val="Tahoma"/>
            <family val="2"/>
          </rPr>
          <t xml:space="preserve">
prescriptive rebate program</t>
        </r>
      </text>
    </comment>
    <comment ref="BEG2" authorId="0">
      <text>
        <r>
          <rPr>
            <b/>
            <sz val="9"/>
            <color indexed="81"/>
            <rFont val="Tahoma"/>
            <family val="2"/>
          </rPr>
          <t>Ingrid Malmgren:</t>
        </r>
        <r>
          <rPr>
            <sz val="9"/>
            <color indexed="81"/>
            <rFont val="Tahoma"/>
            <family val="2"/>
          </rPr>
          <t xml:space="preserve">
prescriptive rebate program</t>
        </r>
      </text>
    </comment>
    <comment ref="BEH2" authorId="0">
      <text>
        <r>
          <rPr>
            <b/>
            <sz val="9"/>
            <color indexed="81"/>
            <rFont val="Tahoma"/>
            <family val="2"/>
          </rPr>
          <t>Ingrid Malmgren:</t>
        </r>
        <r>
          <rPr>
            <sz val="9"/>
            <color indexed="81"/>
            <rFont val="Tahoma"/>
            <family val="2"/>
          </rPr>
          <t xml:space="preserve">
prescriptive rebate program</t>
        </r>
      </text>
    </comment>
    <comment ref="BEI2" authorId="0">
      <text>
        <r>
          <rPr>
            <b/>
            <sz val="9"/>
            <color indexed="81"/>
            <rFont val="Tahoma"/>
            <family val="2"/>
          </rPr>
          <t>Ingrid Malmgren:</t>
        </r>
        <r>
          <rPr>
            <sz val="9"/>
            <color indexed="81"/>
            <rFont val="Tahoma"/>
            <family val="2"/>
          </rPr>
          <t xml:space="preserve">
prescriptive rebate program</t>
        </r>
      </text>
    </comment>
    <comment ref="BEJ2" authorId="0">
      <text>
        <r>
          <rPr>
            <b/>
            <sz val="9"/>
            <color indexed="81"/>
            <rFont val="Tahoma"/>
            <family val="2"/>
          </rPr>
          <t>Ingrid Malmgren:</t>
        </r>
        <r>
          <rPr>
            <sz val="9"/>
            <color indexed="81"/>
            <rFont val="Tahoma"/>
            <family val="2"/>
          </rPr>
          <t xml:space="preserve">
prescriptive rebate program</t>
        </r>
      </text>
    </comment>
    <comment ref="BEK2" authorId="0">
      <text>
        <r>
          <rPr>
            <b/>
            <sz val="9"/>
            <color indexed="81"/>
            <rFont val="Tahoma"/>
            <family val="2"/>
          </rPr>
          <t>Ingrid Malmgren:</t>
        </r>
        <r>
          <rPr>
            <sz val="9"/>
            <color indexed="81"/>
            <rFont val="Tahoma"/>
            <family val="2"/>
          </rPr>
          <t xml:space="preserve">
prescriptive rebate program</t>
        </r>
      </text>
    </comment>
    <comment ref="BEL2" authorId="0">
      <text>
        <r>
          <rPr>
            <b/>
            <sz val="9"/>
            <color indexed="81"/>
            <rFont val="Tahoma"/>
            <family val="2"/>
          </rPr>
          <t>Ingrid Malmgren:</t>
        </r>
        <r>
          <rPr>
            <sz val="9"/>
            <color indexed="81"/>
            <rFont val="Tahoma"/>
            <family val="2"/>
          </rPr>
          <t xml:space="preserve">
prescriptive rebate program</t>
        </r>
      </text>
    </comment>
    <comment ref="BEM2" authorId="0">
      <text>
        <r>
          <rPr>
            <b/>
            <sz val="9"/>
            <color indexed="81"/>
            <rFont val="Tahoma"/>
            <family val="2"/>
          </rPr>
          <t>Ingrid Malmgren:</t>
        </r>
        <r>
          <rPr>
            <sz val="9"/>
            <color indexed="81"/>
            <rFont val="Tahoma"/>
            <family val="2"/>
          </rPr>
          <t xml:space="preserve">
prescriptive rebate program</t>
        </r>
      </text>
    </comment>
    <comment ref="BEN2" authorId="0">
      <text>
        <r>
          <rPr>
            <b/>
            <sz val="9"/>
            <color indexed="81"/>
            <rFont val="Tahoma"/>
            <family val="2"/>
          </rPr>
          <t>Ingrid Malmgren:</t>
        </r>
        <r>
          <rPr>
            <sz val="9"/>
            <color indexed="81"/>
            <rFont val="Tahoma"/>
            <family val="2"/>
          </rPr>
          <t xml:space="preserve">
prescriptive rebate program</t>
        </r>
      </text>
    </comment>
    <comment ref="BEO2" authorId="0">
      <text>
        <r>
          <rPr>
            <b/>
            <sz val="9"/>
            <color indexed="81"/>
            <rFont val="Tahoma"/>
            <family val="2"/>
          </rPr>
          <t>Ingrid Malmgren:</t>
        </r>
        <r>
          <rPr>
            <sz val="9"/>
            <color indexed="81"/>
            <rFont val="Tahoma"/>
            <family val="2"/>
          </rPr>
          <t xml:space="preserve">
prescriptive rebate program</t>
        </r>
      </text>
    </comment>
    <comment ref="BEP2" authorId="0">
      <text>
        <r>
          <rPr>
            <b/>
            <sz val="9"/>
            <color indexed="81"/>
            <rFont val="Tahoma"/>
            <family val="2"/>
          </rPr>
          <t>Ingrid Malmgren:</t>
        </r>
        <r>
          <rPr>
            <sz val="9"/>
            <color indexed="81"/>
            <rFont val="Tahoma"/>
            <family val="2"/>
          </rPr>
          <t xml:space="preserve">
prescriptive rebate program</t>
        </r>
      </text>
    </comment>
    <comment ref="BEQ2" authorId="0">
      <text>
        <r>
          <rPr>
            <b/>
            <sz val="9"/>
            <color indexed="81"/>
            <rFont val="Tahoma"/>
            <family val="2"/>
          </rPr>
          <t>Ingrid Malmgren:</t>
        </r>
        <r>
          <rPr>
            <sz val="9"/>
            <color indexed="81"/>
            <rFont val="Tahoma"/>
            <family val="2"/>
          </rPr>
          <t xml:space="preserve">
prescriptive rebate program</t>
        </r>
      </text>
    </comment>
    <comment ref="BER2" authorId="0">
      <text>
        <r>
          <rPr>
            <b/>
            <sz val="9"/>
            <color indexed="81"/>
            <rFont val="Tahoma"/>
            <family val="2"/>
          </rPr>
          <t>Ingrid Malmgren:</t>
        </r>
        <r>
          <rPr>
            <sz val="9"/>
            <color indexed="81"/>
            <rFont val="Tahoma"/>
            <family val="2"/>
          </rPr>
          <t xml:space="preserve">
prescriptive rebate program</t>
        </r>
      </text>
    </comment>
    <comment ref="BES2" authorId="0">
      <text>
        <r>
          <rPr>
            <b/>
            <sz val="9"/>
            <color indexed="81"/>
            <rFont val="Tahoma"/>
            <family val="2"/>
          </rPr>
          <t>Ingrid Malmgren:</t>
        </r>
        <r>
          <rPr>
            <sz val="9"/>
            <color indexed="81"/>
            <rFont val="Tahoma"/>
            <family val="2"/>
          </rPr>
          <t xml:space="preserve">
prescriptive rebate program</t>
        </r>
      </text>
    </comment>
    <comment ref="BET2" authorId="0">
      <text>
        <r>
          <rPr>
            <b/>
            <sz val="9"/>
            <color indexed="81"/>
            <rFont val="Tahoma"/>
            <family val="2"/>
          </rPr>
          <t>Ingrid Malmgren:</t>
        </r>
        <r>
          <rPr>
            <sz val="9"/>
            <color indexed="81"/>
            <rFont val="Tahoma"/>
            <family val="2"/>
          </rPr>
          <t xml:space="preserve">
prescriptive rebate program</t>
        </r>
      </text>
    </comment>
    <comment ref="BEU2" authorId="0">
      <text>
        <r>
          <rPr>
            <b/>
            <sz val="9"/>
            <color indexed="81"/>
            <rFont val="Tahoma"/>
            <family val="2"/>
          </rPr>
          <t>Ingrid Malmgren:</t>
        </r>
        <r>
          <rPr>
            <sz val="9"/>
            <color indexed="81"/>
            <rFont val="Tahoma"/>
            <family val="2"/>
          </rPr>
          <t xml:space="preserve">
prescriptive rebate program</t>
        </r>
      </text>
    </comment>
    <comment ref="BEV2" authorId="0">
      <text>
        <r>
          <rPr>
            <b/>
            <sz val="9"/>
            <color indexed="81"/>
            <rFont val="Tahoma"/>
            <family val="2"/>
          </rPr>
          <t>Ingrid Malmgren:</t>
        </r>
        <r>
          <rPr>
            <sz val="9"/>
            <color indexed="81"/>
            <rFont val="Tahoma"/>
            <family val="2"/>
          </rPr>
          <t xml:space="preserve">
prescriptive rebate program</t>
        </r>
      </text>
    </comment>
    <comment ref="BEW2" authorId="0">
      <text>
        <r>
          <rPr>
            <b/>
            <sz val="9"/>
            <color indexed="81"/>
            <rFont val="Tahoma"/>
            <family val="2"/>
          </rPr>
          <t>Ingrid Malmgren:</t>
        </r>
        <r>
          <rPr>
            <sz val="9"/>
            <color indexed="81"/>
            <rFont val="Tahoma"/>
            <family val="2"/>
          </rPr>
          <t xml:space="preserve">
prescriptive rebate program</t>
        </r>
      </text>
    </comment>
    <comment ref="BEX2" authorId="0">
      <text>
        <r>
          <rPr>
            <b/>
            <sz val="9"/>
            <color indexed="81"/>
            <rFont val="Tahoma"/>
            <family val="2"/>
          </rPr>
          <t>Ingrid Malmgren:</t>
        </r>
        <r>
          <rPr>
            <sz val="9"/>
            <color indexed="81"/>
            <rFont val="Tahoma"/>
            <family val="2"/>
          </rPr>
          <t xml:space="preserve">
prescriptive rebate program</t>
        </r>
      </text>
    </comment>
    <comment ref="BEY2" authorId="0">
      <text>
        <r>
          <rPr>
            <b/>
            <sz val="9"/>
            <color indexed="81"/>
            <rFont val="Tahoma"/>
            <family val="2"/>
          </rPr>
          <t>Ingrid Malmgren:</t>
        </r>
        <r>
          <rPr>
            <sz val="9"/>
            <color indexed="81"/>
            <rFont val="Tahoma"/>
            <family val="2"/>
          </rPr>
          <t xml:space="preserve">
prescriptive rebate program</t>
        </r>
      </text>
    </comment>
    <comment ref="BEZ2" authorId="0">
      <text>
        <r>
          <rPr>
            <b/>
            <sz val="9"/>
            <color indexed="81"/>
            <rFont val="Tahoma"/>
            <family val="2"/>
          </rPr>
          <t>Ingrid Malmgren:</t>
        </r>
        <r>
          <rPr>
            <sz val="9"/>
            <color indexed="81"/>
            <rFont val="Tahoma"/>
            <family val="2"/>
          </rPr>
          <t xml:space="preserve">
prescriptive rebate program</t>
        </r>
      </text>
    </comment>
    <comment ref="BFA2" authorId="0">
      <text>
        <r>
          <rPr>
            <b/>
            <sz val="9"/>
            <color indexed="81"/>
            <rFont val="Tahoma"/>
            <family val="2"/>
          </rPr>
          <t>Ingrid Malmgren:</t>
        </r>
        <r>
          <rPr>
            <sz val="9"/>
            <color indexed="81"/>
            <rFont val="Tahoma"/>
            <family val="2"/>
          </rPr>
          <t xml:space="preserve">
prescriptive rebate program</t>
        </r>
      </text>
    </comment>
    <comment ref="BFB2" authorId="0">
      <text>
        <r>
          <rPr>
            <b/>
            <sz val="9"/>
            <color indexed="81"/>
            <rFont val="Tahoma"/>
            <family val="2"/>
          </rPr>
          <t>Ingrid Malmgren:</t>
        </r>
        <r>
          <rPr>
            <sz val="9"/>
            <color indexed="81"/>
            <rFont val="Tahoma"/>
            <family val="2"/>
          </rPr>
          <t xml:space="preserve">
prescriptive rebate program</t>
        </r>
      </text>
    </comment>
    <comment ref="BFC2" authorId="0">
      <text>
        <r>
          <rPr>
            <b/>
            <sz val="9"/>
            <color indexed="81"/>
            <rFont val="Tahoma"/>
            <family val="2"/>
          </rPr>
          <t>Ingrid Malmgren:</t>
        </r>
        <r>
          <rPr>
            <sz val="9"/>
            <color indexed="81"/>
            <rFont val="Tahoma"/>
            <family val="2"/>
          </rPr>
          <t xml:space="preserve">
prescriptive rebate program</t>
        </r>
      </text>
    </comment>
    <comment ref="BFD2" authorId="0">
      <text>
        <r>
          <rPr>
            <b/>
            <sz val="9"/>
            <color indexed="81"/>
            <rFont val="Tahoma"/>
            <family val="2"/>
          </rPr>
          <t>Ingrid Malmgren:</t>
        </r>
        <r>
          <rPr>
            <sz val="9"/>
            <color indexed="81"/>
            <rFont val="Tahoma"/>
            <family val="2"/>
          </rPr>
          <t xml:space="preserve">
prescriptive rebate program</t>
        </r>
      </text>
    </comment>
    <comment ref="BFE2" authorId="0">
      <text>
        <r>
          <rPr>
            <b/>
            <sz val="9"/>
            <color indexed="81"/>
            <rFont val="Tahoma"/>
            <family val="2"/>
          </rPr>
          <t>Ingrid Malmgren:</t>
        </r>
        <r>
          <rPr>
            <sz val="9"/>
            <color indexed="81"/>
            <rFont val="Tahoma"/>
            <family val="2"/>
          </rPr>
          <t xml:space="preserve">
prescriptive rebate program</t>
        </r>
      </text>
    </comment>
    <comment ref="BFF2" authorId="0">
      <text>
        <r>
          <rPr>
            <b/>
            <sz val="9"/>
            <color indexed="81"/>
            <rFont val="Tahoma"/>
            <family val="2"/>
          </rPr>
          <t>Ingrid Malmgren:</t>
        </r>
        <r>
          <rPr>
            <sz val="9"/>
            <color indexed="81"/>
            <rFont val="Tahoma"/>
            <family val="2"/>
          </rPr>
          <t xml:space="preserve">
prescriptive rebate program</t>
        </r>
      </text>
    </comment>
    <comment ref="BFG2" authorId="0">
      <text>
        <r>
          <rPr>
            <b/>
            <sz val="9"/>
            <color indexed="81"/>
            <rFont val="Tahoma"/>
            <family val="2"/>
          </rPr>
          <t>Ingrid Malmgren:</t>
        </r>
        <r>
          <rPr>
            <sz val="9"/>
            <color indexed="81"/>
            <rFont val="Tahoma"/>
            <family val="2"/>
          </rPr>
          <t xml:space="preserve">
prescriptive rebate program</t>
        </r>
      </text>
    </comment>
    <comment ref="BFH2" authorId="0">
      <text>
        <r>
          <rPr>
            <b/>
            <sz val="9"/>
            <color indexed="81"/>
            <rFont val="Tahoma"/>
            <family val="2"/>
          </rPr>
          <t>Ingrid Malmgren:</t>
        </r>
        <r>
          <rPr>
            <sz val="9"/>
            <color indexed="81"/>
            <rFont val="Tahoma"/>
            <family val="2"/>
          </rPr>
          <t xml:space="preserve">
prescriptive rebate program</t>
        </r>
      </text>
    </comment>
    <comment ref="BFI2" authorId="0">
      <text>
        <r>
          <rPr>
            <b/>
            <sz val="9"/>
            <color indexed="81"/>
            <rFont val="Tahoma"/>
            <family val="2"/>
          </rPr>
          <t>Ingrid Malmgren:</t>
        </r>
        <r>
          <rPr>
            <sz val="9"/>
            <color indexed="81"/>
            <rFont val="Tahoma"/>
            <family val="2"/>
          </rPr>
          <t xml:space="preserve">
prescriptive rebate program</t>
        </r>
      </text>
    </comment>
    <comment ref="BFJ2" authorId="0">
      <text>
        <r>
          <rPr>
            <b/>
            <sz val="9"/>
            <color indexed="81"/>
            <rFont val="Tahoma"/>
            <family val="2"/>
          </rPr>
          <t>Ingrid Malmgren:</t>
        </r>
        <r>
          <rPr>
            <sz val="9"/>
            <color indexed="81"/>
            <rFont val="Tahoma"/>
            <family val="2"/>
          </rPr>
          <t xml:space="preserve">
prescriptive rebate program</t>
        </r>
      </text>
    </comment>
    <comment ref="BFK2" authorId="0">
      <text>
        <r>
          <rPr>
            <b/>
            <sz val="9"/>
            <color indexed="81"/>
            <rFont val="Tahoma"/>
            <family val="2"/>
          </rPr>
          <t>Ingrid Malmgren:</t>
        </r>
        <r>
          <rPr>
            <sz val="9"/>
            <color indexed="81"/>
            <rFont val="Tahoma"/>
            <family val="2"/>
          </rPr>
          <t xml:space="preserve">
prescriptive rebate program</t>
        </r>
      </text>
    </comment>
    <comment ref="BFL2" authorId="0">
      <text>
        <r>
          <rPr>
            <b/>
            <sz val="9"/>
            <color indexed="81"/>
            <rFont val="Tahoma"/>
            <family val="2"/>
          </rPr>
          <t>Ingrid Malmgren:</t>
        </r>
        <r>
          <rPr>
            <sz val="9"/>
            <color indexed="81"/>
            <rFont val="Tahoma"/>
            <family val="2"/>
          </rPr>
          <t xml:space="preserve">
prescriptive rebate program</t>
        </r>
      </text>
    </comment>
    <comment ref="BFM2" authorId="0">
      <text>
        <r>
          <rPr>
            <b/>
            <sz val="9"/>
            <color indexed="81"/>
            <rFont val="Tahoma"/>
            <family val="2"/>
          </rPr>
          <t>Ingrid Malmgren:</t>
        </r>
        <r>
          <rPr>
            <sz val="9"/>
            <color indexed="81"/>
            <rFont val="Tahoma"/>
            <family val="2"/>
          </rPr>
          <t xml:space="preserve">
prescriptive rebate program</t>
        </r>
      </text>
    </comment>
    <comment ref="BFN2" authorId="0">
      <text>
        <r>
          <rPr>
            <b/>
            <sz val="9"/>
            <color indexed="81"/>
            <rFont val="Tahoma"/>
            <family val="2"/>
          </rPr>
          <t>Ingrid Malmgren:</t>
        </r>
        <r>
          <rPr>
            <sz val="9"/>
            <color indexed="81"/>
            <rFont val="Tahoma"/>
            <family val="2"/>
          </rPr>
          <t xml:space="preserve">
prescriptive rebate program</t>
        </r>
      </text>
    </comment>
    <comment ref="BFO2" authorId="0">
      <text>
        <r>
          <rPr>
            <b/>
            <sz val="9"/>
            <color indexed="81"/>
            <rFont val="Tahoma"/>
            <family val="2"/>
          </rPr>
          <t>Ingrid Malmgren:</t>
        </r>
        <r>
          <rPr>
            <sz val="9"/>
            <color indexed="81"/>
            <rFont val="Tahoma"/>
            <family val="2"/>
          </rPr>
          <t xml:space="preserve">
prescriptive rebate program</t>
        </r>
      </text>
    </comment>
    <comment ref="BFP2" authorId="0">
      <text>
        <r>
          <rPr>
            <b/>
            <sz val="9"/>
            <color indexed="81"/>
            <rFont val="Tahoma"/>
            <family val="2"/>
          </rPr>
          <t>Ingrid Malmgren:</t>
        </r>
        <r>
          <rPr>
            <sz val="9"/>
            <color indexed="81"/>
            <rFont val="Tahoma"/>
            <family val="2"/>
          </rPr>
          <t xml:space="preserve">
prescriptive rebate program</t>
        </r>
      </text>
    </comment>
    <comment ref="BFQ2" authorId="0">
      <text>
        <r>
          <rPr>
            <b/>
            <sz val="9"/>
            <color indexed="81"/>
            <rFont val="Tahoma"/>
            <family val="2"/>
          </rPr>
          <t>Ingrid Malmgren:</t>
        </r>
        <r>
          <rPr>
            <sz val="9"/>
            <color indexed="81"/>
            <rFont val="Tahoma"/>
            <family val="2"/>
          </rPr>
          <t xml:space="preserve">
prescriptive rebate program</t>
        </r>
      </text>
    </comment>
    <comment ref="BFR2" authorId="0">
      <text>
        <r>
          <rPr>
            <b/>
            <sz val="9"/>
            <color indexed="81"/>
            <rFont val="Tahoma"/>
            <family val="2"/>
          </rPr>
          <t>Ingrid Malmgren:</t>
        </r>
        <r>
          <rPr>
            <sz val="9"/>
            <color indexed="81"/>
            <rFont val="Tahoma"/>
            <family val="2"/>
          </rPr>
          <t xml:space="preserve">
prescriptive rebate program</t>
        </r>
      </text>
    </comment>
    <comment ref="BFS2" authorId="0">
      <text>
        <r>
          <rPr>
            <b/>
            <sz val="9"/>
            <color indexed="81"/>
            <rFont val="Tahoma"/>
            <family val="2"/>
          </rPr>
          <t>Ingrid Malmgren:</t>
        </r>
        <r>
          <rPr>
            <sz val="9"/>
            <color indexed="81"/>
            <rFont val="Tahoma"/>
            <family val="2"/>
          </rPr>
          <t xml:space="preserve">
prescriptive rebate program</t>
        </r>
      </text>
    </comment>
    <comment ref="BFT2" authorId="0">
      <text>
        <r>
          <rPr>
            <b/>
            <sz val="9"/>
            <color indexed="81"/>
            <rFont val="Tahoma"/>
            <family val="2"/>
          </rPr>
          <t>Ingrid Malmgren:</t>
        </r>
        <r>
          <rPr>
            <sz val="9"/>
            <color indexed="81"/>
            <rFont val="Tahoma"/>
            <family val="2"/>
          </rPr>
          <t xml:space="preserve">
prescriptive rebate program</t>
        </r>
      </text>
    </comment>
    <comment ref="BFU2" authorId="0">
      <text>
        <r>
          <rPr>
            <b/>
            <sz val="9"/>
            <color indexed="81"/>
            <rFont val="Tahoma"/>
            <family val="2"/>
          </rPr>
          <t>Ingrid Malmgren:</t>
        </r>
        <r>
          <rPr>
            <sz val="9"/>
            <color indexed="81"/>
            <rFont val="Tahoma"/>
            <family val="2"/>
          </rPr>
          <t xml:space="preserve">
prescriptive rebate program</t>
        </r>
      </text>
    </comment>
    <comment ref="BFV2" authorId="0">
      <text>
        <r>
          <rPr>
            <b/>
            <sz val="9"/>
            <color indexed="81"/>
            <rFont val="Tahoma"/>
            <family val="2"/>
          </rPr>
          <t>Ingrid Malmgren:</t>
        </r>
        <r>
          <rPr>
            <sz val="9"/>
            <color indexed="81"/>
            <rFont val="Tahoma"/>
            <family val="2"/>
          </rPr>
          <t xml:space="preserve">
prescriptive rebate program</t>
        </r>
      </text>
    </comment>
    <comment ref="BFW2" authorId="0">
      <text>
        <r>
          <rPr>
            <b/>
            <sz val="9"/>
            <color indexed="81"/>
            <rFont val="Tahoma"/>
            <family val="2"/>
          </rPr>
          <t>Ingrid Malmgren:</t>
        </r>
        <r>
          <rPr>
            <sz val="9"/>
            <color indexed="81"/>
            <rFont val="Tahoma"/>
            <family val="2"/>
          </rPr>
          <t xml:space="preserve">
prescriptive rebate program</t>
        </r>
      </text>
    </comment>
    <comment ref="BFX2" authorId="0">
      <text>
        <r>
          <rPr>
            <b/>
            <sz val="9"/>
            <color indexed="81"/>
            <rFont val="Tahoma"/>
            <family val="2"/>
          </rPr>
          <t>Ingrid Malmgren:</t>
        </r>
        <r>
          <rPr>
            <sz val="9"/>
            <color indexed="81"/>
            <rFont val="Tahoma"/>
            <family val="2"/>
          </rPr>
          <t xml:space="preserve">
prescriptive rebate program</t>
        </r>
      </text>
    </comment>
    <comment ref="BFY2" authorId="0">
      <text>
        <r>
          <rPr>
            <b/>
            <sz val="9"/>
            <color indexed="81"/>
            <rFont val="Tahoma"/>
            <family val="2"/>
          </rPr>
          <t>Ingrid Malmgren:</t>
        </r>
        <r>
          <rPr>
            <sz val="9"/>
            <color indexed="81"/>
            <rFont val="Tahoma"/>
            <family val="2"/>
          </rPr>
          <t xml:space="preserve">
prescriptive rebate program</t>
        </r>
      </text>
    </comment>
    <comment ref="BFZ2" authorId="0">
      <text>
        <r>
          <rPr>
            <b/>
            <sz val="9"/>
            <color indexed="81"/>
            <rFont val="Tahoma"/>
            <family val="2"/>
          </rPr>
          <t>Ingrid Malmgren:</t>
        </r>
        <r>
          <rPr>
            <sz val="9"/>
            <color indexed="81"/>
            <rFont val="Tahoma"/>
            <family val="2"/>
          </rPr>
          <t xml:space="preserve">
prescriptive rebate program</t>
        </r>
      </text>
    </comment>
    <comment ref="BGA2" authorId="0">
      <text>
        <r>
          <rPr>
            <b/>
            <sz val="9"/>
            <color indexed="81"/>
            <rFont val="Tahoma"/>
            <family val="2"/>
          </rPr>
          <t>Ingrid Malmgren:</t>
        </r>
        <r>
          <rPr>
            <sz val="9"/>
            <color indexed="81"/>
            <rFont val="Tahoma"/>
            <family val="2"/>
          </rPr>
          <t xml:space="preserve">
prescriptive rebate program</t>
        </r>
      </text>
    </comment>
    <comment ref="BGB2" authorId="0">
      <text>
        <r>
          <rPr>
            <b/>
            <sz val="9"/>
            <color indexed="81"/>
            <rFont val="Tahoma"/>
            <family val="2"/>
          </rPr>
          <t>Ingrid Malmgren:</t>
        </r>
        <r>
          <rPr>
            <sz val="9"/>
            <color indexed="81"/>
            <rFont val="Tahoma"/>
            <family val="2"/>
          </rPr>
          <t xml:space="preserve">
prescriptive rebate program</t>
        </r>
      </text>
    </comment>
    <comment ref="BGC2" authorId="0">
      <text>
        <r>
          <rPr>
            <b/>
            <sz val="9"/>
            <color indexed="81"/>
            <rFont val="Tahoma"/>
            <family val="2"/>
          </rPr>
          <t>Ingrid Malmgren:</t>
        </r>
        <r>
          <rPr>
            <sz val="9"/>
            <color indexed="81"/>
            <rFont val="Tahoma"/>
            <family val="2"/>
          </rPr>
          <t xml:space="preserve">
prescriptive rebate program</t>
        </r>
      </text>
    </comment>
    <comment ref="BGD2" authorId="0">
      <text>
        <r>
          <rPr>
            <b/>
            <sz val="9"/>
            <color indexed="81"/>
            <rFont val="Tahoma"/>
            <family val="2"/>
          </rPr>
          <t>Ingrid Malmgren:</t>
        </r>
        <r>
          <rPr>
            <sz val="9"/>
            <color indexed="81"/>
            <rFont val="Tahoma"/>
            <family val="2"/>
          </rPr>
          <t xml:space="preserve">
prescriptive rebate program</t>
        </r>
      </text>
    </comment>
    <comment ref="BGE2" authorId="0">
      <text>
        <r>
          <rPr>
            <b/>
            <sz val="9"/>
            <color indexed="81"/>
            <rFont val="Tahoma"/>
            <family val="2"/>
          </rPr>
          <t>Ingrid Malmgren:</t>
        </r>
        <r>
          <rPr>
            <sz val="9"/>
            <color indexed="81"/>
            <rFont val="Tahoma"/>
            <family val="2"/>
          </rPr>
          <t xml:space="preserve">
prescriptive rebate program</t>
        </r>
      </text>
    </comment>
    <comment ref="BGF2" authorId="0">
      <text>
        <r>
          <rPr>
            <b/>
            <sz val="9"/>
            <color indexed="81"/>
            <rFont val="Tahoma"/>
            <family val="2"/>
          </rPr>
          <t>Ingrid Malmgren:</t>
        </r>
        <r>
          <rPr>
            <sz val="9"/>
            <color indexed="81"/>
            <rFont val="Tahoma"/>
            <family val="2"/>
          </rPr>
          <t xml:space="preserve">
prescriptive rebate program</t>
        </r>
      </text>
    </comment>
    <comment ref="BGG2" authorId="0">
      <text>
        <r>
          <rPr>
            <b/>
            <sz val="9"/>
            <color indexed="81"/>
            <rFont val="Tahoma"/>
            <family val="2"/>
          </rPr>
          <t>Ingrid Malmgren:</t>
        </r>
        <r>
          <rPr>
            <sz val="9"/>
            <color indexed="81"/>
            <rFont val="Tahoma"/>
            <family val="2"/>
          </rPr>
          <t xml:space="preserve">
prescriptive rebate program</t>
        </r>
      </text>
    </comment>
    <comment ref="BGH2" authorId="0">
      <text>
        <r>
          <rPr>
            <b/>
            <sz val="9"/>
            <color indexed="81"/>
            <rFont val="Tahoma"/>
            <family val="2"/>
          </rPr>
          <t>Ingrid Malmgren:</t>
        </r>
        <r>
          <rPr>
            <sz val="9"/>
            <color indexed="81"/>
            <rFont val="Tahoma"/>
            <family val="2"/>
          </rPr>
          <t xml:space="preserve">
prescriptive rebate program</t>
        </r>
      </text>
    </comment>
    <comment ref="BGI2" authorId="0">
      <text>
        <r>
          <rPr>
            <b/>
            <sz val="9"/>
            <color indexed="81"/>
            <rFont val="Tahoma"/>
            <family val="2"/>
          </rPr>
          <t>Ingrid Malmgren:</t>
        </r>
        <r>
          <rPr>
            <sz val="9"/>
            <color indexed="81"/>
            <rFont val="Tahoma"/>
            <family val="2"/>
          </rPr>
          <t xml:space="preserve">
prescriptive rebate program</t>
        </r>
      </text>
    </comment>
    <comment ref="BGJ2" authorId="0">
      <text>
        <r>
          <rPr>
            <b/>
            <sz val="9"/>
            <color indexed="81"/>
            <rFont val="Tahoma"/>
            <family val="2"/>
          </rPr>
          <t>Ingrid Malmgren:</t>
        </r>
        <r>
          <rPr>
            <sz val="9"/>
            <color indexed="81"/>
            <rFont val="Tahoma"/>
            <family val="2"/>
          </rPr>
          <t xml:space="preserve">
prescriptive rebate program</t>
        </r>
      </text>
    </comment>
    <comment ref="BGK2" authorId="0">
      <text>
        <r>
          <rPr>
            <b/>
            <sz val="9"/>
            <color indexed="81"/>
            <rFont val="Tahoma"/>
            <family val="2"/>
          </rPr>
          <t>Ingrid Malmgren:</t>
        </r>
        <r>
          <rPr>
            <sz val="9"/>
            <color indexed="81"/>
            <rFont val="Tahoma"/>
            <family val="2"/>
          </rPr>
          <t xml:space="preserve">
prescriptive rebate program</t>
        </r>
      </text>
    </comment>
    <comment ref="BGL2" authorId="0">
      <text>
        <r>
          <rPr>
            <b/>
            <sz val="9"/>
            <color indexed="81"/>
            <rFont val="Tahoma"/>
            <family val="2"/>
          </rPr>
          <t>Ingrid Malmgren:</t>
        </r>
        <r>
          <rPr>
            <sz val="9"/>
            <color indexed="81"/>
            <rFont val="Tahoma"/>
            <family val="2"/>
          </rPr>
          <t xml:space="preserve">
prescriptive rebate program</t>
        </r>
      </text>
    </comment>
    <comment ref="BGM2" authorId="0">
      <text>
        <r>
          <rPr>
            <b/>
            <sz val="9"/>
            <color indexed="81"/>
            <rFont val="Tahoma"/>
            <family val="2"/>
          </rPr>
          <t>Ingrid Malmgren:</t>
        </r>
        <r>
          <rPr>
            <sz val="9"/>
            <color indexed="81"/>
            <rFont val="Tahoma"/>
            <family val="2"/>
          </rPr>
          <t xml:space="preserve">
prescriptive rebate program</t>
        </r>
      </text>
    </comment>
    <comment ref="BGN2" authorId="0">
      <text>
        <r>
          <rPr>
            <b/>
            <sz val="9"/>
            <color indexed="81"/>
            <rFont val="Tahoma"/>
            <family val="2"/>
          </rPr>
          <t>Ingrid Malmgren:</t>
        </r>
        <r>
          <rPr>
            <sz val="9"/>
            <color indexed="81"/>
            <rFont val="Tahoma"/>
            <family val="2"/>
          </rPr>
          <t xml:space="preserve">
prescriptive rebate program</t>
        </r>
      </text>
    </comment>
    <comment ref="BGO2" authorId="0">
      <text>
        <r>
          <rPr>
            <b/>
            <sz val="9"/>
            <color indexed="81"/>
            <rFont val="Tahoma"/>
            <family val="2"/>
          </rPr>
          <t>Ingrid Malmgren:</t>
        </r>
        <r>
          <rPr>
            <sz val="9"/>
            <color indexed="81"/>
            <rFont val="Tahoma"/>
            <family val="2"/>
          </rPr>
          <t xml:space="preserve">
prescriptive rebate program</t>
        </r>
      </text>
    </comment>
    <comment ref="BGP2" authorId="0">
      <text>
        <r>
          <rPr>
            <b/>
            <sz val="9"/>
            <color indexed="81"/>
            <rFont val="Tahoma"/>
            <family val="2"/>
          </rPr>
          <t>Ingrid Malmgren:</t>
        </r>
        <r>
          <rPr>
            <sz val="9"/>
            <color indexed="81"/>
            <rFont val="Tahoma"/>
            <family val="2"/>
          </rPr>
          <t xml:space="preserve">
prescriptive rebate program</t>
        </r>
      </text>
    </comment>
    <comment ref="BGQ2" authorId="0">
      <text>
        <r>
          <rPr>
            <b/>
            <sz val="9"/>
            <color indexed="81"/>
            <rFont val="Tahoma"/>
            <family val="2"/>
          </rPr>
          <t>Ingrid Malmgren:</t>
        </r>
        <r>
          <rPr>
            <sz val="9"/>
            <color indexed="81"/>
            <rFont val="Tahoma"/>
            <family val="2"/>
          </rPr>
          <t xml:space="preserve">
prescriptive rebate program</t>
        </r>
      </text>
    </comment>
    <comment ref="BGR2" authorId="0">
      <text>
        <r>
          <rPr>
            <b/>
            <sz val="9"/>
            <color indexed="81"/>
            <rFont val="Tahoma"/>
            <family val="2"/>
          </rPr>
          <t>Ingrid Malmgren:</t>
        </r>
        <r>
          <rPr>
            <sz val="9"/>
            <color indexed="81"/>
            <rFont val="Tahoma"/>
            <family val="2"/>
          </rPr>
          <t xml:space="preserve">
prescriptive rebate program</t>
        </r>
      </text>
    </comment>
    <comment ref="BGS2" authorId="0">
      <text>
        <r>
          <rPr>
            <b/>
            <sz val="9"/>
            <color indexed="81"/>
            <rFont val="Tahoma"/>
            <family val="2"/>
          </rPr>
          <t>Ingrid Malmgren:</t>
        </r>
        <r>
          <rPr>
            <sz val="9"/>
            <color indexed="81"/>
            <rFont val="Tahoma"/>
            <family val="2"/>
          </rPr>
          <t xml:space="preserve">
prescriptive rebate program</t>
        </r>
      </text>
    </comment>
    <comment ref="BGT2" authorId="0">
      <text>
        <r>
          <rPr>
            <b/>
            <sz val="9"/>
            <color indexed="81"/>
            <rFont val="Tahoma"/>
            <family val="2"/>
          </rPr>
          <t>Ingrid Malmgren:</t>
        </r>
        <r>
          <rPr>
            <sz val="9"/>
            <color indexed="81"/>
            <rFont val="Tahoma"/>
            <family val="2"/>
          </rPr>
          <t xml:space="preserve">
prescriptive rebate program</t>
        </r>
      </text>
    </comment>
    <comment ref="BGU2" authorId="0">
      <text>
        <r>
          <rPr>
            <b/>
            <sz val="9"/>
            <color indexed="81"/>
            <rFont val="Tahoma"/>
            <family val="2"/>
          </rPr>
          <t>Ingrid Malmgren:</t>
        </r>
        <r>
          <rPr>
            <sz val="9"/>
            <color indexed="81"/>
            <rFont val="Tahoma"/>
            <family val="2"/>
          </rPr>
          <t xml:space="preserve">
prescriptive rebate program</t>
        </r>
      </text>
    </comment>
    <comment ref="BGV2" authorId="0">
      <text>
        <r>
          <rPr>
            <b/>
            <sz val="9"/>
            <color indexed="81"/>
            <rFont val="Tahoma"/>
            <family val="2"/>
          </rPr>
          <t>Ingrid Malmgren:</t>
        </r>
        <r>
          <rPr>
            <sz val="9"/>
            <color indexed="81"/>
            <rFont val="Tahoma"/>
            <family val="2"/>
          </rPr>
          <t xml:space="preserve">
prescriptive rebate program</t>
        </r>
      </text>
    </comment>
    <comment ref="BGW2" authorId="0">
      <text>
        <r>
          <rPr>
            <b/>
            <sz val="9"/>
            <color indexed="81"/>
            <rFont val="Tahoma"/>
            <family val="2"/>
          </rPr>
          <t>Ingrid Malmgren:</t>
        </r>
        <r>
          <rPr>
            <sz val="9"/>
            <color indexed="81"/>
            <rFont val="Tahoma"/>
            <family val="2"/>
          </rPr>
          <t xml:space="preserve">
prescriptive rebate program</t>
        </r>
      </text>
    </comment>
    <comment ref="BGX2" authorId="0">
      <text>
        <r>
          <rPr>
            <b/>
            <sz val="9"/>
            <color indexed="81"/>
            <rFont val="Tahoma"/>
            <family val="2"/>
          </rPr>
          <t>Ingrid Malmgren:</t>
        </r>
        <r>
          <rPr>
            <sz val="9"/>
            <color indexed="81"/>
            <rFont val="Tahoma"/>
            <family val="2"/>
          </rPr>
          <t xml:space="preserve">
prescriptive rebate program</t>
        </r>
      </text>
    </comment>
    <comment ref="BGY2" authorId="0">
      <text>
        <r>
          <rPr>
            <b/>
            <sz val="9"/>
            <color indexed="81"/>
            <rFont val="Tahoma"/>
            <family val="2"/>
          </rPr>
          <t>Ingrid Malmgren:</t>
        </r>
        <r>
          <rPr>
            <sz val="9"/>
            <color indexed="81"/>
            <rFont val="Tahoma"/>
            <family val="2"/>
          </rPr>
          <t xml:space="preserve">
prescriptive rebate program</t>
        </r>
      </text>
    </comment>
    <comment ref="BGZ2" authorId="0">
      <text>
        <r>
          <rPr>
            <b/>
            <sz val="9"/>
            <color indexed="81"/>
            <rFont val="Tahoma"/>
            <family val="2"/>
          </rPr>
          <t>Ingrid Malmgren:</t>
        </r>
        <r>
          <rPr>
            <sz val="9"/>
            <color indexed="81"/>
            <rFont val="Tahoma"/>
            <family val="2"/>
          </rPr>
          <t xml:space="preserve">
prescriptive rebate program</t>
        </r>
      </text>
    </comment>
    <comment ref="BHA2" authorId="0">
      <text>
        <r>
          <rPr>
            <b/>
            <sz val="9"/>
            <color indexed="81"/>
            <rFont val="Tahoma"/>
            <family val="2"/>
          </rPr>
          <t>Ingrid Malmgren:</t>
        </r>
        <r>
          <rPr>
            <sz val="9"/>
            <color indexed="81"/>
            <rFont val="Tahoma"/>
            <family val="2"/>
          </rPr>
          <t xml:space="preserve">
prescriptive rebate program</t>
        </r>
      </text>
    </comment>
    <comment ref="BHB2" authorId="0">
      <text>
        <r>
          <rPr>
            <b/>
            <sz val="9"/>
            <color indexed="81"/>
            <rFont val="Tahoma"/>
            <family val="2"/>
          </rPr>
          <t>Ingrid Malmgren:</t>
        </r>
        <r>
          <rPr>
            <sz val="9"/>
            <color indexed="81"/>
            <rFont val="Tahoma"/>
            <family val="2"/>
          </rPr>
          <t xml:space="preserve">
prescriptive rebate program</t>
        </r>
      </text>
    </comment>
    <comment ref="BHC2" authorId="0">
      <text>
        <r>
          <rPr>
            <b/>
            <sz val="9"/>
            <color indexed="81"/>
            <rFont val="Tahoma"/>
            <family val="2"/>
          </rPr>
          <t>Ingrid Malmgren:</t>
        </r>
        <r>
          <rPr>
            <sz val="9"/>
            <color indexed="81"/>
            <rFont val="Tahoma"/>
            <family val="2"/>
          </rPr>
          <t xml:space="preserve">
prescriptive rebate program</t>
        </r>
      </text>
    </comment>
    <comment ref="BHD2" authorId="0">
      <text>
        <r>
          <rPr>
            <b/>
            <sz val="9"/>
            <color indexed="81"/>
            <rFont val="Tahoma"/>
            <family val="2"/>
          </rPr>
          <t>Ingrid Malmgren:</t>
        </r>
        <r>
          <rPr>
            <sz val="9"/>
            <color indexed="81"/>
            <rFont val="Tahoma"/>
            <family val="2"/>
          </rPr>
          <t xml:space="preserve">
prescriptive rebate program</t>
        </r>
      </text>
    </comment>
    <comment ref="BHE2" authorId="0">
      <text>
        <r>
          <rPr>
            <b/>
            <sz val="9"/>
            <color indexed="81"/>
            <rFont val="Tahoma"/>
            <family val="2"/>
          </rPr>
          <t>Ingrid Malmgren:</t>
        </r>
        <r>
          <rPr>
            <sz val="9"/>
            <color indexed="81"/>
            <rFont val="Tahoma"/>
            <family val="2"/>
          </rPr>
          <t xml:space="preserve">
prescriptive rebate program</t>
        </r>
      </text>
    </comment>
    <comment ref="BHF2" authorId="0">
      <text>
        <r>
          <rPr>
            <b/>
            <sz val="9"/>
            <color indexed="81"/>
            <rFont val="Tahoma"/>
            <family val="2"/>
          </rPr>
          <t>Ingrid Malmgren:</t>
        </r>
        <r>
          <rPr>
            <sz val="9"/>
            <color indexed="81"/>
            <rFont val="Tahoma"/>
            <family val="2"/>
          </rPr>
          <t xml:space="preserve">
prescriptive rebate program</t>
        </r>
      </text>
    </comment>
    <comment ref="BHG2" authorId="0">
      <text>
        <r>
          <rPr>
            <b/>
            <sz val="9"/>
            <color indexed="81"/>
            <rFont val="Tahoma"/>
            <family val="2"/>
          </rPr>
          <t>Ingrid Malmgren:</t>
        </r>
        <r>
          <rPr>
            <sz val="9"/>
            <color indexed="81"/>
            <rFont val="Tahoma"/>
            <family val="2"/>
          </rPr>
          <t xml:space="preserve">
prescriptive rebate program</t>
        </r>
      </text>
    </comment>
    <comment ref="BHH2" authorId="0">
      <text>
        <r>
          <rPr>
            <b/>
            <sz val="9"/>
            <color indexed="81"/>
            <rFont val="Tahoma"/>
            <family val="2"/>
          </rPr>
          <t>Ingrid Malmgren:</t>
        </r>
        <r>
          <rPr>
            <sz val="9"/>
            <color indexed="81"/>
            <rFont val="Tahoma"/>
            <family val="2"/>
          </rPr>
          <t xml:space="preserve">
prescriptive rebate program</t>
        </r>
      </text>
    </comment>
    <comment ref="BHI2" authorId="0">
      <text>
        <r>
          <rPr>
            <b/>
            <sz val="9"/>
            <color indexed="81"/>
            <rFont val="Tahoma"/>
            <family val="2"/>
          </rPr>
          <t>Ingrid Malmgren:</t>
        </r>
        <r>
          <rPr>
            <sz val="9"/>
            <color indexed="81"/>
            <rFont val="Tahoma"/>
            <family val="2"/>
          </rPr>
          <t xml:space="preserve">
prescriptive rebate program</t>
        </r>
      </text>
    </comment>
    <comment ref="BHJ2" authorId="0">
      <text>
        <r>
          <rPr>
            <b/>
            <sz val="9"/>
            <color indexed="81"/>
            <rFont val="Tahoma"/>
            <family val="2"/>
          </rPr>
          <t>Ingrid Malmgren:</t>
        </r>
        <r>
          <rPr>
            <sz val="9"/>
            <color indexed="81"/>
            <rFont val="Tahoma"/>
            <family val="2"/>
          </rPr>
          <t xml:space="preserve">
prescriptive rebate program</t>
        </r>
      </text>
    </comment>
    <comment ref="BHK2" authorId="0">
      <text>
        <r>
          <rPr>
            <b/>
            <sz val="9"/>
            <color indexed="81"/>
            <rFont val="Tahoma"/>
            <family val="2"/>
          </rPr>
          <t>Ingrid Malmgren:</t>
        </r>
        <r>
          <rPr>
            <sz val="9"/>
            <color indexed="81"/>
            <rFont val="Tahoma"/>
            <family val="2"/>
          </rPr>
          <t xml:space="preserve">
prescriptive rebate program</t>
        </r>
      </text>
    </comment>
    <comment ref="BHL2" authorId="0">
      <text>
        <r>
          <rPr>
            <b/>
            <sz val="9"/>
            <color indexed="81"/>
            <rFont val="Tahoma"/>
            <family val="2"/>
          </rPr>
          <t>Ingrid Malmgren:</t>
        </r>
        <r>
          <rPr>
            <sz val="9"/>
            <color indexed="81"/>
            <rFont val="Tahoma"/>
            <family val="2"/>
          </rPr>
          <t xml:space="preserve">
prescriptive rebate program</t>
        </r>
      </text>
    </comment>
    <comment ref="BHM2" authorId="0">
      <text>
        <r>
          <rPr>
            <b/>
            <sz val="9"/>
            <color indexed="81"/>
            <rFont val="Tahoma"/>
            <family val="2"/>
          </rPr>
          <t>Ingrid Malmgren:</t>
        </r>
        <r>
          <rPr>
            <sz val="9"/>
            <color indexed="81"/>
            <rFont val="Tahoma"/>
            <family val="2"/>
          </rPr>
          <t xml:space="preserve">
prescriptive rebate program</t>
        </r>
      </text>
    </comment>
    <comment ref="BHN2" authorId="0">
      <text>
        <r>
          <rPr>
            <b/>
            <sz val="9"/>
            <color indexed="81"/>
            <rFont val="Tahoma"/>
            <family val="2"/>
          </rPr>
          <t>Ingrid Malmgren:</t>
        </r>
        <r>
          <rPr>
            <sz val="9"/>
            <color indexed="81"/>
            <rFont val="Tahoma"/>
            <family val="2"/>
          </rPr>
          <t xml:space="preserve">
prescriptive rebate program</t>
        </r>
      </text>
    </comment>
    <comment ref="BHO2" authorId="0">
      <text>
        <r>
          <rPr>
            <b/>
            <sz val="9"/>
            <color indexed="81"/>
            <rFont val="Tahoma"/>
            <family val="2"/>
          </rPr>
          <t>Ingrid Malmgren:</t>
        </r>
        <r>
          <rPr>
            <sz val="9"/>
            <color indexed="81"/>
            <rFont val="Tahoma"/>
            <family val="2"/>
          </rPr>
          <t xml:space="preserve">
prescriptive rebate program</t>
        </r>
      </text>
    </comment>
    <comment ref="BHP2" authorId="0">
      <text>
        <r>
          <rPr>
            <b/>
            <sz val="9"/>
            <color indexed="81"/>
            <rFont val="Tahoma"/>
            <family val="2"/>
          </rPr>
          <t>Ingrid Malmgren:</t>
        </r>
        <r>
          <rPr>
            <sz val="9"/>
            <color indexed="81"/>
            <rFont val="Tahoma"/>
            <family val="2"/>
          </rPr>
          <t xml:space="preserve">
prescriptive rebate program</t>
        </r>
      </text>
    </comment>
    <comment ref="BHQ2" authorId="0">
      <text>
        <r>
          <rPr>
            <b/>
            <sz val="9"/>
            <color indexed="81"/>
            <rFont val="Tahoma"/>
            <family val="2"/>
          </rPr>
          <t>Ingrid Malmgren:</t>
        </r>
        <r>
          <rPr>
            <sz val="9"/>
            <color indexed="81"/>
            <rFont val="Tahoma"/>
            <family val="2"/>
          </rPr>
          <t xml:space="preserve">
prescriptive rebate program</t>
        </r>
      </text>
    </comment>
    <comment ref="BHR2" authorId="0">
      <text>
        <r>
          <rPr>
            <b/>
            <sz val="9"/>
            <color indexed="81"/>
            <rFont val="Tahoma"/>
            <family val="2"/>
          </rPr>
          <t>Ingrid Malmgren:</t>
        </r>
        <r>
          <rPr>
            <sz val="9"/>
            <color indexed="81"/>
            <rFont val="Tahoma"/>
            <family val="2"/>
          </rPr>
          <t xml:space="preserve">
prescriptive rebate program</t>
        </r>
      </text>
    </comment>
    <comment ref="BHS2" authorId="0">
      <text>
        <r>
          <rPr>
            <b/>
            <sz val="9"/>
            <color indexed="81"/>
            <rFont val="Tahoma"/>
            <family val="2"/>
          </rPr>
          <t>Ingrid Malmgren:</t>
        </r>
        <r>
          <rPr>
            <sz val="9"/>
            <color indexed="81"/>
            <rFont val="Tahoma"/>
            <family val="2"/>
          </rPr>
          <t xml:space="preserve">
prescriptive rebate program</t>
        </r>
      </text>
    </comment>
    <comment ref="BHT2" authorId="0">
      <text>
        <r>
          <rPr>
            <b/>
            <sz val="9"/>
            <color indexed="81"/>
            <rFont val="Tahoma"/>
            <family val="2"/>
          </rPr>
          <t>Ingrid Malmgren:</t>
        </r>
        <r>
          <rPr>
            <sz val="9"/>
            <color indexed="81"/>
            <rFont val="Tahoma"/>
            <family val="2"/>
          </rPr>
          <t xml:space="preserve">
prescriptive rebate program</t>
        </r>
      </text>
    </comment>
    <comment ref="BHU2" authorId="0">
      <text>
        <r>
          <rPr>
            <b/>
            <sz val="9"/>
            <color indexed="81"/>
            <rFont val="Tahoma"/>
            <family val="2"/>
          </rPr>
          <t>Ingrid Malmgren:</t>
        </r>
        <r>
          <rPr>
            <sz val="9"/>
            <color indexed="81"/>
            <rFont val="Tahoma"/>
            <family val="2"/>
          </rPr>
          <t xml:space="preserve">
prescriptive rebate program</t>
        </r>
      </text>
    </comment>
    <comment ref="BHV2" authorId="0">
      <text>
        <r>
          <rPr>
            <b/>
            <sz val="9"/>
            <color indexed="81"/>
            <rFont val="Tahoma"/>
            <family val="2"/>
          </rPr>
          <t>Ingrid Malmgren:</t>
        </r>
        <r>
          <rPr>
            <sz val="9"/>
            <color indexed="81"/>
            <rFont val="Tahoma"/>
            <family val="2"/>
          </rPr>
          <t xml:space="preserve">
prescriptive rebate program</t>
        </r>
      </text>
    </comment>
    <comment ref="BHW2" authorId="0">
      <text>
        <r>
          <rPr>
            <b/>
            <sz val="9"/>
            <color indexed="81"/>
            <rFont val="Tahoma"/>
            <family val="2"/>
          </rPr>
          <t>Ingrid Malmgren:</t>
        </r>
        <r>
          <rPr>
            <sz val="9"/>
            <color indexed="81"/>
            <rFont val="Tahoma"/>
            <family val="2"/>
          </rPr>
          <t xml:space="preserve">
prescriptive rebate program</t>
        </r>
      </text>
    </comment>
    <comment ref="BHX2" authorId="0">
      <text>
        <r>
          <rPr>
            <b/>
            <sz val="9"/>
            <color indexed="81"/>
            <rFont val="Tahoma"/>
            <family val="2"/>
          </rPr>
          <t>Ingrid Malmgren:</t>
        </r>
        <r>
          <rPr>
            <sz val="9"/>
            <color indexed="81"/>
            <rFont val="Tahoma"/>
            <family val="2"/>
          </rPr>
          <t xml:space="preserve">
prescriptive rebate program</t>
        </r>
      </text>
    </comment>
    <comment ref="BHY2" authorId="0">
      <text>
        <r>
          <rPr>
            <b/>
            <sz val="9"/>
            <color indexed="81"/>
            <rFont val="Tahoma"/>
            <family val="2"/>
          </rPr>
          <t>Ingrid Malmgren:</t>
        </r>
        <r>
          <rPr>
            <sz val="9"/>
            <color indexed="81"/>
            <rFont val="Tahoma"/>
            <family val="2"/>
          </rPr>
          <t xml:space="preserve">
prescriptive rebate program</t>
        </r>
      </text>
    </comment>
    <comment ref="BHZ2" authorId="0">
      <text>
        <r>
          <rPr>
            <b/>
            <sz val="9"/>
            <color indexed="81"/>
            <rFont val="Tahoma"/>
            <family val="2"/>
          </rPr>
          <t>Ingrid Malmgren:</t>
        </r>
        <r>
          <rPr>
            <sz val="9"/>
            <color indexed="81"/>
            <rFont val="Tahoma"/>
            <family val="2"/>
          </rPr>
          <t xml:space="preserve">
prescriptive rebate program</t>
        </r>
      </text>
    </comment>
    <comment ref="BIA2" authorId="0">
      <text>
        <r>
          <rPr>
            <b/>
            <sz val="9"/>
            <color indexed="81"/>
            <rFont val="Tahoma"/>
            <family val="2"/>
          </rPr>
          <t>Ingrid Malmgren:</t>
        </r>
        <r>
          <rPr>
            <sz val="9"/>
            <color indexed="81"/>
            <rFont val="Tahoma"/>
            <family val="2"/>
          </rPr>
          <t xml:space="preserve">
prescriptive rebate program</t>
        </r>
      </text>
    </comment>
    <comment ref="BIB2" authorId="0">
      <text>
        <r>
          <rPr>
            <b/>
            <sz val="9"/>
            <color indexed="81"/>
            <rFont val="Tahoma"/>
            <family val="2"/>
          </rPr>
          <t>Ingrid Malmgren:</t>
        </r>
        <r>
          <rPr>
            <sz val="9"/>
            <color indexed="81"/>
            <rFont val="Tahoma"/>
            <family val="2"/>
          </rPr>
          <t xml:space="preserve">
prescriptive rebate program</t>
        </r>
      </text>
    </comment>
    <comment ref="BIC2" authorId="0">
      <text>
        <r>
          <rPr>
            <b/>
            <sz val="9"/>
            <color indexed="81"/>
            <rFont val="Tahoma"/>
            <family val="2"/>
          </rPr>
          <t>Ingrid Malmgren:</t>
        </r>
        <r>
          <rPr>
            <sz val="9"/>
            <color indexed="81"/>
            <rFont val="Tahoma"/>
            <family val="2"/>
          </rPr>
          <t xml:space="preserve">
prescriptive rebate program</t>
        </r>
      </text>
    </comment>
    <comment ref="BID2" authorId="0">
      <text>
        <r>
          <rPr>
            <b/>
            <sz val="9"/>
            <color indexed="81"/>
            <rFont val="Tahoma"/>
            <family val="2"/>
          </rPr>
          <t>Ingrid Malmgren:</t>
        </r>
        <r>
          <rPr>
            <sz val="9"/>
            <color indexed="81"/>
            <rFont val="Tahoma"/>
            <family val="2"/>
          </rPr>
          <t xml:space="preserve">
prescriptive rebate program</t>
        </r>
      </text>
    </comment>
    <comment ref="BIE2" authorId="0">
      <text>
        <r>
          <rPr>
            <b/>
            <sz val="9"/>
            <color indexed="81"/>
            <rFont val="Tahoma"/>
            <family val="2"/>
          </rPr>
          <t>Ingrid Malmgren:</t>
        </r>
        <r>
          <rPr>
            <sz val="9"/>
            <color indexed="81"/>
            <rFont val="Tahoma"/>
            <family val="2"/>
          </rPr>
          <t xml:space="preserve">
prescriptive rebate program</t>
        </r>
      </text>
    </comment>
    <comment ref="BIF2" authorId="0">
      <text>
        <r>
          <rPr>
            <b/>
            <sz val="9"/>
            <color indexed="81"/>
            <rFont val="Tahoma"/>
            <family val="2"/>
          </rPr>
          <t>Ingrid Malmgren:</t>
        </r>
        <r>
          <rPr>
            <sz val="9"/>
            <color indexed="81"/>
            <rFont val="Tahoma"/>
            <family val="2"/>
          </rPr>
          <t xml:space="preserve">
prescriptive rebate program</t>
        </r>
      </text>
    </comment>
    <comment ref="BIG2" authorId="0">
      <text>
        <r>
          <rPr>
            <b/>
            <sz val="9"/>
            <color indexed="81"/>
            <rFont val="Tahoma"/>
            <family val="2"/>
          </rPr>
          <t>Ingrid Malmgren:</t>
        </r>
        <r>
          <rPr>
            <sz val="9"/>
            <color indexed="81"/>
            <rFont val="Tahoma"/>
            <family val="2"/>
          </rPr>
          <t xml:space="preserve">
prescriptive rebate program</t>
        </r>
      </text>
    </comment>
    <comment ref="BIH2" authorId="0">
      <text>
        <r>
          <rPr>
            <b/>
            <sz val="9"/>
            <color indexed="81"/>
            <rFont val="Tahoma"/>
            <family val="2"/>
          </rPr>
          <t>Ingrid Malmgren:</t>
        </r>
        <r>
          <rPr>
            <sz val="9"/>
            <color indexed="81"/>
            <rFont val="Tahoma"/>
            <family val="2"/>
          </rPr>
          <t xml:space="preserve">
prescriptive rebate program</t>
        </r>
      </text>
    </comment>
    <comment ref="BII2" authorId="0">
      <text>
        <r>
          <rPr>
            <b/>
            <sz val="9"/>
            <color indexed="81"/>
            <rFont val="Tahoma"/>
            <family val="2"/>
          </rPr>
          <t>Ingrid Malmgren:</t>
        </r>
        <r>
          <rPr>
            <sz val="9"/>
            <color indexed="81"/>
            <rFont val="Tahoma"/>
            <family val="2"/>
          </rPr>
          <t xml:space="preserve">
prescriptive rebate program</t>
        </r>
      </text>
    </comment>
    <comment ref="BIJ2" authorId="0">
      <text>
        <r>
          <rPr>
            <b/>
            <sz val="9"/>
            <color indexed="81"/>
            <rFont val="Tahoma"/>
            <family val="2"/>
          </rPr>
          <t>Ingrid Malmgren:</t>
        </r>
        <r>
          <rPr>
            <sz val="9"/>
            <color indexed="81"/>
            <rFont val="Tahoma"/>
            <family val="2"/>
          </rPr>
          <t xml:space="preserve">
prescriptive rebate program</t>
        </r>
      </text>
    </comment>
    <comment ref="BIK2" authorId="0">
      <text>
        <r>
          <rPr>
            <b/>
            <sz val="9"/>
            <color indexed="81"/>
            <rFont val="Tahoma"/>
            <family val="2"/>
          </rPr>
          <t>Ingrid Malmgren:</t>
        </r>
        <r>
          <rPr>
            <sz val="9"/>
            <color indexed="81"/>
            <rFont val="Tahoma"/>
            <family val="2"/>
          </rPr>
          <t xml:space="preserve">
prescriptive rebate program</t>
        </r>
      </text>
    </comment>
    <comment ref="BIL2" authorId="0">
      <text>
        <r>
          <rPr>
            <b/>
            <sz val="9"/>
            <color indexed="81"/>
            <rFont val="Tahoma"/>
            <family val="2"/>
          </rPr>
          <t>Ingrid Malmgren:</t>
        </r>
        <r>
          <rPr>
            <sz val="9"/>
            <color indexed="81"/>
            <rFont val="Tahoma"/>
            <family val="2"/>
          </rPr>
          <t xml:space="preserve">
prescriptive rebate program</t>
        </r>
      </text>
    </comment>
    <comment ref="BIM2" authorId="0">
      <text>
        <r>
          <rPr>
            <b/>
            <sz val="9"/>
            <color indexed="81"/>
            <rFont val="Tahoma"/>
            <family val="2"/>
          </rPr>
          <t>Ingrid Malmgren:</t>
        </r>
        <r>
          <rPr>
            <sz val="9"/>
            <color indexed="81"/>
            <rFont val="Tahoma"/>
            <family val="2"/>
          </rPr>
          <t xml:space="preserve">
prescriptive rebate program</t>
        </r>
      </text>
    </comment>
    <comment ref="BIN2" authorId="0">
      <text>
        <r>
          <rPr>
            <b/>
            <sz val="9"/>
            <color indexed="81"/>
            <rFont val="Tahoma"/>
            <family val="2"/>
          </rPr>
          <t>Ingrid Malmgren:</t>
        </r>
        <r>
          <rPr>
            <sz val="9"/>
            <color indexed="81"/>
            <rFont val="Tahoma"/>
            <family val="2"/>
          </rPr>
          <t xml:space="preserve">
prescriptive rebate program</t>
        </r>
      </text>
    </comment>
    <comment ref="BIO2" authorId="0">
      <text>
        <r>
          <rPr>
            <b/>
            <sz val="9"/>
            <color indexed="81"/>
            <rFont val="Tahoma"/>
            <family val="2"/>
          </rPr>
          <t>Ingrid Malmgren:</t>
        </r>
        <r>
          <rPr>
            <sz val="9"/>
            <color indexed="81"/>
            <rFont val="Tahoma"/>
            <family val="2"/>
          </rPr>
          <t xml:space="preserve">
prescriptive rebate program</t>
        </r>
      </text>
    </comment>
    <comment ref="BIP2" authorId="0">
      <text>
        <r>
          <rPr>
            <b/>
            <sz val="9"/>
            <color indexed="81"/>
            <rFont val="Tahoma"/>
            <family val="2"/>
          </rPr>
          <t>Ingrid Malmgren:</t>
        </r>
        <r>
          <rPr>
            <sz val="9"/>
            <color indexed="81"/>
            <rFont val="Tahoma"/>
            <family val="2"/>
          </rPr>
          <t xml:space="preserve">
prescriptive rebate program</t>
        </r>
      </text>
    </comment>
    <comment ref="BIQ2" authorId="0">
      <text>
        <r>
          <rPr>
            <b/>
            <sz val="9"/>
            <color indexed="81"/>
            <rFont val="Tahoma"/>
            <family val="2"/>
          </rPr>
          <t>Ingrid Malmgren:</t>
        </r>
        <r>
          <rPr>
            <sz val="9"/>
            <color indexed="81"/>
            <rFont val="Tahoma"/>
            <family val="2"/>
          </rPr>
          <t xml:space="preserve">
prescriptive rebate program</t>
        </r>
      </text>
    </comment>
    <comment ref="BIR2" authorId="0">
      <text>
        <r>
          <rPr>
            <b/>
            <sz val="9"/>
            <color indexed="81"/>
            <rFont val="Tahoma"/>
            <family val="2"/>
          </rPr>
          <t>Ingrid Malmgren:</t>
        </r>
        <r>
          <rPr>
            <sz val="9"/>
            <color indexed="81"/>
            <rFont val="Tahoma"/>
            <family val="2"/>
          </rPr>
          <t xml:space="preserve">
prescriptive rebate program</t>
        </r>
      </text>
    </comment>
    <comment ref="BIS2" authorId="0">
      <text>
        <r>
          <rPr>
            <b/>
            <sz val="9"/>
            <color indexed="81"/>
            <rFont val="Tahoma"/>
            <family val="2"/>
          </rPr>
          <t>Ingrid Malmgren:</t>
        </r>
        <r>
          <rPr>
            <sz val="9"/>
            <color indexed="81"/>
            <rFont val="Tahoma"/>
            <family val="2"/>
          </rPr>
          <t xml:space="preserve">
prescriptive rebate program</t>
        </r>
      </text>
    </comment>
    <comment ref="BIT2" authorId="0">
      <text>
        <r>
          <rPr>
            <b/>
            <sz val="9"/>
            <color indexed="81"/>
            <rFont val="Tahoma"/>
            <family val="2"/>
          </rPr>
          <t>Ingrid Malmgren:</t>
        </r>
        <r>
          <rPr>
            <sz val="9"/>
            <color indexed="81"/>
            <rFont val="Tahoma"/>
            <family val="2"/>
          </rPr>
          <t xml:space="preserve">
prescriptive rebate program</t>
        </r>
      </text>
    </comment>
    <comment ref="BIU2" authorId="0">
      <text>
        <r>
          <rPr>
            <b/>
            <sz val="9"/>
            <color indexed="81"/>
            <rFont val="Tahoma"/>
            <family val="2"/>
          </rPr>
          <t>Ingrid Malmgren:</t>
        </r>
        <r>
          <rPr>
            <sz val="9"/>
            <color indexed="81"/>
            <rFont val="Tahoma"/>
            <family val="2"/>
          </rPr>
          <t xml:space="preserve">
prescriptive rebate program</t>
        </r>
      </text>
    </comment>
    <comment ref="BIV2" authorId="0">
      <text>
        <r>
          <rPr>
            <b/>
            <sz val="9"/>
            <color indexed="81"/>
            <rFont val="Tahoma"/>
            <family val="2"/>
          </rPr>
          <t>Ingrid Malmgren:</t>
        </r>
        <r>
          <rPr>
            <sz val="9"/>
            <color indexed="81"/>
            <rFont val="Tahoma"/>
            <family val="2"/>
          </rPr>
          <t xml:space="preserve">
prescriptive rebate program</t>
        </r>
      </text>
    </comment>
    <comment ref="BIW2" authorId="0">
      <text>
        <r>
          <rPr>
            <b/>
            <sz val="9"/>
            <color indexed="81"/>
            <rFont val="Tahoma"/>
            <family val="2"/>
          </rPr>
          <t>Ingrid Malmgren:</t>
        </r>
        <r>
          <rPr>
            <sz val="9"/>
            <color indexed="81"/>
            <rFont val="Tahoma"/>
            <family val="2"/>
          </rPr>
          <t xml:space="preserve">
prescriptive rebate program</t>
        </r>
      </text>
    </comment>
    <comment ref="BIX2" authorId="0">
      <text>
        <r>
          <rPr>
            <b/>
            <sz val="9"/>
            <color indexed="81"/>
            <rFont val="Tahoma"/>
            <family val="2"/>
          </rPr>
          <t>Ingrid Malmgren:</t>
        </r>
        <r>
          <rPr>
            <sz val="9"/>
            <color indexed="81"/>
            <rFont val="Tahoma"/>
            <family val="2"/>
          </rPr>
          <t xml:space="preserve">
prescriptive rebate program</t>
        </r>
      </text>
    </comment>
    <comment ref="BIY2" authorId="0">
      <text>
        <r>
          <rPr>
            <b/>
            <sz val="9"/>
            <color indexed="81"/>
            <rFont val="Tahoma"/>
            <family val="2"/>
          </rPr>
          <t>Ingrid Malmgren:</t>
        </r>
        <r>
          <rPr>
            <sz val="9"/>
            <color indexed="81"/>
            <rFont val="Tahoma"/>
            <family val="2"/>
          </rPr>
          <t xml:space="preserve">
prescriptive rebate program</t>
        </r>
      </text>
    </comment>
    <comment ref="BIZ2" authorId="0">
      <text>
        <r>
          <rPr>
            <b/>
            <sz val="9"/>
            <color indexed="81"/>
            <rFont val="Tahoma"/>
            <family val="2"/>
          </rPr>
          <t>Ingrid Malmgren:</t>
        </r>
        <r>
          <rPr>
            <sz val="9"/>
            <color indexed="81"/>
            <rFont val="Tahoma"/>
            <family val="2"/>
          </rPr>
          <t xml:space="preserve">
prescriptive rebate program</t>
        </r>
      </text>
    </comment>
    <comment ref="BJA2" authorId="0">
      <text>
        <r>
          <rPr>
            <b/>
            <sz val="9"/>
            <color indexed="81"/>
            <rFont val="Tahoma"/>
            <family val="2"/>
          </rPr>
          <t>Ingrid Malmgren:</t>
        </r>
        <r>
          <rPr>
            <sz val="9"/>
            <color indexed="81"/>
            <rFont val="Tahoma"/>
            <family val="2"/>
          </rPr>
          <t xml:space="preserve">
prescriptive rebate program</t>
        </r>
      </text>
    </comment>
    <comment ref="BJB2" authorId="0">
      <text>
        <r>
          <rPr>
            <b/>
            <sz val="9"/>
            <color indexed="81"/>
            <rFont val="Tahoma"/>
            <family val="2"/>
          </rPr>
          <t>Ingrid Malmgren:</t>
        </r>
        <r>
          <rPr>
            <sz val="9"/>
            <color indexed="81"/>
            <rFont val="Tahoma"/>
            <family val="2"/>
          </rPr>
          <t xml:space="preserve">
prescriptive rebate program</t>
        </r>
      </text>
    </comment>
    <comment ref="BJC2" authorId="0">
      <text>
        <r>
          <rPr>
            <b/>
            <sz val="9"/>
            <color indexed="81"/>
            <rFont val="Tahoma"/>
            <family val="2"/>
          </rPr>
          <t>Ingrid Malmgren:</t>
        </r>
        <r>
          <rPr>
            <sz val="9"/>
            <color indexed="81"/>
            <rFont val="Tahoma"/>
            <family val="2"/>
          </rPr>
          <t xml:space="preserve">
prescriptive rebate program</t>
        </r>
      </text>
    </comment>
    <comment ref="BJD2" authorId="0">
      <text>
        <r>
          <rPr>
            <b/>
            <sz val="9"/>
            <color indexed="81"/>
            <rFont val="Tahoma"/>
            <family val="2"/>
          </rPr>
          <t>Ingrid Malmgren:</t>
        </r>
        <r>
          <rPr>
            <sz val="9"/>
            <color indexed="81"/>
            <rFont val="Tahoma"/>
            <family val="2"/>
          </rPr>
          <t xml:space="preserve">
prescriptive rebate program</t>
        </r>
      </text>
    </comment>
    <comment ref="BJE2" authorId="0">
      <text>
        <r>
          <rPr>
            <b/>
            <sz val="9"/>
            <color indexed="81"/>
            <rFont val="Tahoma"/>
            <family val="2"/>
          </rPr>
          <t>Ingrid Malmgren:</t>
        </r>
        <r>
          <rPr>
            <sz val="9"/>
            <color indexed="81"/>
            <rFont val="Tahoma"/>
            <family val="2"/>
          </rPr>
          <t xml:space="preserve">
prescriptive rebate program</t>
        </r>
      </text>
    </comment>
    <comment ref="BJF2" authorId="0">
      <text>
        <r>
          <rPr>
            <b/>
            <sz val="9"/>
            <color indexed="81"/>
            <rFont val="Tahoma"/>
            <family val="2"/>
          </rPr>
          <t>Ingrid Malmgren:</t>
        </r>
        <r>
          <rPr>
            <sz val="9"/>
            <color indexed="81"/>
            <rFont val="Tahoma"/>
            <family val="2"/>
          </rPr>
          <t xml:space="preserve">
prescriptive rebate program</t>
        </r>
      </text>
    </comment>
    <comment ref="BJG2" authorId="0">
      <text>
        <r>
          <rPr>
            <b/>
            <sz val="9"/>
            <color indexed="81"/>
            <rFont val="Tahoma"/>
            <family val="2"/>
          </rPr>
          <t>Ingrid Malmgren:</t>
        </r>
        <r>
          <rPr>
            <sz val="9"/>
            <color indexed="81"/>
            <rFont val="Tahoma"/>
            <family val="2"/>
          </rPr>
          <t xml:space="preserve">
prescriptive rebate program</t>
        </r>
      </text>
    </comment>
    <comment ref="BJH2" authorId="0">
      <text>
        <r>
          <rPr>
            <b/>
            <sz val="9"/>
            <color indexed="81"/>
            <rFont val="Tahoma"/>
            <family val="2"/>
          </rPr>
          <t>Ingrid Malmgren:</t>
        </r>
        <r>
          <rPr>
            <sz val="9"/>
            <color indexed="81"/>
            <rFont val="Tahoma"/>
            <family val="2"/>
          </rPr>
          <t xml:space="preserve">
prescriptive rebate program</t>
        </r>
      </text>
    </comment>
    <comment ref="BJI2" authorId="0">
      <text>
        <r>
          <rPr>
            <b/>
            <sz val="9"/>
            <color indexed="81"/>
            <rFont val="Tahoma"/>
            <family val="2"/>
          </rPr>
          <t>Ingrid Malmgren:</t>
        </r>
        <r>
          <rPr>
            <sz val="9"/>
            <color indexed="81"/>
            <rFont val="Tahoma"/>
            <family val="2"/>
          </rPr>
          <t xml:space="preserve">
prescriptive rebate program</t>
        </r>
      </text>
    </comment>
    <comment ref="BJJ2" authorId="0">
      <text>
        <r>
          <rPr>
            <b/>
            <sz val="9"/>
            <color indexed="81"/>
            <rFont val="Tahoma"/>
            <family val="2"/>
          </rPr>
          <t>Ingrid Malmgren:</t>
        </r>
        <r>
          <rPr>
            <sz val="9"/>
            <color indexed="81"/>
            <rFont val="Tahoma"/>
            <family val="2"/>
          </rPr>
          <t xml:space="preserve">
prescriptive rebate program</t>
        </r>
      </text>
    </comment>
    <comment ref="BJK2" authorId="0">
      <text>
        <r>
          <rPr>
            <b/>
            <sz val="9"/>
            <color indexed="81"/>
            <rFont val="Tahoma"/>
            <family val="2"/>
          </rPr>
          <t>Ingrid Malmgren:</t>
        </r>
        <r>
          <rPr>
            <sz val="9"/>
            <color indexed="81"/>
            <rFont val="Tahoma"/>
            <family val="2"/>
          </rPr>
          <t xml:space="preserve">
prescriptive rebate program</t>
        </r>
      </text>
    </comment>
    <comment ref="BJL2" authorId="0">
      <text>
        <r>
          <rPr>
            <b/>
            <sz val="9"/>
            <color indexed="81"/>
            <rFont val="Tahoma"/>
            <family val="2"/>
          </rPr>
          <t>Ingrid Malmgren:</t>
        </r>
        <r>
          <rPr>
            <sz val="9"/>
            <color indexed="81"/>
            <rFont val="Tahoma"/>
            <family val="2"/>
          </rPr>
          <t xml:space="preserve">
prescriptive rebate program</t>
        </r>
      </text>
    </comment>
    <comment ref="BJM2" authorId="0">
      <text>
        <r>
          <rPr>
            <b/>
            <sz val="9"/>
            <color indexed="81"/>
            <rFont val="Tahoma"/>
            <family val="2"/>
          </rPr>
          <t>Ingrid Malmgren:</t>
        </r>
        <r>
          <rPr>
            <sz val="9"/>
            <color indexed="81"/>
            <rFont val="Tahoma"/>
            <family val="2"/>
          </rPr>
          <t xml:space="preserve">
prescriptive rebate program</t>
        </r>
      </text>
    </comment>
    <comment ref="BJN2" authorId="0">
      <text>
        <r>
          <rPr>
            <b/>
            <sz val="9"/>
            <color indexed="81"/>
            <rFont val="Tahoma"/>
            <family val="2"/>
          </rPr>
          <t>Ingrid Malmgren:</t>
        </r>
        <r>
          <rPr>
            <sz val="9"/>
            <color indexed="81"/>
            <rFont val="Tahoma"/>
            <family val="2"/>
          </rPr>
          <t xml:space="preserve">
prescriptive rebate program</t>
        </r>
      </text>
    </comment>
    <comment ref="BJO2" authorId="0">
      <text>
        <r>
          <rPr>
            <b/>
            <sz val="9"/>
            <color indexed="81"/>
            <rFont val="Tahoma"/>
            <family val="2"/>
          </rPr>
          <t>Ingrid Malmgren:</t>
        </r>
        <r>
          <rPr>
            <sz val="9"/>
            <color indexed="81"/>
            <rFont val="Tahoma"/>
            <family val="2"/>
          </rPr>
          <t xml:space="preserve">
prescriptive rebate program</t>
        </r>
      </text>
    </comment>
    <comment ref="BJP2" authorId="0">
      <text>
        <r>
          <rPr>
            <b/>
            <sz val="9"/>
            <color indexed="81"/>
            <rFont val="Tahoma"/>
            <family val="2"/>
          </rPr>
          <t>Ingrid Malmgren:</t>
        </r>
        <r>
          <rPr>
            <sz val="9"/>
            <color indexed="81"/>
            <rFont val="Tahoma"/>
            <family val="2"/>
          </rPr>
          <t xml:space="preserve">
prescriptive rebate program</t>
        </r>
      </text>
    </comment>
    <comment ref="BJQ2" authorId="0">
      <text>
        <r>
          <rPr>
            <b/>
            <sz val="9"/>
            <color indexed="81"/>
            <rFont val="Tahoma"/>
            <family val="2"/>
          </rPr>
          <t>Ingrid Malmgren:</t>
        </r>
        <r>
          <rPr>
            <sz val="9"/>
            <color indexed="81"/>
            <rFont val="Tahoma"/>
            <family val="2"/>
          </rPr>
          <t xml:space="preserve">
prescriptive rebate program</t>
        </r>
      </text>
    </comment>
    <comment ref="BJR2" authorId="0">
      <text>
        <r>
          <rPr>
            <b/>
            <sz val="9"/>
            <color indexed="81"/>
            <rFont val="Tahoma"/>
            <family val="2"/>
          </rPr>
          <t>Ingrid Malmgren:</t>
        </r>
        <r>
          <rPr>
            <sz val="9"/>
            <color indexed="81"/>
            <rFont val="Tahoma"/>
            <family val="2"/>
          </rPr>
          <t xml:space="preserve">
prescriptive rebate program</t>
        </r>
      </text>
    </comment>
    <comment ref="BJS2" authorId="0">
      <text>
        <r>
          <rPr>
            <b/>
            <sz val="9"/>
            <color indexed="81"/>
            <rFont val="Tahoma"/>
            <family val="2"/>
          </rPr>
          <t>Ingrid Malmgren:</t>
        </r>
        <r>
          <rPr>
            <sz val="9"/>
            <color indexed="81"/>
            <rFont val="Tahoma"/>
            <family val="2"/>
          </rPr>
          <t xml:space="preserve">
prescriptive rebate program</t>
        </r>
      </text>
    </comment>
    <comment ref="BJT2" authorId="0">
      <text>
        <r>
          <rPr>
            <b/>
            <sz val="9"/>
            <color indexed="81"/>
            <rFont val="Tahoma"/>
            <family val="2"/>
          </rPr>
          <t>Ingrid Malmgren:</t>
        </r>
        <r>
          <rPr>
            <sz val="9"/>
            <color indexed="81"/>
            <rFont val="Tahoma"/>
            <family val="2"/>
          </rPr>
          <t xml:space="preserve">
prescriptive rebate program</t>
        </r>
      </text>
    </comment>
    <comment ref="BJU2" authorId="0">
      <text>
        <r>
          <rPr>
            <b/>
            <sz val="9"/>
            <color indexed="81"/>
            <rFont val="Tahoma"/>
            <family val="2"/>
          </rPr>
          <t>Ingrid Malmgren:</t>
        </r>
        <r>
          <rPr>
            <sz val="9"/>
            <color indexed="81"/>
            <rFont val="Tahoma"/>
            <family val="2"/>
          </rPr>
          <t xml:space="preserve">
prescriptive rebate program</t>
        </r>
      </text>
    </comment>
    <comment ref="BJV2" authorId="0">
      <text>
        <r>
          <rPr>
            <b/>
            <sz val="9"/>
            <color indexed="81"/>
            <rFont val="Tahoma"/>
            <family val="2"/>
          </rPr>
          <t>Ingrid Malmgren:</t>
        </r>
        <r>
          <rPr>
            <sz val="9"/>
            <color indexed="81"/>
            <rFont val="Tahoma"/>
            <family val="2"/>
          </rPr>
          <t xml:space="preserve">
prescriptive rebate program</t>
        </r>
      </text>
    </comment>
    <comment ref="BJW2" authorId="0">
      <text>
        <r>
          <rPr>
            <b/>
            <sz val="9"/>
            <color indexed="81"/>
            <rFont val="Tahoma"/>
            <family val="2"/>
          </rPr>
          <t>Ingrid Malmgren:</t>
        </r>
        <r>
          <rPr>
            <sz val="9"/>
            <color indexed="81"/>
            <rFont val="Tahoma"/>
            <family val="2"/>
          </rPr>
          <t xml:space="preserve">
prescriptive rebate program</t>
        </r>
      </text>
    </comment>
    <comment ref="BJX2" authorId="0">
      <text>
        <r>
          <rPr>
            <b/>
            <sz val="9"/>
            <color indexed="81"/>
            <rFont val="Tahoma"/>
            <family val="2"/>
          </rPr>
          <t>Ingrid Malmgren:</t>
        </r>
        <r>
          <rPr>
            <sz val="9"/>
            <color indexed="81"/>
            <rFont val="Tahoma"/>
            <family val="2"/>
          </rPr>
          <t xml:space="preserve">
prescriptive rebate program</t>
        </r>
      </text>
    </comment>
    <comment ref="BJY2" authorId="0">
      <text>
        <r>
          <rPr>
            <b/>
            <sz val="9"/>
            <color indexed="81"/>
            <rFont val="Tahoma"/>
            <family val="2"/>
          </rPr>
          <t>Ingrid Malmgren:</t>
        </r>
        <r>
          <rPr>
            <sz val="9"/>
            <color indexed="81"/>
            <rFont val="Tahoma"/>
            <family val="2"/>
          </rPr>
          <t xml:space="preserve">
prescriptive rebate program</t>
        </r>
      </text>
    </comment>
    <comment ref="BJZ2" authorId="0">
      <text>
        <r>
          <rPr>
            <b/>
            <sz val="9"/>
            <color indexed="81"/>
            <rFont val="Tahoma"/>
            <family val="2"/>
          </rPr>
          <t>Ingrid Malmgren:</t>
        </r>
        <r>
          <rPr>
            <sz val="9"/>
            <color indexed="81"/>
            <rFont val="Tahoma"/>
            <family val="2"/>
          </rPr>
          <t xml:space="preserve">
prescriptive rebate program</t>
        </r>
      </text>
    </comment>
    <comment ref="BKA2" authorId="0">
      <text>
        <r>
          <rPr>
            <b/>
            <sz val="9"/>
            <color indexed="81"/>
            <rFont val="Tahoma"/>
            <family val="2"/>
          </rPr>
          <t>Ingrid Malmgren:</t>
        </r>
        <r>
          <rPr>
            <sz val="9"/>
            <color indexed="81"/>
            <rFont val="Tahoma"/>
            <family val="2"/>
          </rPr>
          <t xml:space="preserve">
prescriptive rebate program</t>
        </r>
      </text>
    </comment>
    <comment ref="BKB2" authorId="0">
      <text>
        <r>
          <rPr>
            <b/>
            <sz val="9"/>
            <color indexed="81"/>
            <rFont val="Tahoma"/>
            <family val="2"/>
          </rPr>
          <t>Ingrid Malmgren:</t>
        </r>
        <r>
          <rPr>
            <sz val="9"/>
            <color indexed="81"/>
            <rFont val="Tahoma"/>
            <family val="2"/>
          </rPr>
          <t xml:space="preserve">
prescriptive rebate program</t>
        </r>
      </text>
    </comment>
    <comment ref="BKC2" authorId="0">
      <text>
        <r>
          <rPr>
            <b/>
            <sz val="9"/>
            <color indexed="81"/>
            <rFont val="Tahoma"/>
            <family val="2"/>
          </rPr>
          <t>Ingrid Malmgren:</t>
        </r>
        <r>
          <rPr>
            <sz val="9"/>
            <color indexed="81"/>
            <rFont val="Tahoma"/>
            <family val="2"/>
          </rPr>
          <t xml:space="preserve">
prescriptive rebate program</t>
        </r>
      </text>
    </comment>
    <comment ref="BKD2" authorId="0">
      <text>
        <r>
          <rPr>
            <b/>
            <sz val="9"/>
            <color indexed="81"/>
            <rFont val="Tahoma"/>
            <family val="2"/>
          </rPr>
          <t>Ingrid Malmgren:</t>
        </r>
        <r>
          <rPr>
            <sz val="9"/>
            <color indexed="81"/>
            <rFont val="Tahoma"/>
            <family val="2"/>
          </rPr>
          <t xml:space="preserve">
prescriptive rebate program</t>
        </r>
      </text>
    </comment>
    <comment ref="BKE2" authorId="0">
      <text>
        <r>
          <rPr>
            <b/>
            <sz val="9"/>
            <color indexed="81"/>
            <rFont val="Tahoma"/>
            <family val="2"/>
          </rPr>
          <t>Ingrid Malmgren:</t>
        </r>
        <r>
          <rPr>
            <sz val="9"/>
            <color indexed="81"/>
            <rFont val="Tahoma"/>
            <family val="2"/>
          </rPr>
          <t xml:space="preserve">
prescriptive rebate program</t>
        </r>
      </text>
    </comment>
    <comment ref="BKF2" authorId="0">
      <text>
        <r>
          <rPr>
            <b/>
            <sz val="9"/>
            <color indexed="81"/>
            <rFont val="Tahoma"/>
            <family val="2"/>
          </rPr>
          <t>Ingrid Malmgren:</t>
        </r>
        <r>
          <rPr>
            <sz val="9"/>
            <color indexed="81"/>
            <rFont val="Tahoma"/>
            <family val="2"/>
          </rPr>
          <t xml:space="preserve">
prescriptive rebate program</t>
        </r>
      </text>
    </comment>
    <comment ref="BKG2" authorId="0">
      <text>
        <r>
          <rPr>
            <b/>
            <sz val="9"/>
            <color indexed="81"/>
            <rFont val="Tahoma"/>
            <family val="2"/>
          </rPr>
          <t>Ingrid Malmgren:</t>
        </r>
        <r>
          <rPr>
            <sz val="9"/>
            <color indexed="81"/>
            <rFont val="Tahoma"/>
            <family val="2"/>
          </rPr>
          <t xml:space="preserve">
prescriptive rebate program</t>
        </r>
      </text>
    </comment>
    <comment ref="BKH2" authorId="0">
      <text>
        <r>
          <rPr>
            <b/>
            <sz val="9"/>
            <color indexed="81"/>
            <rFont val="Tahoma"/>
            <family val="2"/>
          </rPr>
          <t>Ingrid Malmgren:</t>
        </r>
        <r>
          <rPr>
            <sz val="9"/>
            <color indexed="81"/>
            <rFont val="Tahoma"/>
            <family val="2"/>
          </rPr>
          <t xml:space="preserve">
prescriptive rebate program</t>
        </r>
      </text>
    </comment>
    <comment ref="BKI2" authorId="0">
      <text>
        <r>
          <rPr>
            <b/>
            <sz val="9"/>
            <color indexed="81"/>
            <rFont val="Tahoma"/>
            <family val="2"/>
          </rPr>
          <t>Ingrid Malmgren:</t>
        </r>
        <r>
          <rPr>
            <sz val="9"/>
            <color indexed="81"/>
            <rFont val="Tahoma"/>
            <family val="2"/>
          </rPr>
          <t xml:space="preserve">
prescriptive rebate program</t>
        </r>
      </text>
    </comment>
    <comment ref="BKJ2" authorId="0">
      <text>
        <r>
          <rPr>
            <b/>
            <sz val="9"/>
            <color indexed="81"/>
            <rFont val="Tahoma"/>
            <family val="2"/>
          </rPr>
          <t>Ingrid Malmgren:</t>
        </r>
        <r>
          <rPr>
            <sz val="9"/>
            <color indexed="81"/>
            <rFont val="Tahoma"/>
            <family val="2"/>
          </rPr>
          <t xml:space="preserve">
prescriptive rebate program</t>
        </r>
      </text>
    </comment>
    <comment ref="BKK2" authorId="0">
      <text>
        <r>
          <rPr>
            <b/>
            <sz val="9"/>
            <color indexed="81"/>
            <rFont val="Tahoma"/>
            <family val="2"/>
          </rPr>
          <t>Ingrid Malmgren:</t>
        </r>
        <r>
          <rPr>
            <sz val="9"/>
            <color indexed="81"/>
            <rFont val="Tahoma"/>
            <family val="2"/>
          </rPr>
          <t xml:space="preserve">
prescriptive rebate program</t>
        </r>
      </text>
    </comment>
    <comment ref="BKL2" authorId="0">
      <text>
        <r>
          <rPr>
            <b/>
            <sz val="9"/>
            <color indexed="81"/>
            <rFont val="Tahoma"/>
            <family val="2"/>
          </rPr>
          <t>Ingrid Malmgren:</t>
        </r>
        <r>
          <rPr>
            <sz val="9"/>
            <color indexed="81"/>
            <rFont val="Tahoma"/>
            <family val="2"/>
          </rPr>
          <t xml:space="preserve">
prescriptive rebate program</t>
        </r>
      </text>
    </comment>
    <comment ref="BKM2" authorId="0">
      <text>
        <r>
          <rPr>
            <b/>
            <sz val="9"/>
            <color indexed="81"/>
            <rFont val="Tahoma"/>
            <family val="2"/>
          </rPr>
          <t>Ingrid Malmgren:</t>
        </r>
        <r>
          <rPr>
            <sz val="9"/>
            <color indexed="81"/>
            <rFont val="Tahoma"/>
            <family val="2"/>
          </rPr>
          <t xml:space="preserve">
prescriptive rebate program</t>
        </r>
      </text>
    </comment>
    <comment ref="A16" authorId="0">
      <text>
        <r>
          <rPr>
            <b/>
            <sz val="9"/>
            <color indexed="81"/>
            <rFont val="Tahoma"/>
            <family val="2"/>
          </rPr>
          <t>Ingrid Malmgren:</t>
        </r>
        <r>
          <rPr>
            <sz val="9"/>
            <color indexed="81"/>
            <rFont val="Tahoma"/>
            <family val="2"/>
          </rPr>
          <t xml:space="preserve">
Code in NS is 79. EnerCan uses HOT2000 simulation modeling. May need to find per kWh NEB adder for savings over code to account for differing levels of efficiency</t>
        </r>
      </text>
    </comment>
  </commentList>
</comments>
</file>

<file path=xl/sharedStrings.xml><?xml version="1.0" encoding="utf-8"?>
<sst xmlns="http://schemas.openxmlformats.org/spreadsheetml/2006/main" count="3942" uniqueCount="640">
  <si>
    <t xml:space="preserve"> Measure Name</t>
  </si>
  <si>
    <t>Technology Type</t>
  </si>
  <si>
    <t>Target Market</t>
  </si>
  <si>
    <t>Measure Life</t>
  </si>
  <si>
    <t>Annual Energy Savings per Unit (kWh)</t>
  </si>
  <si>
    <t>Peak Demand Savings per Unit (Watts)</t>
  </si>
  <si>
    <t>On-Time Incremental Measure Cost ($)</t>
  </si>
  <si>
    <t>Incentive as a Percent of Incremental Measure Cost (%)</t>
  </si>
  <si>
    <t>Program Administrative Cost ($)</t>
  </si>
  <si>
    <t>DSM Administrator Cost (Incentive + Administrative) ($)</t>
  </si>
  <si>
    <t>DSM Customer Cost (Incremental Measure Cost - Incentive) ($)</t>
  </si>
  <si>
    <t>Total DSM Cost ($)</t>
  </si>
  <si>
    <t>Present Value Avoided Cost ($)</t>
  </si>
  <si>
    <t>Net-To-Gross Ratio</t>
  </si>
  <si>
    <t>Total Resource Benefit-Cost Ratio (TRC)</t>
  </si>
  <si>
    <t>Unit Cost / kWh (S)</t>
  </si>
  <si>
    <t>Unit Cost / Watt (S)</t>
  </si>
  <si>
    <t>Peak 
Demand Savings
(kW)</t>
  </si>
  <si>
    <t>First Year Energy 
Savings
(MWh)</t>
  </si>
  <si>
    <t>Cumulative Peak 
Demand Savings
(kW)</t>
  </si>
  <si>
    <t>Cumulative Energy 
Savings
(MWh)</t>
  </si>
  <si>
    <t>Total 
Avoided Cost Benefits 
($)</t>
  </si>
  <si>
    <t>TRC 
Costs 
($)</t>
  </si>
  <si>
    <t>Total Net  
Resource Benefits 
($)</t>
  </si>
  <si>
    <t>TRC 
(Ratio)</t>
  </si>
  <si>
    <t>PAC
Costs 
($)</t>
  </si>
  <si>
    <t>PAC
(Ratio)</t>
  </si>
  <si>
    <t>Business Energy Rebates</t>
  </si>
  <si>
    <t>Under Counter Commercial Dishwasher (Low Temp)</t>
  </si>
  <si>
    <t>COM-Other</t>
  </si>
  <si>
    <t>Retail</t>
  </si>
  <si>
    <t>Water Savings</t>
  </si>
  <si>
    <t>Single-Tank Door Type Dishwasher (Low Temp)</t>
  </si>
  <si>
    <t>Single-Tank Conveyor Dishwasher (Low Temp)</t>
  </si>
  <si>
    <t>Multi-Tank Conveyor Commercial Dish Washer (Low Temp)</t>
  </si>
  <si>
    <t>Under Counter Dishwasher with Booster (High Temp)</t>
  </si>
  <si>
    <t>Single Tank Door Dishwasher with Booster (High Temp)</t>
  </si>
  <si>
    <t>Single Tank Conveyor Dishwasher with Booster (High Temp)</t>
  </si>
  <si>
    <t>Multi Tank Conveyor Dishwasher with Booster (High Temp)</t>
  </si>
  <si>
    <t>Standard Capacity Commercial Electric Fryers</t>
  </si>
  <si>
    <t>N/A</t>
  </si>
  <si>
    <t>Full Size Commercial Hot Food Holding Cabinet</t>
  </si>
  <si>
    <t>Three Quarter Size Commercial Hot Food Holding Cabinet</t>
  </si>
  <si>
    <t>Half Size Commercial Hot Food Holding Cabinet</t>
  </si>
  <si>
    <t>Commercial Electric Griddle</t>
  </si>
  <si>
    <t>Solid Door Commercial Refrigerator</t>
  </si>
  <si>
    <t>COM-Refrigeration</t>
  </si>
  <si>
    <t xml:space="preserve">$.047/kWh </t>
  </si>
  <si>
    <t>Glass Door Commercial Refrigerator</t>
  </si>
  <si>
    <t>Solid Door Commercial Freezer</t>
  </si>
  <si>
    <t>ENERGY STAR® Ice Making Head</t>
  </si>
  <si>
    <t>ENERGY STAR® Remote Condensing Head/Split System Ice Maker</t>
  </si>
  <si>
    <t>ENERGY STAR® Self Contained Ice Maker</t>
  </si>
  <si>
    <t>ENERGY STAR® Commercial Electric Convection Oven</t>
  </si>
  <si>
    <t xml:space="preserve">Variable Speed Drive for Kitchen exhaust fans (Demand Controlled Ventilation) </t>
  </si>
  <si>
    <t>COM-Motors</t>
  </si>
  <si>
    <t>Other Commercial</t>
  </si>
  <si>
    <t>ENERGY STAR®, CEE Tier 2 or CEE Tier 3 Commercial Clothes Washer</t>
  </si>
  <si>
    <t>Night Covers for 3' Refrigerated Display Cases</t>
  </si>
  <si>
    <t>School</t>
  </si>
  <si>
    <t>Zero Energy Doors for Reach-In Coolers and Freezers</t>
  </si>
  <si>
    <t>Humidity-Based Door Heater Controls for Reach-In Coolers and Freezers</t>
  </si>
  <si>
    <t>Evaporator Fan Motor Controls for Walk-In Freezers and Coolers</t>
  </si>
  <si>
    <t>Intelligent (Electronic) Defrost Control For Freezer Display Cases</t>
  </si>
  <si>
    <t>Intelligent (Electronic) Defrost Control For Walk-In Freezers</t>
  </si>
  <si>
    <t>Refrigerated Vending Machine Controller</t>
  </si>
  <si>
    <t>Office</t>
  </si>
  <si>
    <t>Strip Curtains for 3' Open Refrigerated Display Cases</t>
  </si>
  <si>
    <t>Electronically Commutated (Brushless) DC Motors for Refrigeration Applications</t>
  </si>
  <si>
    <t>IND</t>
  </si>
  <si>
    <t xml:space="preserve">Industrial </t>
  </si>
  <si>
    <t>Variable Frequency Drives</t>
  </si>
  <si>
    <t>Fluorescent T5 and HPT8 Fixtures (4 FT) lamps-Retrofit (dual baseline)</t>
  </si>
  <si>
    <t>COM-Lighting</t>
  </si>
  <si>
    <t>$.027 kWh/yr</t>
  </si>
  <si>
    <t>Relamp/Reballast-Retrofit (dual baseline)</t>
  </si>
  <si>
    <t>T8 Dimmable Stairwell Lighting</t>
  </si>
  <si>
    <t>LED Lamps-Retrofit (dual baseline)</t>
  </si>
  <si>
    <t>LED Lamps-End of Life</t>
  </si>
  <si>
    <t>LED Refrigeration Strip Lighting-End of Life replacement</t>
  </si>
  <si>
    <t>LED High Bay Fixture</t>
  </si>
  <si>
    <t>LED Low Bay Fixture</t>
  </si>
  <si>
    <t>LED Linear Replacement Lamps</t>
  </si>
  <si>
    <t>LED Exterior Fixtures-End of Life replacement</t>
  </si>
  <si>
    <t>LED Exit Sign-End of Life replacement</t>
  </si>
  <si>
    <t>Photoluminescent Exit Sign</t>
  </si>
  <si>
    <t>Lighting Controls - Occupancy Sensors</t>
  </si>
  <si>
    <t>Daylighting Controls</t>
  </si>
  <si>
    <t>Cycling Refrigerated Air Dryers (≤ 300 CFM capacity)</t>
  </si>
  <si>
    <t>COM-Process</t>
  </si>
  <si>
    <t>Variable Speed Drive Screw Compressors (10 - 40 hp)</t>
  </si>
  <si>
    <t>Air-Entraining Air Nozzles (up to 14CFM at 100 psi)</t>
  </si>
  <si>
    <t>No-Loss Drains (Timed drains are not eligible)</t>
  </si>
  <si>
    <t>Air Tanks for Load / No-Load Screw Compressors (10 – 40 hp)</t>
  </si>
  <si>
    <t>Integrated Dual Enthalpy Economizer Controls</t>
  </si>
  <si>
    <t>COM-HVAC</t>
  </si>
  <si>
    <t>HVAC Hotel Occupancy Sensor</t>
  </si>
  <si>
    <t>Zero-Energy Livestock Waterers</t>
  </si>
  <si>
    <t>Single Heat Pad</t>
  </si>
  <si>
    <t>Double Heat Pad</t>
  </si>
  <si>
    <t>Dairy Scroll Compressor</t>
  </si>
  <si>
    <t>Heat Reclaimer Unit</t>
  </si>
  <si>
    <t>VSD for Milk Vacuum Pump</t>
  </si>
  <si>
    <t>Total</t>
  </si>
  <si>
    <t>Cross-check</t>
  </si>
  <si>
    <t>Business Energy Solutions</t>
  </si>
  <si>
    <t>For Plan Year 2016</t>
  </si>
  <si>
    <t>For Plan Year 2017</t>
  </si>
  <si>
    <t>For Plan Year 2018</t>
  </si>
  <si>
    <t>A</t>
  </si>
  <si>
    <t>B</t>
  </si>
  <si>
    <t>C = A - B</t>
  </si>
  <si>
    <t>D = A / B</t>
  </si>
  <si>
    <t>E</t>
  </si>
  <si>
    <t>F = A / E</t>
  </si>
  <si>
    <t>Night Covers for 3' Refrigerated Display Cases-BES</t>
  </si>
  <si>
    <t xml:space="preserve"> </t>
  </si>
  <si>
    <t>Humidity-Based Door Heater Controls for Reach-In Coolers and Freezers-BES</t>
  </si>
  <si>
    <t>Evaporator Fan Motor Controls for Walk-In Freezers and Coolers-BES</t>
  </si>
  <si>
    <t>Electronically Commutated (Brushless) DC Motors for Refrigeration Applications-BES</t>
  </si>
  <si>
    <t>Relamp/Reballast-Retrofit (dual baseline)-BES</t>
  </si>
  <si>
    <t>LED Lamps-Retrofit (dual baseline)-BES</t>
  </si>
  <si>
    <t>LED Lamps-End of Life-BES</t>
  </si>
  <si>
    <t>High-Efficiency Air Source Heat Pumps</t>
  </si>
  <si>
    <t>Ground Source Heat Pump</t>
  </si>
  <si>
    <t>Ground/Water Source Heat Pumps</t>
  </si>
  <si>
    <t>Faucet Aerator</t>
  </si>
  <si>
    <t>DHW Tank Wrap</t>
  </si>
  <si>
    <t>DHW Pipe Insulation</t>
  </si>
  <si>
    <t>Low Flow Showerheads</t>
  </si>
  <si>
    <t>Custom</t>
  </si>
  <si>
    <t>Custom Efficiency</t>
  </si>
  <si>
    <t>COM</t>
  </si>
  <si>
    <t>Whole Building 20% Over Baseline</t>
  </si>
  <si>
    <t>New Construction - BNI</t>
  </si>
  <si>
    <t>Whole Building 40% Over Baseline</t>
  </si>
  <si>
    <t>Efficient Products</t>
  </si>
  <si>
    <t>Refrigerator Retirement</t>
  </si>
  <si>
    <t>RES-Appliance</t>
  </si>
  <si>
    <t>RES-SF</t>
  </si>
  <si>
    <t>Freezer Retirement</t>
  </si>
  <si>
    <t>Room A/C Retirement</t>
  </si>
  <si>
    <t>RES-HVAC/Shell</t>
  </si>
  <si>
    <t>ENERGY STAR® LED Lamps</t>
  </si>
  <si>
    <t>RES-Lighting</t>
  </si>
  <si>
    <t>Hardwired Dimmer Switch</t>
  </si>
  <si>
    <t>Indoor Motion Sensor</t>
  </si>
  <si>
    <t>Outdoor Motion Sensor</t>
  </si>
  <si>
    <t>Power bar with integrated timer</t>
  </si>
  <si>
    <t>RES-Plug Load</t>
  </si>
  <si>
    <t>Smartstrip</t>
  </si>
  <si>
    <t>Heavy Duty Outdoor Timer</t>
  </si>
  <si>
    <t>Advanced Power Strip (load sensing or remote control/wireless APS)</t>
  </si>
  <si>
    <t>Dehumidifier (Retirement)</t>
  </si>
  <si>
    <t>Existing Homes</t>
  </si>
  <si>
    <t>10.5 W LED</t>
  </si>
  <si>
    <t>11 W LED</t>
  </si>
  <si>
    <t>8 W LED</t>
  </si>
  <si>
    <t>MURB</t>
  </si>
  <si>
    <t>12 W LED</t>
  </si>
  <si>
    <t>5W Chandelier LED bulb</t>
  </si>
  <si>
    <t>1W LED Nightlight</t>
  </si>
  <si>
    <t>Low Flow Faucet Aerator, 1.5 GPM</t>
  </si>
  <si>
    <t>RES-Water Heat</t>
  </si>
  <si>
    <t>Low Flow (1.25 GPM) showerhead</t>
  </si>
  <si>
    <t>Certified Wood Stove</t>
  </si>
  <si>
    <t>Certified Wood Boiler or Furnace</t>
  </si>
  <si>
    <t>Certified Pellet Stove</t>
  </si>
  <si>
    <t>Certified Pellet Boiler or Furnace Supplemented by Baseboard Heat (Whole Home)</t>
  </si>
  <si>
    <t>Advanced Automatic Pellet Combo Boiler</t>
  </si>
  <si>
    <t>ENERGY STAR® Air Source Heat Pump</t>
  </si>
  <si>
    <t>Solar DHW</t>
  </si>
  <si>
    <t>Solar Space and Water Heat (Supplement Electricity)</t>
  </si>
  <si>
    <t>RES-Package</t>
  </si>
  <si>
    <t>Solar Space Heating (Displacing Electricity)</t>
  </si>
  <si>
    <t>ENERGY STAR® Windows (Replace Single Pane)</t>
  </si>
  <si>
    <t>ENERGY STAR® Windows (300 ft2) (Replace Double Pane)</t>
  </si>
  <si>
    <t>ENERGY STAR® Door</t>
  </si>
  <si>
    <t>Embertec Power Strip</t>
  </si>
  <si>
    <t>ENERGY STAR® Refrigerator (Replacement)</t>
  </si>
  <si>
    <t>Building Envelope Retrofits (Insulation, Draft Proofing, EnergyStar Windows and Doors)</t>
  </si>
  <si>
    <t>New Construction - Res</t>
  </si>
  <si>
    <t>EnerGuide 83 New Home</t>
  </si>
  <si>
    <t>RES-NC</t>
  </si>
  <si>
    <t>EnerGuide 85 New Home</t>
  </si>
  <si>
    <t>EnerGuide 86 New Home</t>
  </si>
  <si>
    <t>EnerGuide 87 New Home</t>
  </si>
  <si>
    <t>EnerGuide 88 New Home</t>
  </si>
  <si>
    <t>EnerGuide 88+ New Home</t>
  </si>
  <si>
    <t>TOTAL</t>
  </si>
  <si>
    <t>water and sewer savings</t>
  </si>
  <si>
    <t>$1.35 per therm</t>
  </si>
  <si>
    <t>project specific</t>
  </si>
  <si>
    <t xml:space="preserve">$1.44 one time property value increase </t>
  </si>
  <si>
    <t>$3.00 one time per unit</t>
  </si>
  <si>
    <t>$3.00 ea</t>
  </si>
  <si>
    <t>only shown for C&amp;I</t>
  </si>
  <si>
    <t>RI Notes</t>
  </si>
  <si>
    <t>not sure if RI offers</t>
  </si>
  <si>
    <t>would this apply?</t>
  </si>
  <si>
    <t>All electric measures with kWh savings and all gas measures with MMBTU savings. Rate Discounts Financial savings to utility as a result of a smaller portion of energy being sold at the low income rate Elec: (kwh savings per measure)*(A16-A60) Gas: (therms savings per measure)*(R12- R13) per measure Annual from B-2</t>
  </si>
  <si>
    <t>Should be CFL O&amp;M?</t>
  </si>
  <si>
    <t>R.I. TRM $6.69/kW (not KWh)/year????</t>
  </si>
  <si>
    <t>Large retrofit Custom Electric?????</t>
  </si>
  <si>
    <t>?????????????</t>
  </si>
  <si>
    <t>this is for recycling - includes avoided landfill space, recycling of plastics and glass and incineration of insulating foam.</t>
  </si>
  <si>
    <t>this is for replacement-per year $49.50</t>
  </si>
  <si>
    <t>one time per measure</t>
  </si>
  <si>
    <t>for recycling</t>
  </si>
  <si>
    <t>B-5 includes thermal comfort $48.63/yr + home durability $17.42/yr + equipment maintenance + $102.40/yr + health benefits $1.56/yr plus one time property value increase  $678.52</t>
  </si>
  <si>
    <t>B-5 includes thermal comfort $5.05/yr + noise reduction $1.42/yr + home durability $1.98/yr + equipment maintenance + $9.42/yr + health benefits $.16/yr plus one time property value increase  $80.69</t>
  </si>
  <si>
    <t>Recycling - from Matt</t>
  </si>
  <si>
    <t>change to fixtures</t>
  </si>
  <si>
    <t>motors and drives? Refrigeration?</t>
  </si>
  <si>
    <t>Does not break out by measure</t>
  </si>
  <si>
    <t>for MD = Small Business Direct Install</t>
  </si>
  <si>
    <t>.0966/ kWh</t>
  </si>
  <si>
    <t>.0274/kWh</t>
  </si>
  <si>
    <t>.0043 kWh</t>
  </si>
  <si>
    <t>0.0013 kWh</t>
  </si>
  <si>
    <t xml:space="preserve">$516.39 + $72.77/yr </t>
  </si>
  <si>
    <t>$5.00 one time + $6.61 per year</t>
  </si>
  <si>
    <t>$.04 per year</t>
  </si>
  <si>
    <t>$213.13/year</t>
  </si>
  <si>
    <t>$42.34/year</t>
  </si>
  <si>
    <t>$.60/year</t>
  </si>
  <si>
    <t>.0043/kWh</t>
  </si>
  <si>
    <t>.027/kWh</t>
  </si>
  <si>
    <t>2011 MA PA Residential Study</t>
  </si>
  <si>
    <t>Utility Perspective Values (in 2010 $ US)</t>
  </si>
  <si>
    <t>Arrearages</t>
  </si>
  <si>
    <t>Bad Debt Write Offs</t>
  </si>
  <si>
    <t>Terminations and Reconnections</t>
  </si>
  <si>
    <t>Customer Calls</t>
  </si>
  <si>
    <t>Collections Notices</t>
  </si>
  <si>
    <t>Safety-related Emergency Calls</t>
  </si>
  <si>
    <t>per year from literature</t>
  </si>
  <si>
    <t>Total Utility Perspective Value/Year</t>
  </si>
  <si>
    <t>Participant Perspective Values (in 2010 $ US)</t>
  </si>
  <si>
    <t>Higher Comfort Levels</t>
  </si>
  <si>
    <t>nli new construction</t>
  </si>
  <si>
    <t>survey</t>
  </si>
  <si>
    <t>Quieter interior environment</t>
  </si>
  <si>
    <t>per year</t>
  </si>
  <si>
    <t>Lighting quality and lifetime</t>
  </si>
  <si>
    <t>per bulb</t>
  </si>
  <si>
    <t>TRM report (CFL)</t>
  </si>
  <si>
    <t>Increased housing and property value</t>
  </si>
  <si>
    <t>annual NC</t>
  </si>
  <si>
    <t>one time NLI</t>
  </si>
  <si>
    <t>More durable home and less maintenance</t>
  </si>
  <si>
    <t>non low-income retrofit</t>
  </si>
  <si>
    <t>Equipment and appliance maintenance requirements</t>
  </si>
  <si>
    <t>Health related NEIs</t>
  </si>
  <si>
    <t>Not included as more up-to-date research is available</t>
  </si>
  <si>
    <t>Total Participant Perspective Value</t>
  </si>
  <si>
    <t>BY MEASURE</t>
  </si>
  <si>
    <t>$189/year</t>
  </si>
  <si>
    <t xml:space="preserve">  </t>
  </si>
  <si>
    <t>Air Sealing</t>
  </si>
  <si>
    <t>Appliance (refrigerators and freezers)</t>
  </si>
  <si>
    <t>Cooling Systems</t>
  </si>
  <si>
    <t>Duct Sealing</t>
  </si>
  <si>
    <t>Heating and Cooling System</t>
  </si>
  <si>
    <t>Heating and Hot Water System</t>
  </si>
  <si>
    <t>Heating System</t>
  </si>
  <si>
    <t>Hot Water System</t>
  </si>
  <si>
    <t>Insulation</t>
  </si>
  <si>
    <t>Lighting</t>
  </si>
  <si>
    <t>Service to Heating or Cooling System</t>
  </si>
  <si>
    <t>Low Flow Showerhead</t>
  </si>
  <si>
    <t>AC system sizing</t>
  </si>
  <si>
    <t>Programmable Thermostat</t>
  </si>
  <si>
    <t>Window</t>
  </si>
  <si>
    <t>Weatherization</t>
  </si>
  <si>
    <t>Thermal Comfort</t>
  </si>
  <si>
    <t>Noise Reduction</t>
  </si>
  <si>
    <t>Health Impacts</t>
  </si>
  <si>
    <t>Equipment Maintenance</t>
  </si>
  <si>
    <t>Lighting Quality</t>
  </si>
  <si>
    <t>Property Value</t>
  </si>
  <si>
    <t>Total Minus Health</t>
  </si>
  <si>
    <t>Weatherization package</t>
  </si>
  <si>
    <t>Other MA Studies 2012 C&amp;I and Three3 Health Impacts</t>
  </si>
  <si>
    <t>$0.0022/kWh</t>
  </si>
  <si>
    <t>MD Recommended O&amp;M</t>
  </si>
  <si>
    <t>$36/year</t>
  </si>
  <si>
    <t>.097/kWh</t>
  </si>
  <si>
    <t>.037/kWh</t>
  </si>
  <si>
    <t>$45.05/year</t>
  </si>
  <si>
    <t>Labor</t>
  </si>
  <si>
    <t>Source</t>
  </si>
  <si>
    <t>Other installers, repairers and servicers and material handlers</t>
  </si>
  <si>
    <t>Maintenance and equipment operation trades </t>
  </si>
  <si>
    <t>Nova Scotia</t>
  </si>
  <si>
    <t>Massachusetts</t>
  </si>
  <si>
    <t>Laborers and Freight, Stock, and Material Movers, Hand</t>
  </si>
  <si>
    <t>Installation, Maintenance, and Repair Workers, All Other</t>
  </si>
  <si>
    <t>exchange rate U.S. to $ CAN</t>
  </si>
  <si>
    <t>as of 8/28/2017</t>
  </si>
  <si>
    <t>https://www.google.com/search?q=exchange+rate+US+to+CAn&amp;rlz=1C1GGRV_enUS757US757&amp;oq=exchange+rate+US+to+CAn&amp;aqs=chrome..69i57j0l5.7647j0j8&amp;sourceid=chrome&amp;ie=UTF-8</t>
  </si>
  <si>
    <t>Average Hourly Wage (CAN $)</t>
  </si>
  <si>
    <t>Date</t>
  </si>
  <si>
    <t>http://www5.statcan.gc.ca/cansim/a26?lang=eng&amp;retrLang=eng&amp;id=2820151&amp;&amp;pattern=&amp;stByVal=1&amp;p1=1&amp;p2=37&amp;tabMode=dataTable&amp;csid=</t>
  </si>
  <si>
    <t>U.S. values are adjusted for inflation to 2017 CA values</t>
  </si>
  <si>
    <t>Fuel Costs</t>
  </si>
  <si>
    <t xml:space="preserve">Gasoline </t>
  </si>
  <si>
    <t>Diesel</t>
  </si>
  <si>
    <t>Fuel Costs (CAN $)</t>
  </si>
  <si>
    <t>https://www.bls.gov/OES/current/oes_ma.htm#49-0000</t>
  </si>
  <si>
    <t>8/16/2017-8/22/2017</t>
  </si>
  <si>
    <t>http://www.mass.gov/eea/energy-utilities-clean-tech/home-auto-fuel-price-info/gasoline-and-diesel-fuel-prices.html</t>
  </si>
  <si>
    <t>https://nsuarb.novascotia.ca/mandates/gasoline-diesel-pricing/gasoline-prices-zone-map</t>
  </si>
  <si>
    <t>Median Price</t>
  </si>
  <si>
    <t>Boston</t>
  </si>
  <si>
    <t>Halifax NS Airport</t>
  </si>
  <si>
    <t>Chicopee, MA</t>
  </si>
  <si>
    <t>Yarmouth, NS</t>
  </si>
  <si>
    <t>5 year average</t>
  </si>
  <si>
    <t>Pittsfield, MA</t>
  </si>
  <si>
    <t>Sydney, NS</t>
  </si>
  <si>
    <t>% difference</t>
  </si>
  <si>
    <t>Difference</t>
  </si>
  <si>
    <t>Average Heating (degrees Celsius)</t>
  </si>
  <si>
    <t>Average Cooling (degrees Celsius)</t>
  </si>
  <si>
    <t>Sum of heating and cooling degree days</t>
  </si>
  <si>
    <t>Heating Degree Days Celsius (base temp 15.5 degrees) (about 60 deg F)</t>
  </si>
  <si>
    <r>
      <t xml:space="preserve">Cooling Degree Days Celsius </t>
    </r>
    <r>
      <rPr>
        <sz val="11"/>
        <color theme="1"/>
        <rFont val="Calibri"/>
        <family val="2"/>
        <scheme val="minor"/>
      </rPr>
      <t xml:space="preserve"> (base temp 15.5 degrees) (about 60 deg F)</t>
    </r>
  </si>
  <si>
    <t>Heating Degree Days Fahrenheit (base temp 65 degrees) (about 18.3 deg C)</t>
  </si>
  <si>
    <t>Cooling Degree Days Fahrenheit (base temp 65 degrees) (about 18.3 deg C)</t>
  </si>
  <si>
    <t>SUM MA</t>
  </si>
  <si>
    <t>SUM NS</t>
  </si>
  <si>
    <t>DIFF</t>
  </si>
  <si>
    <t>TOTAL of 2.2% difference in heating and cooling degree days</t>
  </si>
  <si>
    <t>More Heating Degree Days, Fewer Cooling Degree Days in N.S.</t>
  </si>
  <si>
    <t>Nova Scotia has 2.2% more heating and cooling degree days</t>
  </si>
  <si>
    <t>Nova Scotia wages are slightly higher for comparable labor categories</t>
  </si>
  <si>
    <t>Gasoline and Diesel Prices are higher in Nova Scotia</t>
  </si>
  <si>
    <t>Comfort Benefits would be comparable (or maybe a little greater)</t>
  </si>
  <si>
    <t>VEIC Rationale</t>
  </si>
  <si>
    <t>prescriptive refrigeration from MA TRM</t>
  </si>
  <si>
    <t>These Studies Inform regulator-approved values in Column "T"</t>
  </si>
  <si>
    <t>further research recommended</t>
  </si>
  <si>
    <t>no MA tank wrap measure for C&amp;I-using pipe wrap measure NEIs as proxy</t>
  </si>
  <si>
    <t>Compressed Air-Custom</t>
  </si>
  <si>
    <t>HVAC-Custom</t>
  </si>
  <si>
    <t>Lighting-Custom</t>
  </si>
  <si>
    <t>Process-Custom</t>
  </si>
  <si>
    <t>Refrigeration-Custom</t>
  </si>
  <si>
    <t>.056/kWh</t>
  </si>
  <si>
    <t>.024/kWh</t>
  </si>
  <si>
    <t>.059/kWh</t>
  </si>
  <si>
    <t>.047/kWh</t>
  </si>
  <si>
    <t xml:space="preserve">from RI TRM-MA TRM does not include benefits of recycling old refrigerator </t>
  </si>
  <si>
    <t>$43.61 one time</t>
  </si>
  <si>
    <t>$3.50 one time</t>
  </si>
  <si>
    <t>MA Does not offer this measure-however, this measure is similar to other commercial refrigeration measures not associated with NEIs in MA's TRM</t>
  </si>
  <si>
    <t>for specific project categories-FLAGGED for Research Team follow-up</t>
  </si>
  <si>
    <t>Not offered in MA-similar to SmartStrip?</t>
  </si>
  <si>
    <t>Water Savings + $.03 property value increase</t>
  </si>
  <si>
    <t>page 98 MA TRM indicates value to RES SF and p. 414 Appendix C indicates value to LI</t>
  </si>
  <si>
    <t>No Tank Wrap measure in MA-use pipe wrap as a proxy?</t>
  </si>
  <si>
    <t>$46.07 one time plus $5.15/year</t>
  </si>
  <si>
    <t>$385.23 one time + $49.71/yr</t>
  </si>
  <si>
    <t>No exact measure match-using proxy</t>
  </si>
  <si>
    <t xml:space="preserve">No exact measure match-using heat pump as proxy </t>
  </si>
  <si>
    <t>likely low-no exact measure match-using Boiler replacement as proxy</t>
  </si>
  <si>
    <t>$56.39 one time + $1.23/yr</t>
  </si>
  <si>
    <t>Too low, should include property value increase and home durability</t>
  </si>
  <si>
    <t>request input from Research Team</t>
  </si>
  <si>
    <t>not a MA Measure - from PA research 2011 - refine based on single pane replacement or double pane replacement?</t>
  </si>
  <si>
    <t>LOW-only includes air sealing, duct sealing and insulation-no windows or doors</t>
  </si>
  <si>
    <t>This is only for more efficient heating system-does not account for more efficient insulation, air sealing, appliances, lighting and doors and windows. Scaling should also be applied.</t>
  </si>
  <si>
    <t>MA Does not offer this measure, but high efficiency air compressors are used as a proxy and have no NEIs in TRM (p.289)</t>
  </si>
  <si>
    <t>already measured and valued in NS c/b screening</t>
  </si>
  <si>
    <t>VEIC Recommendation US$</t>
  </si>
  <si>
    <t>VEIC Recommendation CAD$</t>
  </si>
  <si>
    <t>one time per unit from MA TRM</t>
  </si>
  <si>
    <t>$57.59 one time plus $10.33/year</t>
  </si>
  <si>
    <t>No comparable measure in MA</t>
  </si>
  <si>
    <t>Research Team?</t>
  </si>
  <si>
    <t>Minimum Wage Massachusetts</t>
  </si>
  <si>
    <t>Minimum Wage Nova Scotia</t>
  </si>
  <si>
    <t>(experienced)</t>
  </si>
  <si>
    <t>this amount is the number of cubic meters per unit for water savings and the same number of cubic meters per unit for wastewater savings</t>
  </si>
  <si>
    <t xml:space="preserve">Annual Water Savings from MA TRM (cubic meters/unit) </t>
  </si>
  <si>
    <t>$.0966/ kWh</t>
  </si>
  <si>
    <t>per therm-changed to kWh</t>
  </si>
  <si>
    <t>$3.00 one time per unit (for lighting quality and lifetime)</t>
  </si>
  <si>
    <t>$5.00 one time + $5.56 per year</t>
  </si>
  <si>
    <t>$6.25 one time plus $6.95/year</t>
  </si>
  <si>
    <t>$46.07 one time plus $5.06/year</t>
  </si>
  <si>
    <t>$57.59 one time plus $6.33/year</t>
  </si>
  <si>
    <t>$385.23 one time + $48.82/yr</t>
  </si>
  <si>
    <t>$481.54 one time plus $61.03/year</t>
  </si>
  <si>
    <t>$19.27one time + $2.70/yr</t>
  </si>
  <si>
    <t>$24.09 one time plus $3.38/year</t>
  </si>
  <si>
    <t>FLAGGED for further research</t>
  </si>
  <si>
    <t>Aug 2016 Average</t>
  </si>
  <si>
    <t>Aug 2017 Average</t>
  </si>
  <si>
    <t>https://www03.cmhc-schl.gc.ca/hmiportal/en/#Profile/12/2/Nova%20Scotia</t>
  </si>
  <si>
    <t>Q1 2017 Aggregate</t>
  </si>
  <si>
    <t>https://docs.rlpnetwork.com/rlp.ca/hps/HPS_Q1_2017_Price_Composite_EN.pdf</t>
  </si>
  <si>
    <t>Housing Price (CAD)</t>
  </si>
  <si>
    <t>June 2017 Median Price</t>
  </si>
  <si>
    <t>Average Home Prices and Value in Massachusetts</t>
  </si>
  <si>
    <t>Average</t>
  </si>
  <si>
    <t>Median</t>
  </si>
  <si>
    <t>http://creastats.crea.ca/nsar/mls05_median.html</t>
  </si>
  <si>
    <t>q2 2017 Median single detached</t>
  </si>
  <si>
    <t>Median Single-Family detached June 2017</t>
  </si>
  <si>
    <t>ratio</t>
  </si>
  <si>
    <t>Average from Jan 2014-Sept 2017</t>
  </si>
  <si>
    <t>2014-2016 Yearly Average Exchange Rate</t>
  </si>
  <si>
    <t>Motors and Drives-Custom</t>
  </si>
  <si>
    <t>DNV KEMA recommends using $0 for custom electric measures that were not statistically significant (Motors and Drives) because the data do not provide sufficient evidence to support a non-zero estimate.</t>
  </si>
  <si>
    <t>2014-2016</t>
  </si>
  <si>
    <t>Average of 2 cells below</t>
  </si>
  <si>
    <t>Water and Sewer savings for Nova Scotia in cell above</t>
  </si>
  <si>
    <t>MA TRM: Non-Energy Impact=None</t>
  </si>
  <si>
    <t>p. 418 MA TRM O&amp;M</t>
  </si>
  <si>
    <t>One time property value increase</t>
  </si>
  <si>
    <t>Not offered in MA</t>
  </si>
  <si>
    <t>One time per unit</t>
  </si>
  <si>
    <t>Only for Low Income</t>
  </si>
  <si>
    <t>backed out existing modeled water savings per E1 email 9.15.2017</t>
  </si>
  <si>
    <t>VEIC Recommended                            One-Time NEB</t>
  </si>
  <si>
    <t xml:space="preserve">VEIC Recommended                     Annual NEBs </t>
  </si>
  <si>
    <t>No comparable measure in MA TRM</t>
  </si>
  <si>
    <t>.006/kWh</t>
  </si>
  <si>
    <t>Page 8 in new construction study-seems really low-FLAGGED</t>
  </si>
  <si>
    <t>TRC Calculation</t>
  </si>
  <si>
    <t>PV One-Time NEB</t>
  </si>
  <si>
    <t>PV Annual NEB</t>
  </si>
  <si>
    <t>TRC With NEBs</t>
  </si>
  <si>
    <t>TRC % Change</t>
  </si>
  <si>
    <t>Measure Identifier</t>
  </si>
  <si>
    <t>Total measures</t>
  </si>
  <si>
    <t>No change to TRC</t>
  </si>
  <si>
    <t>.0368/kWh</t>
  </si>
  <si>
    <t>Overal Custom Electric from 2012 C&amp;I Study</t>
  </si>
  <si>
    <t>Buckets</t>
  </si>
  <si>
    <t>C&amp;I Admin</t>
  </si>
  <si>
    <t>C&amp;I Material Handling</t>
  </si>
  <si>
    <t>C&amp;I Material Movement</t>
  </si>
  <si>
    <t>C&amp;I Other Costs</t>
  </si>
  <si>
    <t>C&amp;I Other Labor</t>
  </si>
  <si>
    <t>C&amp;I O&amp;M</t>
  </si>
  <si>
    <t>C&amp;I Rent Revenue</t>
  </si>
  <si>
    <t>C&amp;I Sales Revenue</t>
  </si>
  <si>
    <t>refer to 2012 C&amp;I Study Table 4-7 and Table 4-17 for percentage of NEIs from each category</t>
  </si>
  <si>
    <t>C&amp;I Waste Disposal</t>
  </si>
  <si>
    <t>C&amp;I Total (check)</t>
  </si>
  <si>
    <t>MA does not offer  AG program measures, however, based on anecdotal evidence in Vermont, VEIC recommends further exploration of these measures by the Research Team</t>
  </si>
  <si>
    <t>MA does not offer  AG program measures, however, based on anetdotal evidence in Vermont, VEIC recommends further exploration of these measures by the Research Team</t>
  </si>
  <si>
    <t>not in MA TRM but included in initial study under HVAC and found to be statistically significant</t>
  </si>
  <si>
    <t>may be low/no accommodation for pellets</t>
  </si>
  <si>
    <t>=</t>
  </si>
  <si>
    <t>LOW-only includes air sealing, duct sealing and insulation-no windows, doors, lighting,appliances</t>
  </si>
  <si>
    <t>No prescriptive AG program in MA</t>
  </si>
  <si>
    <t>Total 
Avoided Cost Benefits with NEBs
($)</t>
  </si>
  <si>
    <t>NEW TRC RATIO</t>
  </si>
  <si>
    <t>TRC Ratio (with NEB)</t>
  </si>
  <si>
    <t>Plan Year 2016</t>
  </si>
  <si>
    <t>Plan Year 2017</t>
  </si>
  <si>
    <t>Plan Year 2018</t>
  </si>
  <si>
    <t>MA TRM Total (USD)</t>
  </si>
  <si>
    <t>RI TRM NEI Value (based on MA) (USD)</t>
  </si>
  <si>
    <t>MD Recommended NEI Value (Air Emissions)-SOCIETAL (USD)</t>
  </si>
  <si>
    <t>MD Recommended Comfort (based on MA) (USD)</t>
  </si>
  <si>
    <t>TRC Test Analysis</t>
  </si>
  <si>
    <t>VEIC Recommended NEBs</t>
  </si>
  <si>
    <t>Program and Portfolio Analysis</t>
  </si>
  <si>
    <t>C&amp;I Product Spoilage</t>
  </si>
  <si>
    <t>Res Comfort</t>
  </si>
  <si>
    <t>Durability</t>
  </si>
  <si>
    <t>per measure per year--from RI TRM-b description better fit than MA-no breakdown of benefits</t>
  </si>
  <si>
    <t>One Time</t>
  </si>
  <si>
    <t>Annual</t>
  </si>
  <si>
    <t>Total Check</t>
  </si>
  <si>
    <t>$481.54 one time plus $61.51/year</t>
  </si>
  <si>
    <t>removed</t>
  </si>
  <si>
    <t>$3.73 one time plus $1.54/year</t>
  </si>
  <si>
    <t xml:space="preserve">$516.39 + $65.69/yr </t>
  </si>
  <si>
    <t>$645.49 one time + $82.70/year</t>
  </si>
  <si>
    <t>$148.68/year</t>
  </si>
  <si>
    <t xml:space="preserve">Quanitiy of Installed Measures </t>
  </si>
  <si>
    <t xml:space="preserve">Quantity of Installed Measures </t>
  </si>
  <si>
    <t>Total 
NEB
($)</t>
  </si>
  <si>
    <t>TRC with NEB (Ratio)</t>
  </si>
  <si>
    <t>BNI - Efficient Product Rebates</t>
  </si>
  <si>
    <t>BNI- Direct Installation</t>
  </si>
  <si>
    <t>Custom Incentives</t>
  </si>
  <si>
    <t>Residential - Efficient Product Rebates</t>
  </si>
  <si>
    <t>Existing Residential</t>
  </si>
  <si>
    <t>New Residential</t>
  </si>
  <si>
    <t>Total 
Benefits 
($)</t>
  </si>
  <si>
    <t>Total 
 Benefits 
($)</t>
  </si>
  <si>
    <t>Total Benefits Including NEBs</t>
  </si>
  <si>
    <t>Total Benefits includingNEBs</t>
  </si>
  <si>
    <t>converted MA savings to cubic meters and multiplied by water and sewer savings</t>
  </si>
  <si>
    <t>backed out NS savings and used MA values converted to cubic meters and multiplied by water and sewer savings</t>
  </si>
  <si>
    <t xml:space="preserve">backed out NS savings and used MA values converted to cubic meters and multiplied by water and sewer savings </t>
  </si>
  <si>
    <t>Other NEB Resources (for illustrative purposes, not included in calculations)</t>
  </si>
  <si>
    <t>No Utility NEBs Included in Analysis</t>
  </si>
  <si>
    <t>No HealthValues Included in Analysis</t>
  </si>
  <si>
    <t>Measures identified by VEIC as having potential for more research</t>
  </si>
  <si>
    <t xml:space="preserve">Used Heat Pump SEER 16 to 18 </t>
  </si>
  <si>
    <t>EXISTING TRC RATIO</t>
  </si>
  <si>
    <t>Existing TRC 
(Ratio)</t>
  </si>
  <si>
    <t>Ingrid Malmgren:
Ingrid Malmgren:
page 277</t>
  </si>
  <si>
    <t>Ingrid Malmgren:
p. 285</t>
  </si>
  <si>
    <t>Ingrid Malmgren:
p.287</t>
  </si>
  <si>
    <t>Ingrid Malmgren:
p.324</t>
  </si>
  <si>
    <t>Ingrid Malmgren:
p.419-420 includes admin costs, material handling, material movement, other costs, other labor costs, O&amp;M product spoilage, rent revenue, sales revenue and waste disposal.</t>
  </si>
  <si>
    <t/>
  </si>
  <si>
    <t>Ingrid Malmgren:
p.262</t>
  </si>
  <si>
    <t>Ingrid Malmgren:
p.252</t>
  </si>
  <si>
    <t>Ingrid Malmgren:
Ingrid Malmgren:
p.252</t>
  </si>
  <si>
    <t xml:space="preserve">Ingrid Malmgren:
Ingrid Malmgren:
p.252
</t>
  </si>
  <si>
    <t xml:space="preserve">Ingrid Malmgren:
p.266
</t>
  </si>
  <si>
    <t xml:space="preserve">Ingrid Malmgren:
p.266
</t>
  </si>
  <si>
    <t>Ingrid Malmgren:
p.264</t>
  </si>
  <si>
    <t>Ingrid Malmgren:
p.269</t>
  </si>
  <si>
    <t xml:space="preserve">Ingrid Malmgren:
p.269
</t>
  </si>
  <si>
    <t>Ingrid Malmgren:
p.256</t>
  </si>
  <si>
    <t>Ingrid Malmgren:
p.299</t>
  </si>
  <si>
    <t>Ingrid Malmgren:
p.418-prescriptive
includes admin costs, material handling, material movement, other costs, other labor costs, O&amp;M product spoilage, rent revenue, sales revenue and waste disposal.</t>
  </si>
  <si>
    <t>Ingrid Malmgren:
p.291</t>
  </si>
  <si>
    <t>Ingrid Malmgren:
p.289</t>
  </si>
  <si>
    <t xml:space="preserve">Ingrid Malmgren:
p.296
</t>
  </si>
  <si>
    <t xml:space="preserve">Ingrid Malmgren:
p.238
</t>
  </si>
  <si>
    <t>Ingrid Malmgren:
p.248</t>
  </si>
  <si>
    <t xml:space="preserve">Ingrid Malmgren:
p.365
</t>
  </si>
  <si>
    <t>Ingrid Malmgren:
p.420
C&amp;I small business</t>
  </si>
  <si>
    <t>Ingrid Malmgren:
see appendix C across single and multi-family programs</t>
  </si>
  <si>
    <t>Ingrid Malmgren:
p.221</t>
  </si>
  <si>
    <t>Ingrid Malmgren:
p.155</t>
  </si>
  <si>
    <t xml:space="preserve">Ingrid Malmgren:
p 162
</t>
  </si>
  <si>
    <t xml:space="preserve">Ingrid Malmgren:
p.164
</t>
  </si>
  <si>
    <t xml:space="preserve">Ingrid Malmgren:
p.168
only for L.I.
</t>
  </si>
  <si>
    <t>Ingrid Malmgren:
p.409 multi-family p.410 res HES
p.412 res lighting</t>
  </si>
  <si>
    <t>Ingrid Malmgren:
p.176</t>
  </si>
  <si>
    <t>BNI - Efficienct Product Rebates -2016-2018</t>
  </si>
  <si>
    <t>End Use</t>
  </si>
  <si>
    <t>Aggregate TRC w/o NEBs</t>
  </si>
  <si>
    <t>Aggregate TRC w NEBs</t>
  </si>
  <si>
    <t xml:space="preserve">% Change </t>
  </si>
  <si>
    <t xml:space="preserve">% of Program NEBs </t>
  </si>
  <si>
    <t>BNI - Direct Installation -2016-2018</t>
  </si>
  <si>
    <t>BNI - Custom Incentives -2016-2018</t>
  </si>
  <si>
    <t>RES - Efficienct Product Rebates -2016-2018</t>
  </si>
  <si>
    <t xml:space="preserve">RES-Plug Load </t>
  </si>
  <si>
    <t>RES - Existing Residential -2016-2018</t>
  </si>
  <si>
    <t>RES - New Residential -2016-2018</t>
  </si>
  <si>
    <t>Reference</t>
  </si>
  <si>
    <t xml:space="preserve">Ingrid Malmgren:
Ingrid Malmgren:
page 280
</t>
  </si>
  <si>
    <t xml:space="preserve">Ingrid Malmgren:
p.285 MA TRM
</t>
  </si>
  <si>
    <t xml:space="preserve">Ingrid Malmgren:
p.283 MA TRM
</t>
  </si>
  <si>
    <t xml:space="preserve">Ingrid Malmgren:
p. 271
</t>
  </si>
  <si>
    <t xml:space="preserve">Ingrid Malmgren:
p.236 MA TRM
</t>
  </si>
  <si>
    <t xml:space="preserve">Ingrid Malmgren:
p.21 MA TRM
</t>
  </si>
  <si>
    <t xml:space="preserve">Ingrid Malmgren:
p.289 no NEIs associated with high efficiency air compressors
</t>
  </si>
  <si>
    <t xml:space="preserve">Ingrid Malmgren:
p.289
</t>
  </si>
  <si>
    <t>Ingrid Malmgren:
from table 1-2 HVAC</t>
  </si>
  <si>
    <t>Ingrid Malmgren:
Total Custom NEI from 2012 C&amp;I Study table 1-2</t>
  </si>
  <si>
    <t>Ingrid Malmgren:
p. 418 MA TRM</t>
  </si>
  <si>
    <t xml:space="preserve">Ingrid Malmgren:
p. 418 MA TRM
</t>
  </si>
  <si>
    <t>Ingrid Malmgren:
from 2016 New Construction Study
Table 2: Value for custome electric overall-page 8</t>
  </si>
  <si>
    <t xml:space="preserve">Ingrid Malmgren:
from 2016 New Construction Study
Table 2: Value for custome electric overall-page 8
</t>
  </si>
  <si>
    <t xml:space="preserve">Ingrid Malmgren:
from MA TRM one time property value -additional benefits for multi-family and loe-income (not included here) p.410
 </t>
  </si>
  <si>
    <t>Ingrid Malmgren:
from RI B-1 $49.50 per measure/year "Non-energy benefits associated with installing a new room air conditioner."</t>
  </si>
  <si>
    <t>Ingrid Malmgren:
p. 162</t>
  </si>
  <si>
    <t>Ingrid Malmgren:
MA TRM LI $5.00 one time property value inc. plus $5.56 thermal comfort - NO HEALTH</t>
  </si>
  <si>
    <t>Ingrid Malmgren:
MA TRM LI $5.00 one time property value inc. plus $5.56 thermal comfort - NO HEALTH
$46.07 USD one time plus $5.06/year USD</t>
  </si>
  <si>
    <t>Ingrid Malmgren:
MA TRM p. 410 Heat pump SEER 16 to 18 NO HEALTH</t>
  </si>
  <si>
    <t>Ingrid Malmgren:
MA TRM p.412 Boiler 90% NO HEALTH
$385.23 one time + $48.82/yr (USD)</t>
  </si>
  <si>
    <t>Ingrid Malmgren:
MA TRM p.410 Heat Pump SEER 16 NO HEALTH</t>
  </si>
  <si>
    <t>Ingrid Malmgren:
MA TRM p 412 Boiler 90% NO HEALTH</t>
  </si>
  <si>
    <t>Ingrid Malmgren:
MA TRM p 411 Combo Boiler NO HEALTH
$19.27one time + $2.70/yr (USD) Prorated for property value</t>
  </si>
  <si>
    <t>Ingrid Malmgren:
MA TRM p.412 Boiler 90% NO HEALTH 
expect this to be low</t>
  </si>
  <si>
    <t>Ingrid Malmgren:
MA TRM App. C p. 411
tankless DHW</t>
  </si>
  <si>
    <t>Ingrid Malmgren:
see PA Study-Res tab
does not differentiate between single and double pane windows
does not include health impacts</t>
  </si>
  <si>
    <t xml:space="preserve">Ingrid Malmgren:
MA TRM p. 162
</t>
  </si>
  <si>
    <t xml:space="preserve">Ingrid Malmgren:
from MA TRM one time property value -additional benefits for multi-family and low-income (not included here) p.410
 </t>
  </si>
  <si>
    <t>Ingrid Malmgren:
includes air sealing, insulation and duct sealing. One time 516.39 for property value and annual NO HEALTH</t>
  </si>
  <si>
    <t xml:space="preserve">Ingrid Malmgren:
from Rhode Island TRM B-5 $77/yr for thermal comfort $40/yr for noise reduction $72/yr for inc prop value-res NC no specifics for level of efficiency
 Property value has been prorated
</t>
  </si>
  <si>
    <t>page 277</t>
  </si>
  <si>
    <t>Adjusted-Water Savings</t>
  </si>
  <si>
    <t>Proxy</t>
  </si>
  <si>
    <t>Proxy-from original research</t>
  </si>
  <si>
    <t>Adjusted units of measure</t>
  </si>
  <si>
    <t>One time per unit for lighting quality and lifetime</t>
  </si>
  <si>
    <t>Adjusted-Water Savings and prorated property value</t>
  </si>
  <si>
    <t>Adjusted-prorated for property value</t>
  </si>
  <si>
    <t>Proxy/ Adjusted prorated for property value</t>
  </si>
  <si>
    <t>Flagged</t>
  </si>
  <si>
    <t>Adjusted-water savings</t>
  </si>
  <si>
    <t>MA TRM p.279</t>
  </si>
  <si>
    <t>Treatment</t>
  </si>
  <si>
    <t>MA TRM p.280</t>
  </si>
  <si>
    <t>MA TRM p.285</t>
  </si>
  <si>
    <t>MA TRM p.287</t>
  </si>
  <si>
    <t>MA TRM p.324</t>
  </si>
  <si>
    <t>MA TRM p.419</t>
  </si>
  <si>
    <t>MA TRM p.283</t>
  </si>
  <si>
    <t>MA TRM p.271</t>
  </si>
  <si>
    <t>MA TRM p.236</t>
  </si>
  <si>
    <t>MA TRM p.19</t>
  </si>
  <si>
    <t>MA TRM p.262</t>
  </si>
  <si>
    <t>Not offered in MA TRM</t>
  </si>
  <si>
    <t>MA TRM p.252</t>
  </si>
  <si>
    <t>MA TRM p.266</t>
  </si>
  <si>
    <t>MA TRM p.264</t>
  </si>
  <si>
    <t>MA TRM p.269</t>
  </si>
  <si>
    <t>MA TRM p.256</t>
  </si>
  <si>
    <t>MA TRM p.299</t>
  </si>
  <si>
    <t>MA TRM p.418</t>
  </si>
  <si>
    <t>MA TRM p.291</t>
  </si>
  <si>
    <t>MA TRM p.289</t>
  </si>
  <si>
    <t>MA TRM p.296</t>
  </si>
  <si>
    <t>MA TRM p.238</t>
  </si>
  <si>
    <t>MA TRM p.248</t>
  </si>
  <si>
    <t>MA PA 2012 Study table 1-2 HVAC</t>
  </si>
  <si>
    <t>MA TRM p.366</t>
  </si>
  <si>
    <t>MA TRM p.420</t>
  </si>
  <si>
    <t>MA TRM p.365</t>
  </si>
  <si>
    <t>MA PA 2012 Study overall Custom</t>
  </si>
  <si>
    <t>MA PA 2016 Study Table 2 Page 8</t>
  </si>
  <si>
    <t>RI TRM</t>
  </si>
  <si>
    <t>MA TRM p.410</t>
  </si>
  <si>
    <t>MA TRM p.409</t>
  </si>
  <si>
    <t>MA TRM p.162</t>
  </si>
  <si>
    <t>MA TRM p.164</t>
  </si>
  <si>
    <t>MA TRM p.412</t>
  </si>
  <si>
    <t>MA TRM p.176</t>
  </si>
  <si>
    <t>MA TRM p.98</t>
  </si>
  <si>
    <t>MA TRM p.411</t>
  </si>
  <si>
    <t>MA PA 2011 Study table 2-6</t>
  </si>
  <si>
    <t>RI TRM Appendix B</t>
  </si>
</sst>
</file>

<file path=xl/styles.xml><?xml version="1.0" encoding="utf-8"?>
<styleSheet xmlns="http://schemas.openxmlformats.org/spreadsheetml/2006/main" xmlns:mc="http://schemas.openxmlformats.org/markup-compatibility/2006" xmlns:x14ac="http://schemas.microsoft.com/office/spreadsheetml/2009/9/ac" mc:Ignorable="x14ac">
  <numFmts count="40">
    <numFmt numFmtId="7" formatCode="&quot;$&quot;#,##0.00_);\(&quot;$&quot;#,##0.00\)"/>
    <numFmt numFmtId="44" formatCode="_(&quot;$&quot;* #,##0.00_);_(&quot;$&quot;* \(#,##0.00\);_(&quot;$&quot;* &quot;-&quot;??_);_(@_)"/>
    <numFmt numFmtId="43" formatCode="_(* #,##0.00_);_(* \(#,##0.00\);_(* &quot;-&quot;??_);_(@_)"/>
    <numFmt numFmtId="164" formatCode="#,##0.0"/>
    <numFmt numFmtId="165" formatCode="_(* #,##0.0_);_(* \(#,##0.0\);_(* &quot;-&quot;??_);_(@_)"/>
    <numFmt numFmtId="166" formatCode="0.0"/>
    <numFmt numFmtId="167" formatCode="&quot;$&quot;#,##0"/>
    <numFmt numFmtId="168" formatCode="&quot;$&quot;#,##0.00"/>
    <numFmt numFmtId="169" formatCode="0.000000"/>
    <numFmt numFmtId="170" formatCode="0.00000"/>
    <numFmt numFmtId="171" formatCode="&quot;$&quot;#,##0.000"/>
    <numFmt numFmtId="172" formatCode="_(* #,##0_);_(* \(#,##0\);_(* &quot;-&quot;??_);_(@_)"/>
    <numFmt numFmtId="173" formatCode="&quot;$&quot;#,##0.0000"/>
    <numFmt numFmtId="174" formatCode="0.000000000"/>
    <numFmt numFmtId="175" formatCode="#,##0.000000000"/>
    <numFmt numFmtId="176" formatCode="0.00000000"/>
    <numFmt numFmtId="177" formatCode="0.0000"/>
    <numFmt numFmtId="178" formatCode="#,##0.00000000"/>
    <numFmt numFmtId="179" formatCode="_(&quot;$&quot;* #,##0_);_(&quot;$&quot;* \(#,##0\);_(&quot;$&quot;* &quot;-&quot;??_);_(@_)"/>
    <numFmt numFmtId="180" formatCode="0.0%"/>
    <numFmt numFmtId="181" formatCode="&quot;$&quot;#,##0.00000"/>
    <numFmt numFmtId="182" formatCode="0.000"/>
    <numFmt numFmtId="183" formatCode="_(&quot;$&quot;* #,##0.0000_);_(&quot;$&quot;* \(#,##0.0000\);_(&quot;$&quot;* &quot;-&quot;??_);_(@_)"/>
    <numFmt numFmtId="184" formatCode="&quot;$&quot;#,##0&quot;/MWh&quot;;\(&quot;$&quot;#,##0\)&quot;/MWh&quot;"/>
    <numFmt numFmtId="185" formatCode="_-* #,##0_-;\-* #,##0_-;_-* &quot;-&quot;_-;_-@_-"/>
    <numFmt numFmtId="186" formatCode="_-* #,##0.00_-;\-* #,##0.00_-;_-* &quot;-&quot;??_-;_-@_-"/>
    <numFmt numFmtId="187" formatCode="0.0000000000"/>
    <numFmt numFmtId="188" formatCode="#,##0;\-#,##0;&quot;-&quot;"/>
    <numFmt numFmtId="189" formatCode="&quot;$&quot;#,\);\(&quot;$&quot;#,##0\)"/>
    <numFmt numFmtId="190" formatCode="hh:mm"/>
    <numFmt numFmtId="191" formatCode="00000"/>
    <numFmt numFmtId="192" formatCode="&quot;$&quot;#,##0\ ;\(&quot;$&quot;#,##0\)"/>
    <numFmt numFmtId="193" formatCode="m/d"/>
    <numFmt numFmtId="194" formatCode="#,##0.00;[Red]#,##0.00"/>
    <numFmt numFmtId="195" formatCode="_([$€-2]* #,##0.00_);_([$€-2]* \(#,##0.00\);_([$€-2]* &quot;-&quot;??_)"/>
    <numFmt numFmtId="196" formatCode="yyyy"/>
    <numFmt numFmtId="197" formatCode="#,##0.00&quot; $&quot;;\-#,##0.00&quot; $&quot;"/>
    <numFmt numFmtId="198" formatCode="0.00_)"/>
    <numFmt numFmtId="199" formatCode="General_)"/>
    <numFmt numFmtId="200" formatCode="#,##0.00;[Red]\(#,##0.00\)"/>
  </numFmts>
  <fonts count="75">
    <font>
      <sz val="11"/>
      <color theme="1"/>
      <name val="Calibri"/>
      <family val="2"/>
      <scheme val="minor"/>
    </font>
    <font>
      <sz val="11"/>
      <color theme="1"/>
      <name val="Calibri"/>
      <family val="2"/>
      <scheme val="minor"/>
    </font>
    <font>
      <b/>
      <sz val="10"/>
      <name val="Palatino Linotype"/>
      <family val="1"/>
    </font>
    <font>
      <sz val="10"/>
      <name val="Arial"/>
      <family val="2"/>
    </font>
    <font>
      <sz val="11"/>
      <color indexed="8"/>
      <name val="Calibri"/>
      <family val="2"/>
    </font>
    <font>
      <b/>
      <sz val="9"/>
      <color indexed="81"/>
      <name val="Tahoma"/>
      <family val="2"/>
    </font>
    <font>
      <sz val="9"/>
      <color indexed="81"/>
      <name val="Tahoma"/>
      <family val="2"/>
    </font>
    <font>
      <sz val="10"/>
      <name val="Palatino Linotype"/>
      <family val="1"/>
    </font>
    <font>
      <sz val="10"/>
      <color indexed="8"/>
      <name val="Palatino Linotype"/>
      <family val="1"/>
    </font>
    <font>
      <sz val="10"/>
      <color theme="1"/>
      <name val="Calibri"/>
      <family val="2"/>
      <scheme val="minor"/>
    </font>
    <font>
      <sz val="10"/>
      <color theme="1"/>
      <name val="Palatino Linotype"/>
      <family val="1"/>
    </font>
    <font>
      <b/>
      <sz val="10"/>
      <color theme="1"/>
      <name val="Palatino Linotype"/>
      <family val="1"/>
    </font>
    <font>
      <b/>
      <sz val="10"/>
      <color rgb="FF0070C0"/>
      <name val="Palatino Linotype"/>
      <family val="1"/>
    </font>
    <font>
      <b/>
      <sz val="11"/>
      <color theme="1"/>
      <name val="Calibri"/>
      <family val="2"/>
      <scheme val="minor"/>
    </font>
    <font>
      <u/>
      <sz val="11"/>
      <color theme="10"/>
      <name val="Calibri"/>
      <family val="2"/>
      <scheme val="minor"/>
    </font>
    <font>
      <b/>
      <sz val="11"/>
      <color rgb="FF222222"/>
      <name val="Calibri"/>
      <family val="2"/>
      <scheme val="minor"/>
    </font>
    <font>
      <b/>
      <sz val="16"/>
      <color theme="1"/>
      <name val="Calibri"/>
      <family val="2"/>
      <scheme val="minor"/>
    </font>
    <font>
      <sz val="14"/>
      <color theme="1"/>
      <name val="Palatino Linotype"/>
      <family val="1"/>
    </font>
    <font>
      <sz val="10"/>
      <color indexed="11"/>
      <name val="Arial"/>
      <family val="2"/>
    </font>
    <font>
      <i/>
      <sz val="10"/>
      <color indexed="12"/>
      <name val="Arial"/>
      <family val="2"/>
    </font>
    <font>
      <i/>
      <sz val="10"/>
      <color indexed="10"/>
      <name val="Arial"/>
      <family val="2"/>
    </font>
    <font>
      <u/>
      <sz val="8.4"/>
      <color indexed="12"/>
      <name val="Arial"/>
      <family val="2"/>
    </font>
    <font>
      <sz val="11"/>
      <color indexed="9"/>
      <name val="Calibri"/>
      <family val="2"/>
    </font>
    <font>
      <sz val="10"/>
      <color indexed="8"/>
      <name val="Arial"/>
      <family val="2"/>
    </font>
    <font>
      <sz val="10"/>
      <color indexed="9"/>
      <name val="Arial"/>
      <family val="2"/>
    </font>
    <font>
      <sz val="8"/>
      <color indexed="17"/>
      <name val="Arial"/>
      <family val="2"/>
    </font>
    <font>
      <sz val="10"/>
      <name val="Geneva"/>
    </font>
    <font>
      <sz val="11"/>
      <color indexed="20"/>
      <name val="Calibri"/>
      <family val="2"/>
    </font>
    <font>
      <sz val="9"/>
      <name val="Helv"/>
    </font>
    <font>
      <b/>
      <sz val="11"/>
      <color indexed="52"/>
      <name val="Calibri"/>
      <family val="2"/>
    </font>
    <font>
      <b/>
      <sz val="11"/>
      <color indexed="9"/>
      <name val="Calibri"/>
      <family val="2"/>
    </font>
    <font>
      <sz val="10"/>
      <name val="MS Serif"/>
      <family val="1"/>
    </font>
    <font>
      <sz val="11"/>
      <name val="Book Antiqua"/>
      <family val="1"/>
    </font>
    <font>
      <sz val="10"/>
      <color theme="1"/>
      <name val="Arial"/>
      <family val="2"/>
    </font>
    <font>
      <sz val="10"/>
      <name val="Helv"/>
    </font>
    <font>
      <b/>
      <sz val="10"/>
      <color indexed="8"/>
      <name val="Arial"/>
      <family val="2"/>
    </font>
    <font>
      <sz val="10"/>
      <color indexed="16"/>
      <name val="MS Serif"/>
      <family val="1"/>
    </font>
    <font>
      <i/>
      <sz val="11"/>
      <color indexed="23"/>
      <name val="Calibri"/>
      <family val="2"/>
    </font>
    <font>
      <sz val="8"/>
      <name val="Arial"/>
      <family val="2"/>
    </font>
    <font>
      <sz val="11"/>
      <color indexed="17"/>
      <name val="Calibri"/>
      <family val="2"/>
    </font>
    <font>
      <b/>
      <i/>
      <sz val="10"/>
      <name val="Helv"/>
    </font>
    <font>
      <b/>
      <u/>
      <sz val="11"/>
      <color indexed="37"/>
      <name val="Arial"/>
      <family val="2"/>
    </font>
    <font>
      <b/>
      <sz val="12"/>
      <name val="Arial"/>
      <family val="2"/>
    </font>
    <font>
      <b/>
      <sz val="15"/>
      <color indexed="56"/>
      <name val="Calibri"/>
      <family val="2"/>
    </font>
    <font>
      <b/>
      <sz val="13"/>
      <color indexed="56"/>
      <name val="Calibri"/>
      <family val="2"/>
    </font>
    <font>
      <b/>
      <sz val="11"/>
      <color indexed="56"/>
      <name val="Calibri"/>
      <family val="2"/>
    </font>
    <font>
      <sz val="10"/>
      <color indexed="12"/>
      <name val="Arial"/>
      <family val="2"/>
    </font>
    <font>
      <sz val="11"/>
      <color indexed="62"/>
      <name val="Calibri"/>
      <family val="2"/>
    </font>
    <font>
      <sz val="11"/>
      <color indexed="52"/>
      <name val="Calibri"/>
      <family val="2"/>
    </font>
    <font>
      <sz val="11"/>
      <color indexed="60"/>
      <name val="Calibri"/>
      <family val="2"/>
    </font>
    <font>
      <sz val="7"/>
      <name val="Small Fonts"/>
      <family val="2"/>
    </font>
    <font>
      <b/>
      <i/>
      <sz val="16"/>
      <name val="Helv"/>
    </font>
    <font>
      <sz val="11"/>
      <name val="Tms Rmn"/>
    </font>
    <font>
      <b/>
      <sz val="11"/>
      <color indexed="63"/>
      <name val="Calibri"/>
      <family val="2"/>
    </font>
    <font>
      <b/>
      <i/>
      <sz val="10"/>
      <color indexed="8"/>
      <name val="Arial"/>
      <family val="2"/>
    </font>
    <font>
      <b/>
      <sz val="10"/>
      <color indexed="9"/>
      <name val="Arial"/>
      <family val="2"/>
    </font>
    <font>
      <b/>
      <sz val="11"/>
      <color indexed="16"/>
      <name val="Times New Roman"/>
      <family val="1"/>
    </font>
    <font>
      <b/>
      <sz val="10"/>
      <color indexed="13"/>
      <name val="Arial"/>
      <family val="2"/>
    </font>
    <font>
      <sz val="22"/>
      <name val="UBSHeadline"/>
      <family val="1"/>
    </font>
    <font>
      <sz val="10"/>
      <color indexed="14"/>
      <name val="Arial"/>
      <family val="2"/>
    </font>
    <font>
      <sz val="8"/>
      <name val="Helv"/>
    </font>
    <font>
      <b/>
      <sz val="18"/>
      <color indexed="56"/>
      <name val="Cambria"/>
      <family val="2"/>
    </font>
    <font>
      <b/>
      <sz val="8"/>
      <color indexed="8"/>
      <name val="Helv"/>
    </font>
    <font>
      <sz val="10"/>
      <name val="Frutiger 45 Light"/>
      <family val="2"/>
    </font>
    <font>
      <b/>
      <sz val="11"/>
      <name val="Times New Roman"/>
      <family val="1"/>
    </font>
    <font>
      <b/>
      <sz val="11"/>
      <color indexed="8"/>
      <name val="Calibri"/>
      <family val="2"/>
    </font>
    <font>
      <sz val="8"/>
      <color indexed="12"/>
      <name val="Arial"/>
      <family val="2"/>
    </font>
    <font>
      <sz val="10"/>
      <color indexed="39"/>
      <name val="Arial"/>
      <family val="2"/>
    </font>
    <font>
      <sz val="11"/>
      <color indexed="10"/>
      <name val="Calibri"/>
      <family val="2"/>
    </font>
    <font>
      <b/>
      <sz val="10"/>
      <color theme="1"/>
      <name val="Calibri"/>
      <family val="2"/>
      <scheme val="minor"/>
    </font>
    <font>
      <sz val="16"/>
      <color theme="1"/>
      <name val="Calibri"/>
      <family val="2"/>
      <scheme val="minor"/>
    </font>
    <font>
      <b/>
      <sz val="12"/>
      <color theme="0"/>
      <name val="Palatino Linotype"/>
      <family val="1"/>
    </font>
    <font>
      <b/>
      <sz val="12"/>
      <color theme="1"/>
      <name val="Palatino Linotype"/>
      <family val="1"/>
    </font>
    <font>
      <sz val="10"/>
      <color theme="1"/>
      <name val="HelveticaNeueLT Std"/>
      <family val="2"/>
    </font>
    <font>
      <sz val="10"/>
      <color indexed="8"/>
      <name val="Calibri"/>
      <family val="2"/>
      <scheme val="minor"/>
    </font>
  </fonts>
  <fills count="7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6699"/>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30"/>
        <bgColor indexed="30"/>
      </patternFill>
    </fill>
    <fill>
      <patternFill patternType="solid">
        <fgColor indexed="62"/>
      </patternFill>
    </fill>
    <fill>
      <patternFill patternType="solid">
        <fgColor indexed="45"/>
        <bgColor indexed="45"/>
      </patternFill>
    </fill>
    <fill>
      <patternFill patternType="solid">
        <fgColor indexed="29"/>
        <bgColor indexed="29"/>
      </patternFill>
    </fill>
    <fill>
      <patternFill patternType="solid">
        <fgColor indexed="10"/>
      </patternFill>
    </fill>
    <fill>
      <patternFill patternType="solid">
        <fgColor indexed="42"/>
        <bgColor indexed="42"/>
      </patternFill>
    </fill>
    <fill>
      <patternFill patternType="solid">
        <fgColor indexed="11"/>
        <bgColor indexed="11"/>
      </patternFill>
    </fill>
    <fill>
      <patternFill patternType="solid">
        <fgColor indexed="57"/>
      </patternFill>
    </fill>
    <fill>
      <patternFill patternType="solid">
        <fgColor indexed="46"/>
        <bgColor indexed="46"/>
      </patternFill>
    </fill>
    <fill>
      <patternFill patternType="solid">
        <fgColor indexed="36"/>
        <bgColor indexed="36"/>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53"/>
      </patternFill>
    </fill>
    <fill>
      <patternFill patternType="solid">
        <fgColor indexed="42"/>
        <bgColor indexed="64"/>
      </patternFill>
    </fill>
    <fill>
      <patternFill patternType="solid">
        <fgColor indexed="44"/>
        <bgColor indexed="64"/>
      </patternFill>
    </fill>
    <fill>
      <patternFill patternType="solid">
        <fgColor indexed="22"/>
      </patternFill>
    </fill>
    <fill>
      <patternFill patternType="solid">
        <fgColor indexed="55"/>
      </patternFill>
    </fill>
    <fill>
      <patternFill patternType="lightUp">
        <fgColor indexed="9"/>
        <bgColor indexed="49"/>
      </patternFill>
    </fill>
    <fill>
      <patternFill patternType="lightUp">
        <fgColor indexed="9"/>
        <bgColor indexed="10"/>
      </patternFill>
    </fill>
    <fill>
      <patternFill patternType="lightUp">
        <fgColor indexed="9"/>
        <bgColor indexed="57"/>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patternFill>
    </fill>
    <fill>
      <patternFill patternType="solid">
        <fgColor indexed="13"/>
      </patternFill>
    </fill>
    <fill>
      <patternFill patternType="solid">
        <fgColor indexed="17"/>
      </patternFill>
    </fill>
    <fill>
      <patternFill patternType="solid">
        <fgColor indexed="43"/>
        <bgColor indexed="64"/>
      </patternFill>
    </fill>
    <fill>
      <patternFill patternType="solid">
        <fgColor theme="4" tint="0.39997558519241921"/>
        <bgColor indexed="64"/>
      </patternFill>
    </fill>
  </fills>
  <borders count="5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hair">
        <color indexed="22"/>
      </left>
      <right style="hair">
        <color indexed="22"/>
      </right>
      <top style="hair">
        <color indexed="22"/>
      </top>
      <bottom style="hair">
        <color indexed="22"/>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18"/>
      </left>
      <right style="thin">
        <color indexed="18"/>
      </right>
      <top style="thin">
        <color indexed="18"/>
      </top>
      <bottom style="thin">
        <color indexed="18"/>
      </bottom>
      <diagonal/>
    </border>
    <border>
      <left/>
      <right/>
      <top style="thin">
        <color indexed="62"/>
      </top>
      <bottom style="double">
        <color indexed="62"/>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431">
    <xf numFmtId="0" fontId="0" fillId="0" borderId="0"/>
    <xf numFmtId="9" fontId="1"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14" fillId="0" borderId="0" applyNumberFormat="0" applyFill="0" applyBorder="0" applyAlignment="0" applyProtection="0"/>
    <xf numFmtId="43" fontId="1" fillId="0" borderId="0" applyFont="0" applyFill="0" applyBorder="0" applyAlignment="0" applyProtection="0"/>
    <xf numFmtId="9" fontId="4" fillId="0" borderId="0" applyFont="0" applyFill="0" applyBorder="0" applyAlignment="0" applyProtection="0"/>
    <xf numFmtId="184" fontId="3" fillId="0" borderId="0">
      <alignment horizontal="right" wrapText="1"/>
    </xf>
    <xf numFmtId="0" fontId="18" fillId="0" borderId="0" applyNumberFormat="0" applyFill="0" applyBorder="0" applyAlignment="0" applyProtection="0">
      <alignment vertical="top"/>
    </xf>
    <xf numFmtId="0" fontId="19" fillId="0" borderId="0" applyNumberFormat="0" applyFill="0" applyBorder="0" applyAlignment="0" applyProtection="0">
      <alignment vertical="top"/>
    </xf>
    <xf numFmtId="0" fontId="3" fillId="0" borderId="0" applyNumberFormat="0" applyFill="0" applyBorder="0" applyAlignment="0" applyProtection="0"/>
    <xf numFmtId="0" fontId="20" fillId="0" borderId="0" applyNumberFormat="0" applyFill="0" applyBorder="0" applyAlignment="0" applyProtection="0">
      <alignment vertical="top"/>
    </xf>
    <xf numFmtId="185" fontId="3" fillId="0" borderId="0" applyFont="0" applyFill="0" applyBorder="0" applyAlignment="0" applyProtection="0"/>
    <xf numFmtId="0" fontId="21" fillId="0" borderId="0" applyNumberFormat="0" applyFill="0" applyBorder="0" applyAlignment="0" applyProtection="0">
      <alignment vertical="top"/>
      <protection locked="0"/>
    </xf>
    <xf numFmtId="186" fontId="3" fillId="0" borderId="0" applyFont="0" applyFill="0" applyBorder="0" applyAlignment="0" applyProtection="0"/>
    <xf numFmtId="0" fontId="3" fillId="0" borderId="0" applyNumberFormat="0" applyFill="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4" fillId="4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4" fillId="45"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4" fillId="48"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4" fillId="51"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4" fillId="53"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4" fillId="56"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3" fontId="25" fillId="58" borderId="36"/>
    <xf numFmtId="187" fontId="26" fillId="59" borderId="37">
      <alignment horizontal="center" vertical="center"/>
    </xf>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3" fontId="28" fillId="0" borderId="0" applyFill="0" applyBorder="0" applyProtection="0">
      <alignment horizontal="right"/>
    </xf>
    <xf numFmtId="188" fontId="23" fillId="0" borderId="0" applyFill="0" applyBorder="0" applyAlignment="0"/>
    <xf numFmtId="0" fontId="29" fillId="60" borderId="38" applyNumberFormat="0" applyAlignment="0" applyProtection="0"/>
    <xf numFmtId="0" fontId="29" fillId="60" borderId="38" applyNumberFormat="0" applyAlignment="0" applyProtection="0"/>
    <xf numFmtId="0" fontId="29" fillId="60" borderId="38" applyNumberFormat="0" applyAlignment="0" applyProtection="0"/>
    <xf numFmtId="0" fontId="29" fillId="60" borderId="38" applyNumberFormat="0" applyAlignment="0" applyProtection="0"/>
    <xf numFmtId="0" fontId="29" fillId="60" borderId="38" applyNumberFormat="0" applyAlignment="0" applyProtection="0"/>
    <xf numFmtId="0" fontId="30" fillId="61" borderId="39" applyNumberFormat="0" applyAlignment="0" applyProtection="0"/>
    <xf numFmtId="0" fontId="30" fillId="61" borderId="39" applyNumberFormat="0" applyAlignment="0" applyProtection="0"/>
    <xf numFmtId="0" fontId="30" fillId="61" borderId="39" applyNumberFormat="0" applyAlignment="0" applyProtection="0"/>
    <xf numFmtId="0" fontId="30" fillId="61" borderId="39" applyNumberFormat="0" applyAlignment="0" applyProtection="0"/>
    <xf numFmtId="0" fontId="30" fillId="61" borderId="39" applyNumberFormat="0" applyAlignment="0" applyProtection="0"/>
    <xf numFmtId="189" fontId="3" fillId="0" borderId="0"/>
    <xf numFmtId="189" fontId="3" fillId="0" borderId="0"/>
    <xf numFmtId="189" fontId="3" fillId="0" borderId="0"/>
    <xf numFmtId="189" fontId="3" fillId="0" borderId="0"/>
    <xf numFmtId="189" fontId="3" fillId="0" borderId="0"/>
    <xf numFmtId="189" fontId="3" fillId="0" borderId="0"/>
    <xf numFmtId="189" fontId="3" fillId="0" borderId="0"/>
    <xf numFmtId="189" fontId="3" fillId="0" borderId="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0" fontId="31" fillId="0" borderId="0" applyNumberFormat="0" applyAlignment="0">
      <alignment horizontal="left"/>
    </xf>
    <xf numFmtId="190" fontId="3" fillId="0" borderId="0" applyFont="0" applyFill="0" applyBorder="0" applyAlignment="0" applyProtection="0"/>
    <xf numFmtId="191" fontId="3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7" fontId="3" fillId="0" borderId="0" applyFont="0" applyFill="0" applyBorder="0" applyAlignment="0" applyProtection="0"/>
    <xf numFmtId="7" fontId="3"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7"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194" fontId="34" fillId="0" borderId="0">
      <alignment horizontal="right"/>
      <protection locked="0"/>
    </xf>
    <xf numFmtId="0" fontId="35" fillId="62" borderId="0" applyNumberFormat="0" applyBorder="0" applyAlignment="0" applyProtection="0"/>
    <xf numFmtId="0" fontId="35" fillId="63" borderId="0" applyNumberFormat="0" applyBorder="0" applyAlignment="0" applyProtection="0"/>
    <xf numFmtId="0" fontId="35" fillId="64" borderId="0" applyNumberFormat="0" applyBorder="0" applyAlignment="0" applyProtection="0"/>
    <xf numFmtId="0" fontId="36" fillId="0" borderId="0" applyNumberFormat="0" applyAlignment="0">
      <alignment horizontal="left"/>
    </xf>
    <xf numFmtId="195" fontId="3" fillId="0" borderId="0" applyFont="0" applyFill="0" applyBorder="0" applyAlignment="0" applyProtection="0"/>
    <xf numFmtId="0" fontId="4"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 fontId="3" fillId="0" borderId="0" applyFont="0" applyFill="0" applyBorder="0" applyAlignment="0" applyProtection="0"/>
    <xf numFmtId="38" fontId="38" fillId="0" borderId="36">
      <alignment horizontal="right"/>
    </xf>
    <xf numFmtId="172" fontId="32" fillId="0" borderId="0" applyFont="0" applyFill="0" applyBorder="0" applyAlignment="0" applyProtection="0"/>
    <xf numFmtId="196" fontId="3" fillId="0" borderId="0" applyFont="0" applyFill="0" applyBorder="0" applyAlignment="0" applyProtection="0">
      <alignment horizontal="center"/>
    </xf>
    <xf numFmtId="0" fontId="39" fillId="28"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38" fontId="38" fillId="65" borderId="0" applyNumberFormat="0" applyBorder="0" applyAlignment="0" applyProtection="0"/>
    <xf numFmtId="0" fontId="40" fillId="0" borderId="0"/>
    <xf numFmtId="0" fontId="41" fillId="0" borderId="0" applyNumberFormat="0" applyFill="0" applyBorder="0" applyAlignment="0" applyProtection="0"/>
    <xf numFmtId="0" fontId="42" fillId="0" borderId="15" applyNumberFormat="0" applyAlignment="0" applyProtection="0">
      <alignment horizontal="left" vertical="center"/>
    </xf>
    <xf numFmtId="0" fontId="42" fillId="0" borderId="35">
      <alignment horizontal="left" vertical="center"/>
    </xf>
    <xf numFmtId="0" fontId="43" fillId="0" borderId="40" applyNumberFormat="0" applyFill="0" applyAlignment="0" applyProtection="0"/>
    <xf numFmtId="0" fontId="43" fillId="0" borderId="40" applyNumberFormat="0" applyFill="0" applyAlignment="0" applyProtection="0"/>
    <xf numFmtId="0" fontId="43" fillId="0" borderId="40" applyNumberFormat="0" applyFill="0" applyAlignment="0" applyProtection="0"/>
    <xf numFmtId="0" fontId="43" fillId="0" borderId="40" applyNumberFormat="0" applyFill="0" applyAlignment="0" applyProtection="0"/>
    <xf numFmtId="0" fontId="43" fillId="0" borderId="40" applyNumberFormat="0" applyFill="0" applyAlignment="0" applyProtection="0"/>
    <xf numFmtId="0" fontId="44" fillId="0" borderId="41" applyNumberFormat="0" applyFill="0" applyAlignment="0" applyProtection="0"/>
    <xf numFmtId="0" fontId="44" fillId="0" borderId="41" applyNumberFormat="0" applyFill="0" applyAlignment="0" applyProtection="0"/>
    <xf numFmtId="0" fontId="44" fillId="0" borderId="41" applyNumberFormat="0" applyFill="0" applyAlignment="0" applyProtection="0"/>
    <xf numFmtId="0" fontId="44" fillId="0" borderId="41" applyNumberFormat="0" applyFill="0" applyAlignment="0" applyProtection="0"/>
    <xf numFmtId="0" fontId="44" fillId="0" borderId="41" applyNumberFormat="0" applyFill="0" applyAlignment="0" applyProtection="0"/>
    <xf numFmtId="0" fontId="45" fillId="0" borderId="42" applyNumberFormat="0" applyFill="0" applyAlignment="0" applyProtection="0"/>
    <xf numFmtId="0" fontId="45" fillId="0" borderId="42" applyNumberFormat="0" applyFill="0" applyAlignment="0" applyProtection="0"/>
    <xf numFmtId="0" fontId="45" fillId="0" borderId="42" applyNumberFormat="0" applyFill="0" applyAlignment="0" applyProtection="0"/>
    <xf numFmtId="0" fontId="45" fillId="0" borderId="42" applyNumberFormat="0" applyFill="0" applyAlignment="0" applyProtection="0"/>
    <xf numFmtId="0" fontId="45" fillId="0" borderId="42"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197" fontId="3" fillId="0" borderId="0">
      <protection locked="0"/>
    </xf>
    <xf numFmtId="197" fontId="3" fillId="0" borderId="0">
      <protection locked="0"/>
    </xf>
    <xf numFmtId="0" fontId="46" fillId="0" borderId="43" applyNumberFormat="0" applyFill="0" applyAlignment="0" applyProtection="0"/>
    <xf numFmtId="10" fontId="38" fillId="66" borderId="34" applyNumberFormat="0" applyBorder="0" applyAlignment="0" applyProtection="0"/>
    <xf numFmtId="0" fontId="47" fillId="31" borderId="38" applyNumberFormat="0" applyAlignment="0" applyProtection="0"/>
    <xf numFmtId="0" fontId="47" fillId="31" borderId="38" applyNumberFormat="0" applyAlignment="0" applyProtection="0"/>
    <xf numFmtId="0" fontId="47" fillId="31" borderId="38" applyNumberFormat="0" applyAlignment="0" applyProtection="0"/>
    <xf numFmtId="0" fontId="47" fillId="31" borderId="38" applyNumberFormat="0" applyAlignment="0" applyProtection="0"/>
    <xf numFmtId="0" fontId="47" fillId="31" borderId="38" applyNumberFormat="0" applyAlignment="0" applyProtection="0"/>
    <xf numFmtId="0" fontId="47" fillId="31" borderId="38" applyNumberFormat="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9" fillId="67" borderId="0" applyNumberFormat="0" applyBorder="0" applyAlignment="0" applyProtection="0"/>
    <xf numFmtId="0" fontId="49" fillId="67" borderId="0" applyNumberFormat="0" applyBorder="0" applyAlignment="0" applyProtection="0"/>
    <xf numFmtId="0" fontId="49" fillId="67" borderId="0" applyNumberFormat="0" applyBorder="0" applyAlignment="0" applyProtection="0"/>
    <xf numFmtId="0" fontId="49" fillId="67" borderId="0" applyNumberFormat="0" applyBorder="0" applyAlignment="0" applyProtection="0"/>
    <xf numFmtId="0" fontId="49" fillId="67" borderId="0" applyNumberFormat="0" applyBorder="0" applyAlignment="0" applyProtection="0"/>
    <xf numFmtId="37" fontId="50" fillId="0" borderId="0"/>
    <xf numFmtId="198" fontId="51" fillId="0" borderId="0"/>
    <xf numFmtId="199" fontId="52" fillId="0" borderId="0"/>
    <xf numFmtId="199" fontId="52" fillId="0" borderId="0"/>
    <xf numFmtId="199" fontId="52" fillId="0" borderId="0"/>
    <xf numFmtId="199" fontId="52" fillId="0" borderId="0"/>
    <xf numFmtId="199" fontId="52" fillId="0" borderId="0"/>
    <xf numFmtId="199" fontId="52" fillId="0" borderId="0"/>
    <xf numFmtId="199" fontId="52"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 fillId="0" borderId="0"/>
    <xf numFmtId="0" fontId="1"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68" borderId="45" applyNumberFormat="0" applyFont="0" applyAlignment="0" applyProtection="0"/>
    <xf numFmtId="0" fontId="4" fillId="68" borderId="45" applyNumberFormat="0" applyFont="0" applyAlignment="0" applyProtection="0"/>
    <xf numFmtId="0" fontId="4" fillId="68" borderId="45" applyNumberFormat="0" applyFont="0" applyAlignment="0" applyProtection="0"/>
    <xf numFmtId="0" fontId="4" fillId="68" borderId="45" applyNumberFormat="0" applyFont="0" applyAlignment="0" applyProtection="0"/>
    <xf numFmtId="0" fontId="4" fillId="68" borderId="45" applyNumberFormat="0" applyFont="0" applyAlignment="0" applyProtection="0"/>
    <xf numFmtId="0" fontId="53" fillId="60" borderId="46" applyNumberFormat="0" applyAlignment="0" applyProtection="0"/>
    <xf numFmtId="0" fontId="53" fillId="60" borderId="46" applyNumberFormat="0" applyAlignment="0" applyProtection="0"/>
    <xf numFmtId="0" fontId="53" fillId="60" borderId="46" applyNumberFormat="0" applyAlignment="0" applyProtection="0"/>
    <xf numFmtId="0" fontId="53" fillId="60" borderId="46" applyNumberFormat="0" applyAlignment="0" applyProtection="0"/>
    <xf numFmtId="0" fontId="53" fillId="60" borderId="46" applyNumberFormat="0" applyAlignment="0" applyProtection="0"/>
    <xf numFmtId="200" fontId="23" fillId="69" borderId="0">
      <alignment horizontal="right"/>
    </xf>
    <xf numFmtId="0" fontId="54" fillId="70" borderId="0">
      <alignment horizontal="center"/>
    </xf>
    <xf numFmtId="0" fontId="55" fillId="71" borderId="47"/>
    <xf numFmtId="0" fontId="56" fillId="0" borderId="0" applyBorder="0">
      <alignment horizontal="centerContinuous"/>
    </xf>
    <xf numFmtId="0" fontId="57" fillId="71" borderId="0" applyBorder="0">
      <alignment horizontal="centerContinuous"/>
    </xf>
    <xf numFmtId="199" fontId="58" fillId="0" borderId="19">
      <alignment vertical="center"/>
    </xf>
    <xf numFmtId="10"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4" fillId="0" borderId="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0" fontId="59" fillId="0" borderId="0" applyNumberFormat="0" applyFill="0" applyBorder="0" applyAlignment="0"/>
    <xf numFmtId="167" fontId="28" fillId="0" borderId="0" applyFill="0" applyBorder="0" applyProtection="0">
      <alignment horizontal="right"/>
    </xf>
    <xf numFmtId="14" fontId="60" fillId="0" borderId="0" applyNumberFormat="0" applyFill="0" applyBorder="0" applyAlignment="0" applyProtection="0">
      <alignment horizontal="lef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 fontId="38" fillId="0" borderId="48" applyNumberFormat="0" applyProtection="0">
      <alignment horizontal="right" vertical="center"/>
    </xf>
    <xf numFmtId="0" fontId="3" fillId="0" borderId="0"/>
    <xf numFmtId="0" fontId="3" fillId="0" borderId="0"/>
    <xf numFmtId="0" fontId="3" fillId="0" borderId="0"/>
    <xf numFmtId="0" fontId="3" fillId="0" borderId="0"/>
    <xf numFmtId="0" fontId="3" fillId="0" borderId="0"/>
    <xf numFmtId="0" fontId="61" fillId="0" borderId="0" applyNumberFormat="0" applyFill="0" applyBorder="0" applyAlignment="0" applyProtection="0"/>
    <xf numFmtId="40" fontId="62" fillId="0" borderId="0" applyBorder="0">
      <alignment horizontal="right"/>
    </xf>
    <xf numFmtId="49" fontId="63" fillId="0" borderId="19">
      <alignment vertical="center"/>
    </xf>
    <xf numFmtId="40" fontId="64" fillId="0" borderId="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5" fillId="0" borderId="49" applyNumberFormat="0" applyFill="0" applyAlignment="0" applyProtection="0"/>
    <xf numFmtId="0" fontId="65" fillId="0" borderId="49" applyNumberFormat="0" applyFill="0" applyAlignment="0" applyProtection="0"/>
    <xf numFmtId="0" fontId="65" fillId="0" borderId="49" applyNumberFormat="0" applyFill="0" applyAlignment="0" applyProtection="0"/>
    <xf numFmtId="0" fontId="65" fillId="0" borderId="49" applyNumberFormat="0" applyFill="0" applyAlignment="0" applyProtection="0"/>
    <xf numFmtId="0" fontId="65" fillId="0" borderId="49" applyNumberFormat="0" applyFill="0" applyAlignment="0" applyProtection="0"/>
    <xf numFmtId="37" fontId="38" fillId="72" borderId="0" applyNumberFormat="0" applyBorder="0" applyAlignment="0" applyProtection="0"/>
    <xf numFmtId="37" fontId="38" fillId="0" borderId="0"/>
    <xf numFmtId="37" fontId="38" fillId="72" borderId="0" applyNumberFormat="0" applyBorder="0" applyAlignment="0" applyProtection="0"/>
    <xf numFmtId="3" fontId="66" fillId="0" borderId="43" applyProtection="0"/>
    <xf numFmtId="0" fontId="67" fillId="0" borderId="0" applyFill="0" applyBorder="0" applyAlignment="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cellStyleXfs>
  <cellXfs count="545">
    <xf numFmtId="0" fontId="0" fillId="0" borderId="0" xfId="0"/>
    <xf numFmtId="3" fontId="2" fillId="3" borderId="0" xfId="0" applyNumberFormat="1" applyFont="1" applyFill="1" applyBorder="1" applyAlignment="1">
      <alignment horizontal="center" vertical="center" wrapText="1"/>
    </xf>
    <xf numFmtId="3" fontId="2" fillId="3" borderId="0" xfId="0" quotePrefix="1" applyNumberFormat="1" applyFont="1" applyFill="1" applyBorder="1" applyAlignment="1">
      <alignment horizontal="center" vertical="center" wrapText="1"/>
    </xf>
    <xf numFmtId="165" fontId="2" fillId="3" borderId="0" xfId="2" applyNumberFormat="1" applyFont="1" applyFill="1" applyBorder="1" applyAlignment="1">
      <alignment horizontal="center" vertical="center" wrapText="1"/>
    </xf>
    <xf numFmtId="165" fontId="2" fillId="3" borderId="6" xfId="2" applyNumberFormat="1" applyFont="1" applyFill="1" applyBorder="1" applyAlignment="1">
      <alignment horizontal="center" vertical="center" wrapText="1"/>
    </xf>
    <xf numFmtId="166" fontId="2" fillId="2" borderId="14" xfId="0" applyNumberFormat="1" applyFont="1" applyFill="1" applyBorder="1" applyAlignment="1">
      <alignment vertical="center"/>
    </xf>
    <xf numFmtId="0" fontId="2" fillId="2" borderId="15" xfId="0" applyFont="1" applyFill="1" applyBorder="1" applyAlignment="1">
      <alignment vertical="center"/>
    </xf>
    <xf numFmtId="166" fontId="2" fillId="2" borderId="15" xfId="0" applyNumberFormat="1" applyFont="1" applyFill="1" applyBorder="1" applyAlignment="1">
      <alignment vertical="center"/>
    </xf>
    <xf numFmtId="0" fontId="2" fillId="2" borderId="16" xfId="0" applyFont="1" applyFill="1" applyBorder="1" applyAlignment="1">
      <alignment vertical="center"/>
    </xf>
    <xf numFmtId="166" fontId="2" fillId="9" borderId="14" xfId="0" applyNumberFormat="1" applyFont="1" applyFill="1" applyBorder="1" applyAlignment="1">
      <alignment horizontal="center" vertical="center"/>
    </xf>
    <xf numFmtId="0" fontId="2" fillId="9" borderId="15" xfId="0" applyFont="1" applyFill="1" applyBorder="1" applyAlignment="1">
      <alignment horizontal="center" vertical="center"/>
    </xf>
    <xf numFmtId="166" fontId="2" fillId="9" borderId="15" xfId="0" applyNumberFormat="1" applyFont="1" applyFill="1" applyBorder="1" applyAlignment="1">
      <alignment horizontal="center" vertical="center"/>
    </xf>
    <xf numFmtId="0" fontId="2" fillId="9" borderId="16" xfId="0" applyFont="1" applyFill="1" applyBorder="1" applyAlignment="1">
      <alignment horizontal="center" vertical="center"/>
    </xf>
    <xf numFmtId="166" fontId="2" fillId="3" borderId="5" xfId="0" applyNumberFormat="1" applyFont="1" applyFill="1" applyBorder="1" applyAlignment="1">
      <alignment horizontal="center" vertical="center" wrapText="1"/>
    </xf>
    <xf numFmtId="166" fontId="2" fillId="3" borderId="0" xfId="0" applyNumberFormat="1" applyFont="1" applyFill="1" applyBorder="1" applyAlignment="1">
      <alignment horizontal="center" vertical="center" wrapText="1"/>
    </xf>
    <xf numFmtId="166" fontId="7" fillId="0" borderId="0" xfId="1" applyNumberFormat="1" applyFont="1" applyFill="1" applyBorder="1" applyAlignment="1">
      <alignment horizontal="center" vertical="center"/>
    </xf>
    <xf numFmtId="166" fontId="7" fillId="0" borderId="11" xfId="1" applyNumberFormat="1" applyFont="1" applyFill="1" applyBorder="1" applyAlignment="1">
      <alignment horizontal="center" vertical="center"/>
    </xf>
    <xf numFmtId="1" fontId="2" fillId="2" borderId="1" xfId="0" applyNumberFormat="1" applyFont="1" applyFill="1" applyBorder="1" applyAlignment="1">
      <alignment horizontal="center" vertical="center" wrapText="1"/>
    </xf>
    <xf numFmtId="1"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0" fontId="9" fillId="0" borderId="0" xfId="0" applyFont="1"/>
    <xf numFmtId="1" fontId="2" fillId="2" borderId="5" xfId="0" applyNumberFormat="1" applyFont="1" applyFill="1" applyBorder="1" applyAlignment="1">
      <alignment horizontal="center" vertical="center" wrapText="1"/>
    </xf>
    <xf numFmtId="1" fontId="2" fillId="2" borderId="0" xfId="0" applyNumberFormat="1" applyFont="1" applyFill="1" applyBorder="1" applyAlignment="1">
      <alignment horizontal="center" vertical="center" wrapText="1"/>
    </xf>
    <xf numFmtId="0" fontId="2" fillId="2" borderId="6" xfId="0" applyNumberFormat="1" applyFont="1" applyFill="1" applyBorder="1" applyAlignment="1">
      <alignment horizontal="center" vertical="center" wrapText="1"/>
    </xf>
    <xf numFmtId="1" fontId="2" fillId="2" borderId="5" xfId="0" applyNumberFormat="1" applyFont="1" applyFill="1" applyBorder="1" applyAlignment="1">
      <alignment horizontal="center" wrapText="1"/>
    </xf>
    <xf numFmtId="3" fontId="7" fillId="4" borderId="0" xfId="0" applyNumberFormat="1" applyFont="1" applyFill="1" applyBorder="1" applyAlignment="1">
      <alignment horizontal="center" vertical="center" wrapText="1"/>
    </xf>
    <xf numFmtId="167" fontId="7" fillId="4" borderId="0" xfId="0" applyNumberFormat="1" applyFont="1" applyFill="1" applyBorder="1" applyAlignment="1">
      <alignment horizontal="center" vertical="center" wrapText="1"/>
    </xf>
    <xf numFmtId="9" fontId="7" fillId="4" borderId="0" xfId="1" applyFont="1" applyFill="1" applyBorder="1" applyAlignment="1">
      <alignment horizontal="center" vertical="center" wrapText="1"/>
    </xf>
    <xf numFmtId="2" fontId="7" fillId="4" borderId="0" xfId="0" applyNumberFormat="1" applyFont="1" applyFill="1" applyBorder="1" applyAlignment="1">
      <alignment horizontal="center" vertical="center" wrapText="1"/>
    </xf>
    <xf numFmtId="168" fontId="7" fillId="4" borderId="0" xfId="0" applyNumberFormat="1" applyFont="1" applyFill="1" applyBorder="1" applyAlignment="1">
      <alignment horizontal="center" vertical="center" wrapText="1"/>
    </xf>
    <xf numFmtId="168" fontId="7" fillId="4" borderId="6" xfId="0" applyNumberFormat="1" applyFont="1" applyFill="1" applyBorder="1" applyAlignment="1">
      <alignment horizontal="center" vertical="center" wrapText="1"/>
    </xf>
    <xf numFmtId="0" fontId="9" fillId="4" borderId="0" xfId="0" applyFont="1" applyFill="1"/>
    <xf numFmtId="3" fontId="7" fillId="5" borderId="0" xfId="0" applyNumberFormat="1" applyFont="1" applyFill="1" applyBorder="1" applyAlignment="1">
      <alignment horizontal="center" vertical="center" wrapText="1"/>
    </xf>
    <xf numFmtId="167" fontId="7" fillId="5" borderId="0" xfId="0" applyNumberFormat="1" applyFont="1" applyFill="1" applyBorder="1" applyAlignment="1">
      <alignment horizontal="center" vertical="center" wrapText="1"/>
    </xf>
    <xf numFmtId="9" fontId="7" fillId="5" borderId="0" xfId="1" applyFont="1" applyFill="1" applyBorder="1" applyAlignment="1">
      <alignment horizontal="center" vertical="center" wrapText="1"/>
    </xf>
    <xf numFmtId="2" fontId="7" fillId="5" borderId="0" xfId="0" applyNumberFormat="1" applyFont="1" applyFill="1" applyBorder="1" applyAlignment="1">
      <alignment horizontal="center" vertical="center" wrapText="1"/>
    </xf>
    <xf numFmtId="168" fontId="7" fillId="5" borderId="0" xfId="0" applyNumberFormat="1" applyFont="1" applyFill="1" applyBorder="1" applyAlignment="1">
      <alignment horizontal="center" vertical="center" wrapText="1"/>
    </xf>
    <xf numFmtId="168" fontId="7" fillId="5" borderId="6" xfId="0" applyNumberFormat="1" applyFont="1" applyFill="1" applyBorder="1" applyAlignment="1">
      <alignment horizontal="center" vertical="center" wrapText="1"/>
    </xf>
    <xf numFmtId="0" fontId="9" fillId="5" borderId="0" xfId="0" applyFont="1" applyFill="1"/>
    <xf numFmtId="1" fontId="7" fillId="0" borderId="5" xfId="1" applyNumberFormat="1" applyFont="1" applyFill="1" applyBorder="1" applyAlignment="1">
      <alignment horizontal="center" vertical="center"/>
    </xf>
    <xf numFmtId="164" fontId="7" fillId="0" borderId="0" xfId="0" applyNumberFormat="1" applyFont="1" applyFill="1" applyBorder="1" applyAlignment="1">
      <alignment horizontal="center" vertical="center" wrapText="1"/>
    </xf>
    <xf numFmtId="3" fontId="7" fillId="0" borderId="0" xfId="0" applyNumberFormat="1" applyFont="1" applyFill="1" applyBorder="1" applyAlignment="1">
      <alignment horizontal="center" vertical="center" wrapText="1"/>
    </xf>
    <xf numFmtId="167" fontId="7" fillId="0" borderId="0" xfId="0" applyNumberFormat="1" applyFont="1" applyFill="1" applyBorder="1" applyAlignment="1">
      <alignment horizontal="center" vertical="center" wrapText="1"/>
    </xf>
    <xf numFmtId="9" fontId="7" fillId="0" borderId="0" xfId="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7" fillId="0" borderId="0" xfId="0" applyNumberFormat="1" applyFont="1" applyFill="1" applyBorder="1" applyAlignment="1">
      <alignment horizontal="center" vertical="center" wrapText="1"/>
    </xf>
    <xf numFmtId="168" fontId="7" fillId="0" borderId="6" xfId="0" applyNumberFormat="1" applyFont="1" applyFill="1" applyBorder="1" applyAlignment="1">
      <alignment horizontal="center" vertical="center" wrapText="1"/>
    </xf>
    <xf numFmtId="0" fontId="10" fillId="0" borderId="0" xfId="0" applyFont="1" applyAlignment="1">
      <alignment horizontal="center" vertical="center"/>
    </xf>
    <xf numFmtId="1" fontId="10" fillId="0" borderId="5" xfId="0" applyNumberFormat="1" applyFont="1" applyBorder="1" applyAlignment="1">
      <alignment horizontal="center" vertical="center"/>
    </xf>
    <xf numFmtId="166" fontId="7" fillId="0" borderId="5" xfId="0" applyNumberFormat="1" applyFont="1" applyFill="1" applyBorder="1" applyAlignment="1">
      <alignment horizontal="center" vertical="center" wrapText="1"/>
    </xf>
    <xf numFmtId="1" fontId="7" fillId="0" borderId="0" xfId="0" applyNumberFormat="1" applyFont="1" applyFill="1" applyBorder="1" applyAlignment="1">
      <alignment horizontal="center" vertical="center" wrapText="1"/>
    </xf>
    <xf numFmtId="166" fontId="7" fillId="0" borderId="0" xfId="0" applyNumberFormat="1" applyFont="1" applyFill="1" applyBorder="1" applyAlignment="1">
      <alignment horizontal="center" vertical="center" wrapText="1"/>
    </xf>
    <xf numFmtId="2" fontId="7" fillId="0" borderId="6" xfId="0" applyNumberFormat="1" applyFont="1" applyFill="1" applyBorder="1" applyAlignment="1">
      <alignment horizontal="center" vertical="center" wrapText="1"/>
    </xf>
    <xf numFmtId="1" fontId="10" fillId="0" borderId="5" xfId="0" applyNumberFormat="1" applyFont="1" applyFill="1" applyBorder="1" applyAlignment="1">
      <alignment horizontal="center" vertical="center"/>
    </xf>
    <xf numFmtId="2" fontId="7" fillId="0" borderId="5" xfId="0" applyNumberFormat="1" applyFont="1" applyFill="1" applyBorder="1" applyAlignment="1">
      <alignment horizontal="center" vertical="center" wrapText="1"/>
    </xf>
    <xf numFmtId="169" fontId="7" fillId="0" borderId="5" xfId="0" applyNumberFormat="1" applyFont="1" applyFill="1" applyBorder="1" applyAlignment="1">
      <alignment horizontal="center" vertical="center" wrapText="1"/>
    </xf>
    <xf numFmtId="170" fontId="7" fillId="0" borderId="0" xfId="0" applyNumberFormat="1"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168" fontId="7" fillId="6" borderId="0" xfId="0" applyNumberFormat="1" applyFont="1" applyFill="1" applyBorder="1" applyAlignment="1">
      <alignment horizontal="center" vertical="center" wrapText="1"/>
    </xf>
    <xf numFmtId="1" fontId="7" fillId="0" borderId="10" xfId="1" applyNumberFormat="1" applyFont="1" applyFill="1" applyBorder="1" applyAlignment="1">
      <alignment horizontal="center" vertical="center"/>
    </xf>
    <xf numFmtId="164" fontId="7" fillId="0" borderId="11" xfId="0" applyNumberFormat="1" applyFont="1" applyFill="1" applyBorder="1" applyAlignment="1">
      <alignment horizontal="center" vertical="center" wrapText="1"/>
    </xf>
    <xf numFmtId="3" fontId="7" fillId="0" borderId="11" xfId="0" applyNumberFormat="1" applyFont="1" applyFill="1" applyBorder="1" applyAlignment="1">
      <alignment horizontal="center" vertical="center" wrapText="1"/>
    </xf>
    <xf numFmtId="167" fontId="7" fillId="0" borderId="11" xfId="0" applyNumberFormat="1" applyFont="1" applyFill="1" applyBorder="1" applyAlignment="1">
      <alignment horizontal="center" vertical="center" wrapText="1"/>
    </xf>
    <xf numFmtId="9" fontId="7" fillId="0" borderId="11" xfId="1" applyFont="1" applyFill="1" applyBorder="1" applyAlignment="1">
      <alignment horizontal="center" vertical="center" wrapText="1"/>
    </xf>
    <xf numFmtId="2" fontId="7" fillId="0" borderId="11" xfId="0" applyNumberFormat="1" applyFont="1" applyFill="1" applyBorder="1" applyAlignment="1">
      <alignment horizontal="center" vertical="center" wrapText="1"/>
    </xf>
    <xf numFmtId="168" fontId="7" fillId="0" borderId="11" xfId="0" applyNumberFormat="1" applyFont="1" applyFill="1" applyBorder="1" applyAlignment="1">
      <alignment horizontal="center" vertical="center" wrapText="1"/>
    </xf>
    <xf numFmtId="168" fontId="7" fillId="0" borderId="12" xfId="0" applyNumberFormat="1" applyFont="1" applyFill="1" applyBorder="1" applyAlignment="1">
      <alignment horizontal="center" vertical="center" wrapText="1"/>
    </xf>
    <xf numFmtId="1" fontId="7" fillId="0" borderId="0" xfId="1" applyNumberFormat="1" applyFont="1" applyFill="1" applyBorder="1" applyAlignment="1">
      <alignment horizontal="center" vertical="center"/>
    </xf>
    <xf numFmtId="4" fontId="7" fillId="0" borderId="0" xfId="0" applyNumberFormat="1" applyFont="1" applyFill="1" applyBorder="1" applyAlignment="1">
      <alignment horizontal="center" vertical="center" wrapText="1"/>
    </xf>
    <xf numFmtId="1" fontId="11" fillId="0" borderId="10" xfId="0" applyNumberFormat="1" applyFont="1" applyBorder="1" applyAlignment="1">
      <alignment horizontal="center" vertical="center"/>
    </xf>
    <xf numFmtId="166" fontId="11" fillId="0" borderId="10" xfId="0" applyNumberFormat="1" applyFont="1" applyBorder="1" applyAlignment="1">
      <alignment horizontal="center" vertical="center"/>
    </xf>
    <xf numFmtId="3" fontId="11" fillId="0" borderId="11" xfId="0" applyNumberFormat="1" applyFont="1" applyBorder="1" applyAlignment="1">
      <alignment horizontal="center" vertical="center"/>
    </xf>
    <xf numFmtId="166" fontId="11" fillId="0" borderId="11" xfId="0" applyNumberFormat="1" applyFont="1" applyBorder="1" applyAlignment="1">
      <alignment horizontal="center" vertical="center"/>
    </xf>
    <xf numFmtId="167" fontId="2" fillId="0" borderId="11" xfId="0" applyNumberFormat="1" applyFont="1" applyFill="1" applyBorder="1" applyAlignment="1">
      <alignment horizontal="center" vertical="center"/>
    </xf>
    <xf numFmtId="2" fontId="2" fillId="0" borderId="11" xfId="0" applyNumberFormat="1" applyFont="1" applyFill="1" applyBorder="1" applyAlignment="1">
      <alignment horizontal="center" vertical="center"/>
    </xf>
    <xf numFmtId="2" fontId="2" fillId="0" borderId="12" xfId="0" applyNumberFormat="1" applyFont="1" applyFill="1" applyBorder="1" applyAlignment="1">
      <alignment horizontal="center" vertical="center"/>
    </xf>
    <xf numFmtId="0" fontId="10" fillId="0" borderId="0" xfId="0" applyFont="1" applyBorder="1" applyAlignment="1">
      <alignment horizontal="center" vertical="center"/>
    </xf>
    <xf numFmtId="1" fontId="10" fillId="8" borderId="0" xfId="0" applyNumberFormat="1" applyFont="1" applyFill="1" applyBorder="1" applyAlignment="1">
      <alignment horizontal="center" vertical="center"/>
    </xf>
    <xf numFmtId="172" fontId="10" fillId="8" borderId="0" xfId="3" applyNumberFormat="1" applyFont="1" applyFill="1" applyBorder="1" applyAlignment="1">
      <alignment horizontal="center" vertical="center"/>
    </xf>
    <xf numFmtId="3" fontId="9" fillId="8" borderId="0" xfId="0" applyNumberFormat="1" applyFont="1" applyFill="1" applyBorder="1"/>
    <xf numFmtId="167" fontId="7" fillId="8" borderId="0" xfId="0" applyNumberFormat="1" applyFont="1" applyFill="1" applyBorder="1" applyAlignment="1">
      <alignment horizontal="center" vertical="center" wrapText="1"/>
    </xf>
    <xf numFmtId="2" fontId="7" fillId="8" borderId="0" xfId="0" applyNumberFormat="1" applyFont="1" applyFill="1" applyBorder="1" applyAlignment="1">
      <alignment horizontal="center" vertical="center" wrapText="1"/>
    </xf>
    <xf numFmtId="1" fontId="8" fillId="0" borderId="0" xfId="0" applyNumberFormat="1" applyFont="1" applyFill="1" applyBorder="1" applyAlignment="1">
      <alignment horizontal="center" vertical="center"/>
    </xf>
    <xf numFmtId="0" fontId="8" fillId="0" borderId="0" xfId="0" applyFont="1" applyFill="1" applyBorder="1" applyAlignment="1">
      <alignment horizontal="center" vertical="center" wrapText="1"/>
    </xf>
    <xf numFmtId="1" fontId="12" fillId="0" borderId="0" xfId="0" applyNumberFormat="1" applyFont="1" applyFill="1" applyBorder="1" applyAlignment="1">
      <alignment horizontal="center" vertical="center"/>
    </xf>
    <xf numFmtId="166" fontId="8" fillId="0" borderId="0" xfId="0" applyNumberFormat="1" applyFont="1" applyFill="1" applyBorder="1" applyAlignment="1">
      <alignment horizontal="center" vertical="center"/>
    </xf>
    <xf numFmtId="168" fontId="10" fillId="0" borderId="0" xfId="0" applyNumberFormat="1" applyFont="1" applyAlignment="1">
      <alignment horizontal="center" vertical="center"/>
    </xf>
    <xf numFmtId="166" fontId="7" fillId="0" borderId="7" xfId="0" applyNumberFormat="1" applyFont="1" applyFill="1" applyBorder="1" applyAlignment="1">
      <alignment horizontal="center" vertical="center" wrapText="1"/>
    </xf>
    <xf numFmtId="1" fontId="7" fillId="0" borderId="8" xfId="0" applyNumberFormat="1" applyFont="1" applyFill="1" applyBorder="1" applyAlignment="1">
      <alignment horizontal="center" vertical="center" wrapText="1"/>
    </xf>
    <xf numFmtId="166" fontId="7" fillId="0" borderId="8" xfId="0" applyNumberFormat="1" applyFont="1" applyFill="1" applyBorder="1" applyAlignment="1">
      <alignment horizontal="center" vertical="center" wrapText="1"/>
    </xf>
    <xf numFmtId="167" fontId="7" fillId="0" borderId="8" xfId="0" applyNumberFormat="1" applyFont="1" applyFill="1" applyBorder="1" applyAlignment="1">
      <alignment horizontal="center" vertical="center" wrapText="1"/>
    </xf>
    <xf numFmtId="2" fontId="7" fillId="0" borderId="8" xfId="0" applyNumberFormat="1" applyFont="1" applyFill="1" applyBorder="1" applyAlignment="1">
      <alignment horizontal="center" vertical="center" wrapText="1"/>
    </xf>
    <xf numFmtId="2" fontId="7" fillId="0" borderId="9" xfId="0" applyNumberFormat="1" applyFont="1" applyFill="1" applyBorder="1" applyAlignment="1">
      <alignment horizontal="center" vertical="center" wrapText="1"/>
    </xf>
    <xf numFmtId="173" fontId="7" fillId="0" borderId="0" xfId="0" applyNumberFormat="1" applyFont="1" applyFill="1" applyBorder="1" applyAlignment="1">
      <alignment horizontal="center" vertical="center" wrapText="1"/>
    </xf>
    <xf numFmtId="1" fontId="2" fillId="2" borderId="18" xfId="0" applyNumberFormat="1" applyFont="1" applyFill="1" applyBorder="1" applyAlignment="1">
      <alignment horizontal="center" vertical="center" wrapText="1"/>
    </xf>
    <xf numFmtId="174" fontId="7" fillId="0" borderId="0" xfId="0" applyNumberFormat="1" applyFont="1" applyFill="1" applyBorder="1" applyAlignment="1">
      <alignment horizontal="center" vertical="center" wrapText="1"/>
    </xf>
    <xf numFmtId="175" fontId="7" fillId="0" borderId="0" xfId="0" applyNumberFormat="1"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176" fontId="7" fillId="0" borderId="0" xfId="0" applyNumberFormat="1" applyFont="1" applyFill="1" applyBorder="1" applyAlignment="1">
      <alignment horizontal="center" vertical="center" wrapText="1"/>
    </xf>
    <xf numFmtId="177" fontId="7" fillId="0" borderId="5" xfId="0" applyNumberFormat="1" applyFont="1" applyFill="1" applyBorder="1" applyAlignment="1">
      <alignment horizontal="center" vertical="center" wrapText="1"/>
    </xf>
    <xf numFmtId="177" fontId="7" fillId="0" borderId="0" xfId="0" applyNumberFormat="1" applyFont="1" applyFill="1" applyBorder="1" applyAlignment="1">
      <alignment horizontal="center" vertical="center" wrapText="1"/>
    </xf>
    <xf numFmtId="178" fontId="7" fillId="0" borderId="0" xfId="0" applyNumberFormat="1" applyFont="1" applyFill="1" applyBorder="1" applyAlignment="1">
      <alignment horizontal="center" vertical="center" wrapText="1"/>
    </xf>
    <xf numFmtId="169" fontId="7" fillId="0" borderId="0" xfId="0" applyNumberFormat="1" applyFont="1" applyFill="1" applyBorder="1" applyAlignment="1">
      <alignment horizontal="center" vertical="center" wrapText="1"/>
    </xf>
    <xf numFmtId="166" fontId="9" fillId="0" borderId="0" xfId="0" applyNumberFormat="1" applyFont="1"/>
    <xf numFmtId="1" fontId="9" fillId="7" borderId="0" xfId="0" applyNumberFormat="1" applyFont="1" applyFill="1"/>
    <xf numFmtId="1" fontId="7" fillId="6" borderId="5" xfId="1" applyNumberFormat="1" applyFont="1" applyFill="1" applyBorder="1" applyAlignment="1">
      <alignment horizontal="center" vertical="center"/>
    </xf>
    <xf numFmtId="44" fontId="0" fillId="0" borderId="0" xfId="4" applyFont="1"/>
    <xf numFmtId="0" fontId="0" fillId="0" borderId="19" xfId="0" applyBorder="1"/>
    <xf numFmtId="44" fontId="0" fillId="0" borderId="19" xfId="4" applyFont="1" applyBorder="1"/>
    <xf numFmtId="44" fontId="0" fillId="0" borderId="0" xfId="0" applyNumberFormat="1"/>
    <xf numFmtId="0" fontId="0" fillId="0" borderId="0" xfId="0" applyBorder="1"/>
    <xf numFmtId="0" fontId="13" fillId="10" borderId="0" xfId="0" applyFont="1" applyFill="1"/>
    <xf numFmtId="44" fontId="13" fillId="10" borderId="0" xfId="0" applyNumberFormat="1" applyFont="1" applyFill="1"/>
    <xf numFmtId="0" fontId="13" fillId="10" borderId="0" xfId="0" applyFont="1" applyFill="1" applyBorder="1"/>
    <xf numFmtId="0" fontId="0" fillId="0" borderId="0" xfId="0" applyAlignment="1">
      <alignment wrapText="1"/>
    </xf>
    <xf numFmtId="44" fontId="0" fillId="0" borderId="0" xfId="4" applyFont="1" applyBorder="1"/>
    <xf numFmtId="0" fontId="0" fillId="2" borderId="0" xfId="0" applyFill="1"/>
    <xf numFmtId="0" fontId="13" fillId="2" borderId="0" xfId="0" applyFont="1" applyFill="1" applyBorder="1"/>
    <xf numFmtId="44" fontId="13" fillId="2" borderId="0" xfId="0" applyNumberFormat="1" applyFont="1" applyFill="1"/>
    <xf numFmtId="0" fontId="13" fillId="2" borderId="0" xfId="0" applyFont="1" applyFill="1"/>
    <xf numFmtId="0" fontId="2" fillId="2" borderId="20" xfId="0" applyNumberFormat="1" applyFont="1" applyFill="1" applyBorder="1" applyAlignment="1">
      <alignment horizontal="center" vertical="center" wrapText="1"/>
    </xf>
    <xf numFmtId="44" fontId="7" fillId="6" borderId="11" xfId="4" applyFont="1" applyFill="1" applyBorder="1" applyAlignment="1">
      <alignment horizontal="center" vertical="center" wrapText="1"/>
    </xf>
    <xf numFmtId="0" fontId="13" fillId="10" borderId="0" xfId="0" applyFont="1" applyFill="1" applyAlignment="1">
      <alignment wrapText="1"/>
    </xf>
    <xf numFmtId="44" fontId="13" fillId="0" borderId="0" xfId="0" applyNumberFormat="1" applyFont="1"/>
    <xf numFmtId="44" fontId="13" fillId="10" borderId="0" xfId="4" applyFont="1" applyFill="1"/>
    <xf numFmtId="0" fontId="0" fillId="0" borderId="0" xfId="0" applyFill="1"/>
    <xf numFmtId="0" fontId="0" fillId="11" borderId="0" xfId="0" applyFill="1"/>
    <xf numFmtId="44" fontId="0" fillId="11" borderId="0" xfId="4" applyFont="1" applyFill="1"/>
    <xf numFmtId="168" fontId="7" fillId="12" borderId="0" xfId="0" applyNumberFormat="1" applyFont="1" applyFill="1" applyBorder="1" applyAlignment="1">
      <alignment horizontal="center" vertical="center" wrapText="1"/>
    </xf>
    <xf numFmtId="168" fontId="7" fillId="12" borderId="11" xfId="0" applyNumberFormat="1" applyFont="1" applyFill="1" applyBorder="1" applyAlignment="1">
      <alignment horizontal="center" vertical="center" wrapText="1"/>
    </xf>
    <xf numFmtId="0" fontId="13" fillId="6" borderId="0" xfId="0" applyFont="1" applyFill="1" applyAlignment="1">
      <alignment wrapText="1"/>
    </xf>
    <xf numFmtId="44" fontId="13" fillId="6" borderId="0" xfId="0" applyNumberFormat="1" applyFont="1" applyFill="1"/>
    <xf numFmtId="0" fontId="0" fillId="6" borderId="0" xfId="0" applyFill="1"/>
    <xf numFmtId="168" fontId="7" fillId="13" borderId="0" xfId="0" applyNumberFormat="1" applyFont="1" applyFill="1" applyBorder="1" applyAlignment="1">
      <alignment horizontal="center" vertical="center" wrapText="1"/>
    </xf>
    <xf numFmtId="168" fontId="7" fillId="13" borderId="11" xfId="0" applyNumberFormat="1" applyFont="1" applyFill="1" applyBorder="1" applyAlignment="1">
      <alignment horizontal="center" vertical="center" wrapText="1"/>
    </xf>
    <xf numFmtId="0" fontId="9" fillId="13" borderId="0" xfId="0" applyFont="1" applyFill="1"/>
    <xf numFmtId="44" fontId="7" fillId="13" borderId="0" xfId="4" applyFont="1" applyFill="1" applyBorder="1" applyAlignment="1">
      <alignment horizontal="center" vertical="center" wrapText="1"/>
    </xf>
    <xf numFmtId="0" fontId="2" fillId="2" borderId="21" xfId="0" applyNumberFormat="1" applyFont="1" applyFill="1" applyBorder="1" applyAlignment="1">
      <alignment horizontal="center" vertical="center" wrapText="1"/>
    </xf>
    <xf numFmtId="0" fontId="8" fillId="0" borderId="11" xfId="0" applyFont="1" applyFill="1" applyBorder="1" applyAlignment="1">
      <alignment horizontal="center" vertical="center"/>
    </xf>
    <xf numFmtId="168" fontId="7" fillId="14" borderId="0" xfId="0" applyNumberFormat="1" applyFont="1" applyFill="1" applyBorder="1" applyAlignment="1">
      <alignment horizontal="center" vertical="center" wrapText="1"/>
    </xf>
    <xf numFmtId="168" fontId="7" fillId="14" borderId="11" xfId="0" applyNumberFormat="1" applyFont="1" applyFill="1" applyBorder="1" applyAlignment="1">
      <alignment horizontal="center" vertical="center" wrapText="1"/>
    </xf>
    <xf numFmtId="0" fontId="9" fillId="12" borderId="0" xfId="0" applyFont="1" applyFill="1"/>
    <xf numFmtId="0" fontId="9" fillId="12" borderId="11" xfId="0" applyFont="1" applyFill="1" applyBorder="1"/>
    <xf numFmtId="168" fontId="7" fillId="8" borderId="0" xfId="0" applyNumberFormat="1" applyFont="1" applyFill="1" applyBorder="1" applyAlignment="1">
      <alignment horizontal="center" vertical="center" wrapText="1"/>
    </xf>
    <xf numFmtId="168" fontId="7" fillId="8" borderId="11" xfId="0" applyNumberFormat="1" applyFont="1" applyFill="1" applyBorder="1" applyAlignment="1">
      <alignment horizontal="center" vertical="center" wrapText="1"/>
    </xf>
    <xf numFmtId="44" fontId="7" fillId="8" borderId="0" xfId="4" applyFont="1" applyFill="1" applyBorder="1" applyAlignment="1">
      <alignment horizontal="center" vertical="center" wrapText="1"/>
    </xf>
    <xf numFmtId="1" fontId="7" fillId="15" borderId="5" xfId="1" applyNumberFormat="1" applyFont="1" applyFill="1" applyBorder="1" applyAlignment="1">
      <alignment horizontal="center" vertical="center"/>
    </xf>
    <xf numFmtId="1" fontId="7" fillId="15" borderId="10" xfId="1" applyNumberFormat="1" applyFont="1" applyFill="1" applyBorder="1" applyAlignment="1">
      <alignment horizontal="center" vertical="center"/>
    </xf>
    <xf numFmtId="0" fontId="2" fillId="7" borderId="20" xfId="0" applyNumberFormat="1" applyFont="1" applyFill="1" applyBorder="1" applyAlignment="1">
      <alignment horizontal="center" vertical="center" wrapText="1"/>
    </xf>
    <xf numFmtId="0" fontId="14" fillId="0" borderId="0" xfId="5"/>
    <xf numFmtId="0" fontId="0" fillId="0" borderId="20" xfId="0" applyBorder="1"/>
    <xf numFmtId="0" fontId="13" fillId="16" borderId="0" xfId="0" applyFont="1" applyFill="1"/>
    <xf numFmtId="0" fontId="13" fillId="17" borderId="0" xfId="0" applyFont="1" applyFill="1"/>
    <xf numFmtId="0" fontId="13" fillId="18" borderId="0" xfId="0" applyFont="1" applyFill="1"/>
    <xf numFmtId="0" fontId="13" fillId="0" borderId="0" xfId="0" applyFont="1"/>
    <xf numFmtId="44" fontId="0" fillId="0" borderId="0" xfId="4" applyFont="1" applyFill="1"/>
    <xf numFmtId="44" fontId="0" fillId="0" borderId="0" xfId="4" applyFont="1" applyFill="1" applyBorder="1"/>
    <xf numFmtId="0" fontId="0" fillId="0" borderId="0" xfId="0" applyFill="1" applyBorder="1"/>
    <xf numFmtId="0" fontId="0" fillId="17" borderId="7" xfId="0" applyFill="1" applyBorder="1"/>
    <xf numFmtId="44" fontId="0" fillId="17" borderId="8" xfId="4" applyFont="1" applyFill="1" applyBorder="1"/>
    <xf numFmtId="17" fontId="0" fillId="0" borderId="0" xfId="0" applyNumberFormat="1" applyBorder="1"/>
    <xf numFmtId="0" fontId="0" fillId="18" borderId="10" xfId="0" applyFill="1" applyBorder="1"/>
    <xf numFmtId="44" fontId="0" fillId="0" borderId="11" xfId="4" applyFont="1" applyBorder="1"/>
    <xf numFmtId="0" fontId="15" fillId="0" borderId="0" xfId="0" applyFont="1" applyFill="1"/>
    <xf numFmtId="17" fontId="0" fillId="0" borderId="0" xfId="0" applyNumberFormat="1" applyFill="1"/>
    <xf numFmtId="0" fontId="14" fillId="0" borderId="0" xfId="5" applyFill="1"/>
    <xf numFmtId="17" fontId="0" fillId="0" borderId="0" xfId="0" applyNumberFormat="1" applyFill="1" applyBorder="1"/>
    <xf numFmtId="44" fontId="0" fillId="0" borderId="9" xfId="4" applyFont="1" applyBorder="1"/>
    <xf numFmtId="44" fontId="0" fillId="18" borderId="12" xfId="4" applyFont="1" applyFill="1" applyBorder="1"/>
    <xf numFmtId="0" fontId="13" fillId="0" borderId="0" xfId="0" applyFont="1" applyFill="1"/>
    <xf numFmtId="14" fontId="13" fillId="0" borderId="0" xfId="0" applyNumberFormat="1" applyFont="1" applyFill="1"/>
    <xf numFmtId="0" fontId="0" fillId="0" borderId="7" xfId="0" applyBorder="1"/>
    <xf numFmtId="0" fontId="0" fillId="0" borderId="10" xfId="0" applyBorder="1"/>
    <xf numFmtId="2" fontId="0" fillId="17" borderId="8" xfId="0" applyNumberFormat="1" applyFill="1" applyBorder="1"/>
    <xf numFmtId="2" fontId="0" fillId="17" borderId="11" xfId="0" applyNumberFormat="1" applyFill="1" applyBorder="1"/>
    <xf numFmtId="0" fontId="0" fillId="18" borderId="9" xfId="0" applyFill="1" applyBorder="1"/>
    <xf numFmtId="0" fontId="0" fillId="18" borderId="12" xfId="0" applyFill="1" applyBorder="1"/>
    <xf numFmtId="179" fontId="0" fillId="0" borderId="0" xfId="4" applyNumberFormat="1" applyFont="1"/>
    <xf numFmtId="0" fontId="13" fillId="16" borderId="0" xfId="0" applyFont="1" applyFill="1" applyAlignment="1">
      <alignment horizontal="center"/>
    </xf>
    <xf numFmtId="0" fontId="13" fillId="16" borderId="19" xfId="0" applyFont="1" applyFill="1" applyBorder="1"/>
    <xf numFmtId="0" fontId="13" fillId="16" borderId="19" xfId="0" applyFont="1" applyFill="1" applyBorder="1" applyAlignment="1">
      <alignment wrapText="1"/>
    </xf>
    <xf numFmtId="0" fontId="13" fillId="16" borderId="19" xfId="0" applyFont="1" applyFill="1" applyBorder="1" applyAlignment="1">
      <alignment horizontal="left" wrapText="1"/>
    </xf>
    <xf numFmtId="0" fontId="0" fillId="0" borderId="9" xfId="0" applyBorder="1"/>
    <xf numFmtId="0" fontId="0" fillId="0" borderId="12" xfId="0" applyBorder="1"/>
    <xf numFmtId="9" fontId="0" fillId="19" borderId="0" xfId="1" applyFont="1" applyFill="1"/>
    <xf numFmtId="0" fontId="13" fillId="16" borderId="0" xfId="0" applyFont="1" applyFill="1" applyBorder="1" applyAlignment="1">
      <alignment wrapText="1"/>
    </xf>
    <xf numFmtId="0" fontId="0" fillId="0" borderId="8" xfId="0" applyBorder="1"/>
    <xf numFmtId="0" fontId="13" fillId="16" borderId="22" xfId="0" applyFont="1" applyFill="1" applyBorder="1"/>
    <xf numFmtId="0" fontId="13" fillId="16" borderId="6" xfId="0" applyFont="1" applyFill="1" applyBorder="1" applyAlignment="1">
      <alignment wrapText="1"/>
    </xf>
    <xf numFmtId="0" fontId="0" fillId="0" borderId="5" xfId="0" applyFont="1" applyBorder="1"/>
    <xf numFmtId="172" fontId="0" fillId="17" borderId="0" xfId="6" applyNumberFormat="1" applyFont="1" applyFill="1" applyBorder="1"/>
    <xf numFmtId="172" fontId="0" fillId="18" borderId="0" xfId="6" applyNumberFormat="1" applyFont="1" applyFill="1" applyBorder="1"/>
    <xf numFmtId="172" fontId="0" fillId="0" borderId="0" xfId="0" applyNumberFormat="1" applyBorder="1"/>
    <xf numFmtId="0" fontId="0" fillId="0" borderId="6" xfId="0" applyBorder="1"/>
    <xf numFmtId="172" fontId="0" fillId="0" borderId="0" xfId="6" applyNumberFormat="1" applyFont="1" applyFill="1" applyBorder="1"/>
    <xf numFmtId="172" fontId="0" fillId="15" borderId="0" xfId="6" applyNumberFormat="1" applyFont="1" applyFill="1" applyBorder="1"/>
    <xf numFmtId="172" fontId="0" fillId="12" borderId="0" xfId="6" applyNumberFormat="1" applyFont="1" applyFill="1" applyBorder="1"/>
    <xf numFmtId="172" fontId="13" fillId="0" borderId="0" xfId="0" applyNumberFormat="1" applyFont="1" applyBorder="1"/>
    <xf numFmtId="180" fontId="13" fillId="0" borderId="6" xfId="1" applyNumberFormat="1" applyFont="1" applyBorder="1"/>
    <xf numFmtId="0" fontId="13" fillId="0" borderId="5" xfId="0" applyFont="1" applyBorder="1"/>
    <xf numFmtId="172" fontId="13" fillId="17" borderId="0" xfId="6" applyNumberFormat="1" applyFont="1" applyFill="1" applyBorder="1"/>
    <xf numFmtId="172" fontId="0" fillId="0" borderId="0" xfId="6" applyNumberFormat="1" applyFont="1" applyBorder="1"/>
    <xf numFmtId="172" fontId="13" fillId="18" borderId="0" xfId="6" applyNumberFormat="1" applyFont="1" applyFill="1" applyBorder="1"/>
    <xf numFmtId="0" fontId="0" fillId="0" borderId="5" xfId="0" applyBorder="1"/>
    <xf numFmtId="0" fontId="13" fillId="0" borderId="5" xfId="0" applyFont="1" applyBorder="1" applyAlignment="1">
      <alignment wrapText="1"/>
    </xf>
    <xf numFmtId="3" fontId="0" fillId="0" borderId="0" xfId="0" applyNumberFormat="1" applyBorder="1"/>
    <xf numFmtId="0" fontId="0" fillId="0" borderId="11" xfId="0" applyBorder="1"/>
    <xf numFmtId="0" fontId="13" fillId="19" borderId="0" xfId="0" applyFont="1" applyFill="1"/>
    <xf numFmtId="0" fontId="13" fillId="0" borderId="0" xfId="0" applyFont="1" applyAlignment="1">
      <alignment horizontal="right"/>
    </xf>
    <xf numFmtId="180" fontId="0" fillId="0" borderId="0" xfId="1" applyNumberFormat="1" applyFont="1" applyFill="1" applyBorder="1"/>
    <xf numFmtId="2" fontId="0" fillId="0" borderId="0" xfId="0" applyNumberFormat="1" applyFill="1" applyBorder="1"/>
    <xf numFmtId="9" fontId="0" fillId="0" borderId="0" xfId="1" applyFont="1" applyFill="1"/>
    <xf numFmtId="2" fontId="13" fillId="19" borderId="0" xfId="0" applyNumberFormat="1" applyFont="1" applyFill="1" applyBorder="1"/>
    <xf numFmtId="0" fontId="0" fillId="19" borderId="0" xfId="0" applyFill="1" applyBorder="1"/>
    <xf numFmtId="0" fontId="13" fillId="19" borderId="0" xfId="0" applyFont="1" applyFill="1" applyBorder="1"/>
    <xf numFmtId="0" fontId="2" fillId="2" borderId="16" xfId="0" applyNumberFormat="1" applyFont="1" applyFill="1" applyBorder="1" applyAlignment="1">
      <alignment horizontal="center" vertical="center" wrapText="1"/>
    </xf>
    <xf numFmtId="0" fontId="2" fillId="2" borderId="23" xfId="0" applyNumberFormat="1" applyFont="1" applyFill="1" applyBorder="1" applyAlignment="1">
      <alignment horizontal="center" vertical="center" wrapText="1"/>
    </xf>
    <xf numFmtId="0" fontId="2" fillId="2" borderId="24" xfId="0" applyNumberFormat="1" applyFont="1" applyFill="1" applyBorder="1" applyAlignment="1">
      <alignment horizontal="center" vertical="center" wrapText="1"/>
    </xf>
    <xf numFmtId="0" fontId="2" fillId="2" borderId="25" xfId="0" applyNumberFormat="1" applyFont="1" applyFill="1" applyBorder="1" applyAlignment="1">
      <alignment horizontal="center" vertical="center" wrapText="1"/>
    </xf>
    <xf numFmtId="0" fontId="8" fillId="0" borderId="11" xfId="0" applyFont="1" applyFill="1" applyBorder="1" applyAlignment="1">
      <alignment horizontal="center" vertical="center" wrapText="1"/>
    </xf>
    <xf numFmtId="0" fontId="2" fillId="7" borderId="0" xfId="0" applyNumberFormat="1" applyFont="1" applyFill="1" applyBorder="1" applyAlignment="1">
      <alignment horizontal="center" vertical="center" wrapText="1"/>
    </xf>
    <xf numFmtId="168" fontId="7" fillId="7" borderId="0" xfId="0" applyNumberFormat="1" applyFont="1" applyFill="1" applyBorder="1" applyAlignment="1">
      <alignment horizontal="center" vertical="center" wrapText="1"/>
    </xf>
    <xf numFmtId="0" fontId="2" fillId="2" borderId="16" xfId="0" applyNumberFormat="1" applyFont="1" applyFill="1" applyBorder="1" applyAlignment="1">
      <alignment horizontal="center" vertical="center" wrapText="1"/>
    </xf>
    <xf numFmtId="0" fontId="10" fillId="0" borderId="0" xfId="0" applyFont="1" applyAlignment="1">
      <alignment horizontal="center"/>
    </xf>
    <xf numFmtId="168" fontId="7" fillId="7" borderId="11" xfId="0" applyNumberFormat="1" applyFont="1" applyFill="1" applyBorder="1" applyAlignment="1">
      <alignment horizontal="center" vertical="center" wrapText="1"/>
    </xf>
    <xf numFmtId="0" fontId="10" fillId="0" borderId="0" xfId="0" applyFont="1" applyFill="1" applyAlignment="1">
      <alignment horizontal="center"/>
    </xf>
    <xf numFmtId="44" fontId="0" fillId="7" borderId="20" xfId="4" applyFont="1" applyFill="1" applyBorder="1"/>
    <xf numFmtId="44" fontId="13" fillId="6" borderId="0" xfId="0" applyNumberFormat="1" applyFont="1" applyFill="1" applyBorder="1"/>
    <xf numFmtId="44" fontId="7" fillId="7" borderId="0" xfId="4"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1" fontId="2" fillId="0" borderId="5" xfId="0" applyNumberFormat="1" applyFont="1" applyFill="1" applyBorder="1" applyAlignment="1">
      <alignment horizontal="center" wrapText="1"/>
    </xf>
    <xf numFmtId="164" fontId="2" fillId="0" borderId="5"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165" fontId="2" fillId="0" borderId="0" xfId="2" applyNumberFormat="1" applyFont="1" applyFill="1" applyBorder="1" applyAlignment="1">
      <alignment horizontal="center" vertical="center" wrapText="1"/>
    </xf>
    <xf numFmtId="165" fontId="2" fillId="0" borderId="6" xfId="2" applyNumberFormat="1" applyFont="1" applyFill="1" applyBorder="1" applyAlignment="1">
      <alignment horizontal="center" vertical="center" wrapText="1"/>
    </xf>
    <xf numFmtId="0" fontId="9" fillId="0" borderId="0" xfId="0" applyFont="1" applyFill="1"/>
    <xf numFmtId="1" fontId="9" fillId="0" borderId="0" xfId="0" applyNumberFormat="1" applyFont="1" applyFill="1"/>
    <xf numFmtId="0" fontId="10" fillId="0" borderId="0" xfId="0" applyFont="1" applyFill="1" applyAlignment="1">
      <alignment horizontal="center" vertical="center"/>
    </xf>
    <xf numFmtId="44" fontId="2" fillId="2" borderId="0" xfId="4" applyFont="1" applyFill="1" applyBorder="1" applyAlignment="1">
      <alignment horizontal="center" vertical="center" wrapText="1"/>
    </xf>
    <xf numFmtId="0" fontId="10" fillId="0" borderId="0" xfId="0" applyFont="1"/>
    <xf numFmtId="44" fontId="10" fillId="0" borderId="0" xfId="0" applyNumberFormat="1" applyFont="1"/>
    <xf numFmtId="168" fontId="10" fillId="7" borderId="0" xfId="0" applyNumberFormat="1" applyFont="1" applyFill="1" applyAlignment="1">
      <alignment horizontal="center"/>
    </xf>
    <xf numFmtId="168" fontId="7" fillId="9" borderId="0" xfId="0" applyNumberFormat="1" applyFont="1" applyFill="1" applyBorder="1" applyAlignment="1">
      <alignment horizontal="center" vertical="center" wrapText="1"/>
    </xf>
    <xf numFmtId="171" fontId="7" fillId="9" borderId="0" xfId="0" applyNumberFormat="1" applyFont="1" applyFill="1" applyBorder="1" applyAlignment="1">
      <alignment horizontal="center" vertical="center" wrapText="1"/>
    </xf>
    <xf numFmtId="0" fontId="10" fillId="9" borderId="0" xfId="0" applyFont="1" applyFill="1" applyAlignment="1">
      <alignment horizontal="center"/>
    </xf>
    <xf numFmtId="168" fontId="7" fillId="9" borderId="11" xfId="0" applyNumberFormat="1" applyFont="1" applyFill="1" applyBorder="1" applyAlignment="1">
      <alignment horizontal="center" vertical="center" wrapText="1"/>
    </xf>
    <xf numFmtId="44" fontId="0" fillId="17" borderId="8" xfId="4" applyNumberFormat="1" applyFont="1" applyFill="1" applyBorder="1"/>
    <xf numFmtId="44" fontId="0" fillId="0" borderId="8" xfId="0" applyNumberFormat="1" applyFont="1" applyFill="1" applyBorder="1"/>
    <xf numFmtId="0" fontId="13" fillId="0" borderId="9" xfId="0" applyFont="1" applyFill="1" applyBorder="1"/>
    <xf numFmtId="0" fontId="13" fillId="0" borderId="11" xfId="0" applyFont="1" applyFill="1" applyBorder="1"/>
    <xf numFmtId="44" fontId="0" fillId="18" borderId="11" xfId="0" applyNumberFormat="1" applyFont="1" applyFill="1" applyBorder="1"/>
    <xf numFmtId="0" fontId="0" fillId="0" borderId="12" xfId="0" applyFont="1" applyFill="1" applyBorder="1"/>
    <xf numFmtId="0" fontId="2" fillId="2" borderId="16" xfId="0" applyNumberFormat="1" applyFont="1" applyFill="1" applyBorder="1" applyAlignment="1">
      <alignment horizontal="center" vertical="center" wrapText="1"/>
    </xf>
    <xf numFmtId="43" fontId="7" fillId="9" borderId="0" xfId="6" applyFont="1" applyFill="1" applyBorder="1" applyAlignment="1">
      <alignment horizontal="center" vertical="center" wrapText="1"/>
    </xf>
    <xf numFmtId="43" fontId="7" fillId="9" borderId="11" xfId="6" applyFont="1" applyFill="1" applyBorder="1" applyAlignment="1">
      <alignment horizontal="center" vertical="center" wrapText="1"/>
    </xf>
    <xf numFmtId="181" fontId="7" fillId="9" borderId="0" xfId="0" applyNumberFormat="1" applyFont="1" applyFill="1" applyBorder="1" applyAlignment="1">
      <alignment horizontal="center" vertical="center" wrapText="1"/>
    </xf>
    <xf numFmtId="181" fontId="7" fillId="9" borderId="11" xfId="0" applyNumberFormat="1" applyFont="1" applyFill="1" applyBorder="1" applyAlignment="1">
      <alignment horizontal="center" vertical="center" wrapText="1"/>
    </xf>
    <xf numFmtId="182" fontId="7" fillId="9" borderId="0" xfId="0" applyNumberFormat="1" applyFont="1" applyFill="1" applyBorder="1" applyAlignment="1">
      <alignment horizontal="center" vertical="center" wrapText="1"/>
    </xf>
    <xf numFmtId="17" fontId="14" fillId="0" borderId="0" xfId="5" applyNumberFormat="1"/>
    <xf numFmtId="17" fontId="14" fillId="0" borderId="0" xfId="5" applyNumberFormat="1" applyAlignment="1">
      <alignment horizontal="left"/>
    </xf>
    <xf numFmtId="179" fontId="0" fillId="0" borderId="20" xfId="4" applyNumberFormat="1" applyFont="1" applyBorder="1"/>
    <xf numFmtId="0" fontId="13" fillId="16" borderId="7" xfId="0" applyFont="1" applyFill="1" applyBorder="1"/>
    <xf numFmtId="0" fontId="13" fillId="16" borderId="8" xfId="0" applyFont="1" applyFill="1" applyBorder="1"/>
    <xf numFmtId="0" fontId="13" fillId="17" borderId="8" xfId="0" applyFont="1" applyFill="1" applyBorder="1"/>
    <xf numFmtId="0" fontId="13" fillId="18" borderId="8" xfId="0" applyFont="1" applyFill="1" applyBorder="1"/>
    <xf numFmtId="0" fontId="0" fillId="0" borderId="5" xfId="0" applyFill="1" applyBorder="1"/>
    <xf numFmtId="0" fontId="13" fillId="17" borderId="0" xfId="0" applyFont="1" applyFill="1" applyBorder="1"/>
    <xf numFmtId="0" fontId="13" fillId="18" borderId="0" xfId="0" applyFont="1" applyFill="1" applyBorder="1"/>
    <xf numFmtId="0" fontId="13" fillId="16" borderId="0" xfId="0" applyFont="1" applyFill="1" applyBorder="1" applyAlignment="1">
      <alignment horizontal="left"/>
    </xf>
    <xf numFmtId="17" fontId="14" fillId="19" borderId="10" xfId="5" applyNumberFormat="1" applyFill="1" applyBorder="1"/>
    <xf numFmtId="0" fontId="0" fillId="19" borderId="11" xfId="0" applyFill="1" applyBorder="1"/>
    <xf numFmtId="179" fontId="0" fillId="19" borderId="11" xfId="4" applyNumberFormat="1" applyFont="1" applyFill="1" applyBorder="1"/>
    <xf numFmtId="0" fontId="14" fillId="19" borderId="11" xfId="5" applyFill="1" applyBorder="1"/>
    <xf numFmtId="179" fontId="0" fillId="19" borderId="12" xfId="4" applyNumberFormat="1" applyFont="1" applyFill="1" applyBorder="1"/>
    <xf numFmtId="44" fontId="7" fillId="7" borderId="0" xfId="4" applyFont="1" applyFill="1" applyBorder="1" applyAlignment="1">
      <alignment horizontal="center" vertical="center" wrapText="1"/>
    </xf>
    <xf numFmtId="44" fontId="7" fillId="0" borderId="0" xfId="4" applyFont="1" applyFill="1" applyBorder="1" applyAlignment="1">
      <alignment horizontal="center" vertical="center" wrapText="1"/>
    </xf>
    <xf numFmtId="9" fontId="0" fillId="0" borderId="9" xfId="1" applyFont="1" applyBorder="1"/>
    <xf numFmtId="1" fontId="7" fillId="7" borderId="5" xfId="1" applyNumberFormat="1" applyFont="1" applyFill="1" applyBorder="1" applyAlignment="1">
      <alignment horizontal="center" vertical="center"/>
    </xf>
    <xf numFmtId="168" fontId="7" fillId="21" borderId="0" xfId="0" applyNumberFormat="1" applyFont="1" applyFill="1" applyBorder="1" applyAlignment="1">
      <alignment horizontal="center" vertical="center" wrapText="1"/>
    </xf>
    <xf numFmtId="44" fontId="2" fillId="2" borderId="16" xfId="4" applyFont="1" applyFill="1" applyBorder="1" applyAlignment="1">
      <alignment horizontal="center" vertical="center" wrapText="1"/>
    </xf>
    <xf numFmtId="44" fontId="8" fillId="0" borderId="0" xfId="4" applyFont="1" applyFill="1" applyBorder="1" applyAlignment="1">
      <alignment horizontal="center" vertical="center"/>
    </xf>
    <xf numFmtId="44" fontId="8" fillId="0" borderId="11" xfId="4" applyFont="1" applyFill="1" applyBorder="1" applyAlignment="1">
      <alignment horizontal="center" vertical="center"/>
    </xf>
    <xf numFmtId="44" fontId="2" fillId="2" borderId="23" xfId="4" applyFont="1" applyFill="1" applyBorder="1" applyAlignment="1">
      <alignment horizontal="center" vertical="center" wrapText="1"/>
    </xf>
    <xf numFmtId="44" fontId="9" fillId="0" borderId="0" xfId="4" applyFont="1"/>
    <xf numFmtId="0" fontId="0" fillId="7" borderId="20" xfId="0" applyFill="1" applyBorder="1"/>
    <xf numFmtId="168" fontId="7" fillId="21" borderId="0" xfId="0" applyNumberFormat="1" applyFont="1" applyFill="1" applyBorder="1" applyAlignment="1">
      <alignment horizontal="right" vertical="center" wrapText="1"/>
    </xf>
    <xf numFmtId="0" fontId="2" fillId="20" borderId="16" xfId="0" applyNumberFormat="1" applyFont="1" applyFill="1" applyBorder="1" applyAlignment="1">
      <alignment horizontal="center" vertical="center" wrapText="1"/>
    </xf>
    <xf numFmtId="44" fontId="2" fillId="20" borderId="16" xfId="4" applyFont="1" applyFill="1" applyBorder="1" applyAlignment="1">
      <alignment horizontal="center" vertical="center" wrapText="1"/>
    </xf>
    <xf numFmtId="44" fontId="2" fillId="21" borderId="0" xfId="4" applyFont="1" applyFill="1" applyBorder="1" applyAlignment="1">
      <alignment horizontal="center" vertical="center" wrapText="1"/>
    </xf>
    <xf numFmtId="0" fontId="2" fillId="21" borderId="0" xfId="0" applyNumberFormat="1" applyFont="1" applyFill="1" applyBorder="1" applyAlignment="1">
      <alignment horizontal="center" vertical="center" wrapText="1"/>
    </xf>
    <xf numFmtId="168" fontId="7" fillId="21" borderId="0" xfId="4" applyNumberFormat="1" applyFont="1" applyFill="1" applyBorder="1" applyAlignment="1">
      <alignment horizontal="right" vertical="center" wrapText="1"/>
    </xf>
    <xf numFmtId="168" fontId="10" fillId="21" borderId="0" xfId="0" applyNumberFormat="1" applyFont="1" applyFill="1" applyAlignment="1">
      <alignment horizontal="right"/>
    </xf>
    <xf numFmtId="168" fontId="7" fillId="21" borderId="11" xfId="0" applyNumberFormat="1" applyFont="1" applyFill="1" applyBorder="1" applyAlignment="1">
      <alignment horizontal="center" vertical="center" wrapText="1"/>
    </xf>
    <xf numFmtId="168" fontId="7" fillId="21" borderId="0" xfId="4" applyNumberFormat="1" applyFont="1" applyFill="1" applyBorder="1" applyAlignment="1">
      <alignment vertical="center" wrapText="1"/>
    </xf>
    <xf numFmtId="168" fontId="7" fillId="21" borderId="0" xfId="0" applyNumberFormat="1" applyFont="1" applyFill="1" applyBorder="1" applyAlignment="1">
      <alignment vertical="center" wrapText="1"/>
    </xf>
    <xf numFmtId="168" fontId="7" fillId="21" borderId="11" xfId="0" applyNumberFormat="1" applyFont="1" applyFill="1" applyBorder="1" applyAlignment="1">
      <alignment horizontal="right" vertical="center" wrapText="1"/>
    </xf>
    <xf numFmtId="168" fontId="7" fillId="21" borderId="0" xfId="0" applyNumberFormat="1" applyFont="1" applyFill="1" applyBorder="1" applyAlignment="1">
      <alignment horizontal="left" vertical="center" wrapText="1"/>
    </xf>
    <xf numFmtId="0" fontId="10" fillId="21" borderId="0" xfId="0" applyFont="1" applyFill="1" applyAlignment="1">
      <alignment horizontal="left" wrapText="1"/>
    </xf>
    <xf numFmtId="168" fontId="7" fillId="21" borderId="11" xfId="0" applyNumberFormat="1" applyFont="1" applyFill="1" applyBorder="1" applyAlignment="1">
      <alignment horizontal="left" vertical="center" wrapText="1"/>
    </xf>
    <xf numFmtId="0" fontId="10" fillId="21" borderId="0" xfId="0" applyFont="1" applyFill="1" applyAlignment="1">
      <alignment horizontal="left"/>
    </xf>
    <xf numFmtId="168" fontId="7" fillId="7" borderId="11" xfId="0" applyNumberFormat="1" applyFont="1" applyFill="1" applyBorder="1" applyAlignment="1">
      <alignment horizontal="left" vertical="center" wrapText="1"/>
    </xf>
    <xf numFmtId="0" fontId="0" fillId="21" borderId="0" xfId="0" applyFill="1" applyAlignment="1">
      <alignment horizontal="left" wrapText="1"/>
    </xf>
    <xf numFmtId="0" fontId="9" fillId="22" borderId="0" xfId="0" applyFont="1" applyFill="1"/>
    <xf numFmtId="0" fontId="2" fillId="22" borderId="2" xfId="0" applyNumberFormat="1" applyFont="1" applyFill="1" applyBorder="1" applyAlignment="1">
      <alignment horizontal="center" vertical="center" wrapText="1"/>
    </xf>
    <xf numFmtId="0" fontId="2" fillId="22" borderId="0" xfId="0" applyNumberFormat="1" applyFont="1" applyFill="1" applyBorder="1" applyAlignment="1">
      <alignment horizontal="center" vertical="center" wrapText="1"/>
    </xf>
    <xf numFmtId="10" fontId="2" fillId="22" borderId="0" xfId="1" applyNumberFormat="1" applyFont="1" applyFill="1" applyBorder="1" applyAlignment="1">
      <alignment horizontal="center" vertical="center" wrapText="1"/>
    </xf>
    <xf numFmtId="2" fontId="7" fillId="22" borderId="0" xfId="0" applyNumberFormat="1" applyFont="1" applyFill="1" applyBorder="1" applyAlignment="1">
      <alignment horizontal="center" vertical="center" wrapText="1"/>
    </xf>
    <xf numFmtId="167" fontId="7" fillId="22" borderId="0" xfId="0" applyNumberFormat="1" applyFont="1" applyFill="1" applyBorder="1" applyAlignment="1">
      <alignment horizontal="center" vertical="center" wrapText="1"/>
    </xf>
    <xf numFmtId="2" fontId="7" fillId="22" borderId="11" xfId="0" applyNumberFormat="1" applyFont="1" applyFill="1" applyBorder="1" applyAlignment="1">
      <alignment horizontal="center" vertical="center" wrapText="1"/>
    </xf>
    <xf numFmtId="167" fontId="7" fillId="22" borderId="11" xfId="0" applyNumberFormat="1" applyFont="1" applyFill="1" applyBorder="1" applyAlignment="1">
      <alignment horizontal="center" vertical="center" wrapText="1"/>
    </xf>
    <xf numFmtId="0" fontId="2" fillId="22" borderId="24" xfId="0" applyNumberFormat="1" applyFont="1" applyFill="1" applyBorder="1" applyAlignment="1">
      <alignment horizontal="center" vertical="center" wrapText="1"/>
    </xf>
    <xf numFmtId="9" fontId="7" fillId="22" borderId="0" xfId="1" applyNumberFormat="1" applyFont="1" applyFill="1" applyBorder="1" applyAlignment="1">
      <alignment horizontal="center" vertical="center" wrapText="1"/>
    </xf>
    <xf numFmtId="9" fontId="7" fillId="22" borderId="0" xfId="1" applyFont="1" applyFill="1" applyBorder="1" applyAlignment="1">
      <alignment horizontal="center" vertical="center" wrapText="1"/>
    </xf>
    <xf numFmtId="9" fontId="7" fillId="22" borderId="11" xfId="1" applyFont="1" applyFill="1" applyBorder="1" applyAlignment="1">
      <alignment horizontal="center" vertical="center" wrapText="1"/>
    </xf>
    <xf numFmtId="9" fontId="2" fillId="22" borderId="2" xfId="1" applyFont="1" applyFill="1" applyBorder="1" applyAlignment="1">
      <alignment horizontal="center" vertical="center" wrapText="1"/>
    </xf>
    <xf numFmtId="9" fontId="2" fillId="22" borderId="24" xfId="1" applyFont="1" applyFill="1" applyBorder="1" applyAlignment="1">
      <alignment horizontal="center" vertical="center" wrapText="1"/>
    </xf>
    <xf numFmtId="2" fontId="0" fillId="0" borderId="0" xfId="0" applyNumberFormat="1" applyFill="1"/>
    <xf numFmtId="9" fontId="0" fillId="0" borderId="0" xfId="0" applyNumberFormat="1" applyFill="1"/>
    <xf numFmtId="180" fontId="0" fillId="0" borderId="0" xfId="0" applyNumberFormat="1" applyFill="1"/>
    <xf numFmtId="0" fontId="0" fillId="0" borderId="0" xfId="0" applyNumberFormat="1" applyFill="1"/>
    <xf numFmtId="168" fontId="7" fillId="21" borderId="11" xfId="4" applyNumberFormat="1" applyFont="1" applyFill="1" applyBorder="1" applyAlignment="1">
      <alignment horizontal="right" vertical="center" wrapText="1"/>
    </xf>
    <xf numFmtId="168" fontId="7" fillId="0" borderId="0" xfId="4" applyNumberFormat="1" applyFont="1" applyFill="1" applyBorder="1" applyAlignment="1">
      <alignment horizontal="right" vertical="center" wrapText="1"/>
    </xf>
    <xf numFmtId="168" fontId="8" fillId="0" borderId="0" xfId="4" applyNumberFormat="1" applyFont="1" applyFill="1" applyBorder="1" applyAlignment="1">
      <alignment horizontal="right" vertical="center"/>
    </xf>
    <xf numFmtId="168" fontId="2" fillId="2" borderId="16" xfId="4" applyNumberFormat="1" applyFont="1" applyFill="1" applyBorder="1" applyAlignment="1">
      <alignment horizontal="right" vertical="center" wrapText="1"/>
    </xf>
    <xf numFmtId="168" fontId="7" fillId="21" borderId="11" xfId="4" applyNumberFormat="1" applyFont="1" applyFill="1" applyBorder="1" applyAlignment="1">
      <alignment vertical="center" wrapText="1"/>
    </xf>
    <xf numFmtId="168" fontId="7" fillId="0" borderId="0" xfId="4" applyNumberFormat="1" applyFont="1" applyFill="1" applyBorder="1" applyAlignment="1">
      <alignment vertical="center" wrapText="1"/>
    </xf>
    <xf numFmtId="168" fontId="8" fillId="0" borderId="0" xfId="4" applyNumberFormat="1" applyFont="1" applyFill="1" applyBorder="1" applyAlignment="1">
      <alignment vertical="center"/>
    </xf>
    <xf numFmtId="168" fontId="8" fillId="0" borderId="11" xfId="4" applyNumberFormat="1" applyFont="1" applyFill="1" applyBorder="1" applyAlignment="1">
      <alignment vertical="center"/>
    </xf>
    <xf numFmtId="168" fontId="2" fillId="2" borderId="23" xfId="4" applyNumberFormat="1" applyFont="1" applyFill="1" applyBorder="1" applyAlignment="1">
      <alignment vertical="center" wrapText="1"/>
    </xf>
    <xf numFmtId="168" fontId="10" fillId="21" borderId="0" xfId="4" applyNumberFormat="1" applyFont="1" applyFill="1" applyAlignment="1"/>
    <xf numFmtId="1" fontId="0" fillId="0" borderId="0" xfId="0" applyNumberFormat="1" applyFill="1"/>
    <xf numFmtId="183" fontId="2" fillId="20" borderId="16" xfId="4" applyNumberFormat="1" applyFont="1" applyFill="1" applyBorder="1" applyAlignment="1">
      <alignment horizontal="center" vertical="center" wrapText="1"/>
    </xf>
    <xf numFmtId="44" fontId="2" fillId="20" borderId="0" xfId="4" applyFont="1" applyFill="1" applyBorder="1" applyAlignment="1">
      <alignment horizontal="center" vertical="center" wrapText="1"/>
    </xf>
    <xf numFmtId="168" fontId="7" fillId="20" borderId="0" xfId="4" applyNumberFormat="1" applyFont="1" applyFill="1" applyBorder="1" applyAlignment="1">
      <alignment horizontal="right" vertical="center" wrapText="1"/>
    </xf>
    <xf numFmtId="168" fontId="7" fillId="20" borderId="11" xfId="4" applyNumberFormat="1" applyFont="1" applyFill="1" applyBorder="1" applyAlignment="1">
      <alignment horizontal="right" vertical="center" wrapText="1"/>
    </xf>
    <xf numFmtId="0" fontId="0" fillId="7" borderId="0" xfId="0" applyFill="1"/>
    <xf numFmtId="2" fontId="0" fillId="7" borderId="0" xfId="0" applyNumberFormat="1" applyFill="1"/>
    <xf numFmtId="180" fontId="0" fillId="7" borderId="0" xfId="0" applyNumberFormat="1" applyFill="1"/>
    <xf numFmtId="1" fontId="2" fillId="5" borderId="5" xfId="0" applyNumberFormat="1" applyFont="1" applyFill="1" applyBorder="1" applyAlignment="1">
      <alignment horizontal="center" vertical="center" wrapText="1"/>
    </xf>
    <xf numFmtId="1" fontId="12" fillId="5" borderId="0" xfId="0" applyNumberFormat="1" applyFont="1" applyFill="1" applyBorder="1" applyAlignment="1">
      <alignment horizontal="center" vertical="center"/>
    </xf>
    <xf numFmtId="0" fontId="0" fillId="5" borderId="0" xfId="0" applyFill="1"/>
    <xf numFmtId="3" fontId="2" fillId="23" borderId="0" xfId="0" applyNumberFormat="1" applyFont="1" applyFill="1" applyBorder="1" applyAlignment="1">
      <alignment horizontal="center" vertical="center" wrapText="1"/>
    </xf>
    <xf numFmtId="167" fontId="7" fillId="23" borderId="8" xfId="0" applyNumberFormat="1" applyFont="1" applyFill="1" applyBorder="1" applyAlignment="1">
      <alignment horizontal="center" vertical="center" wrapText="1"/>
    </xf>
    <xf numFmtId="167" fontId="7" fillId="23" borderId="0" xfId="0" applyNumberFormat="1" applyFont="1" applyFill="1" applyBorder="1" applyAlignment="1">
      <alignment horizontal="center" vertical="center" wrapText="1"/>
    </xf>
    <xf numFmtId="167" fontId="2" fillId="23" borderId="11" xfId="0" applyNumberFormat="1" applyFont="1" applyFill="1" applyBorder="1" applyAlignment="1">
      <alignment horizontal="center" vertical="center"/>
    </xf>
    <xf numFmtId="0" fontId="8" fillId="23" borderId="0" xfId="0" applyFont="1" applyFill="1" applyBorder="1" applyAlignment="1">
      <alignment horizontal="center" vertical="center"/>
    </xf>
    <xf numFmtId="0" fontId="2" fillId="23" borderId="15" xfId="0" applyFont="1" applyFill="1" applyBorder="1" applyAlignment="1">
      <alignment vertical="center"/>
    </xf>
    <xf numFmtId="0" fontId="2" fillId="23" borderId="15" xfId="0" applyFont="1" applyFill="1" applyBorder="1" applyAlignment="1">
      <alignment horizontal="center" vertical="center"/>
    </xf>
    <xf numFmtId="171" fontId="7" fillId="23" borderId="0" xfId="0" applyNumberFormat="1" applyFont="1" applyFill="1" applyBorder="1" applyAlignment="1">
      <alignment horizontal="center" vertical="center" wrapText="1"/>
    </xf>
    <xf numFmtId="167" fontId="9" fillId="0" borderId="0" xfId="0" applyNumberFormat="1" applyFont="1"/>
    <xf numFmtId="0" fontId="9" fillId="0" borderId="0" xfId="0" applyFont="1" applyAlignment="1">
      <alignment horizontal="center" vertical="center" wrapText="1"/>
    </xf>
    <xf numFmtId="0" fontId="9" fillId="0" borderId="0" xfId="0" applyFont="1" applyAlignment="1">
      <alignment horizontal="center" wrapText="1"/>
    </xf>
    <xf numFmtId="44" fontId="9" fillId="0" borderId="0" xfId="4" applyFont="1" applyFill="1"/>
    <xf numFmtId="182" fontId="16" fillId="0" borderId="0" xfId="0" applyNumberFormat="1" applyFont="1" applyFill="1"/>
    <xf numFmtId="44" fontId="2" fillId="21" borderId="13" xfId="4" applyFont="1" applyFill="1" applyBorder="1" applyAlignment="1">
      <alignment horizontal="center" vertical="center" wrapText="1"/>
    </xf>
    <xf numFmtId="44" fontId="2" fillId="2" borderId="2" xfId="4" applyFont="1" applyFill="1" applyBorder="1" applyAlignment="1">
      <alignment horizontal="center" vertical="center" wrapText="1"/>
    </xf>
    <xf numFmtId="168" fontId="7" fillId="16" borderId="0" xfId="4" applyNumberFormat="1" applyFont="1" applyFill="1" applyBorder="1" applyAlignment="1">
      <alignment horizontal="right" vertical="center" wrapText="1"/>
    </xf>
    <xf numFmtId="168" fontId="7" fillId="2" borderId="0" xfId="4" applyNumberFormat="1" applyFont="1" applyFill="1" applyBorder="1" applyAlignment="1">
      <alignment horizontal="right" vertical="center" wrapText="1"/>
    </xf>
    <xf numFmtId="180" fontId="9" fillId="0" borderId="0" xfId="1" applyNumberFormat="1" applyFont="1" applyFill="1"/>
    <xf numFmtId="182" fontId="9" fillId="0" borderId="0" xfId="0" applyNumberFormat="1" applyFont="1" applyFill="1"/>
    <xf numFmtId="180" fontId="9" fillId="0" borderId="0" xfId="0" applyNumberFormat="1" applyFont="1" applyFill="1"/>
    <xf numFmtId="168" fontId="7" fillId="4" borderId="0" xfId="4" applyNumberFormat="1" applyFont="1" applyFill="1" applyBorder="1" applyAlignment="1">
      <alignment horizontal="right" vertical="center" wrapText="1"/>
    </xf>
    <xf numFmtId="0" fontId="9" fillId="12" borderId="11" xfId="0" applyFont="1" applyFill="1" applyBorder="1" applyAlignment="1">
      <alignment horizontal="center"/>
    </xf>
    <xf numFmtId="168" fontId="2" fillId="2" borderId="12" xfId="4" applyNumberFormat="1" applyFont="1" applyFill="1" applyBorder="1" applyAlignment="1">
      <alignment horizontal="right" vertical="center" wrapText="1"/>
    </xf>
    <xf numFmtId="168" fontId="7" fillId="16" borderId="0" xfId="0" applyNumberFormat="1" applyFont="1" applyFill="1" applyBorder="1" applyAlignment="1">
      <alignment vertical="center" wrapText="1"/>
    </xf>
    <xf numFmtId="167" fontId="7" fillId="25" borderId="0" xfId="0" applyNumberFormat="1" applyFont="1" applyFill="1" applyBorder="1" applyAlignment="1">
      <alignment horizontal="center" vertical="center" wrapText="1"/>
    </xf>
    <xf numFmtId="44" fontId="2" fillId="2" borderId="12" xfId="4" applyFont="1" applyFill="1" applyBorder="1" applyAlignment="1">
      <alignment horizontal="center" vertical="center" wrapText="1"/>
    </xf>
    <xf numFmtId="44" fontId="8" fillId="0" borderId="15" xfId="4" applyFont="1" applyFill="1" applyBorder="1" applyAlignment="1">
      <alignment horizontal="center" vertical="center"/>
    </xf>
    <xf numFmtId="44" fontId="7" fillId="21" borderId="0" xfId="4" applyNumberFormat="1" applyFont="1" applyFill="1" applyBorder="1" applyAlignment="1">
      <alignment vertical="center" wrapText="1"/>
    </xf>
    <xf numFmtId="168" fontId="7" fillId="16" borderId="0" xfId="0" applyNumberFormat="1" applyFont="1" applyFill="1" applyBorder="1" applyAlignment="1">
      <alignment horizontal="right" vertical="center" wrapText="1"/>
    </xf>
    <xf numFmtId="168" fontId="7" fillId="16" borderId="0" xfId="4" applyNumberFormat="1" applyFont="1" applyFill="1" applyBorder="1" applyAlignment="1">
      <alignment vertical="center" wrapText="1"/>
    </xf>
    <xf numFmtId="168" fontId="7" fillId="16" borderId="11" xfId="4" applyNumberFormat="1" applyFont="1" applyFill="1" applyBorder="1" applyAlignment="1">
      <alignment vertical="center" wrapText="1"/>
    </xf>
    <xf numFmtId="44" fontId="8" fillId="0" borderId="20" xfId="4" applyFont="1" applyFill="1" applyBorder="1" applyAlignment="1">
      <alignment horizontal="center" vertical="center"/>
    </xf>
    <xf numFmtId="49" fontId="9" fillId="22" borderId="0" xfId="0" applyNumberFormat="1" applyFont="1" applyFill="1"/>
    <xf numFmtId="49" fontId="9" fillId="0" borderId="0" xfId="0" applyNumberFormat="1" applyFont="1" applyFill="1"/>
    <xf numFmtId="2" fontId="8" fillId="0" borderId="0" xfId="0" applyNumberFormat="1" applyFont="1" applyFill="1" applyBorder="1" applyAlignment="1">
      <alignment horizontal="center" vertical="center"/>
    </xf>
    <xf numFmtId="2" fontId="2" fillId="2" borderId="15" xfId="0" applyNumberFormat="1" applyFont="1" applyFill="1" applyBorder="1" applyAlignment="1">
      <alignment vertical="center"/>
    </xf>
    <xf numFmtId="2" fontId="2" fillId="9" borderId="15" xfId="0" applyNumberFormat="1" applyFont="1" applyFill="1" applyBorder="1" applyAlignment="1">
      <alignment horizontal="center" vertical="center"/>
    </xf>
    <xf numFmtId="2" fontId="2" fillId="3" borderId="0" xfId="0" applyNumberFormat="1" applyFont="1" applyFill="1" applyBorder="1" applyAlignment="1">
      <alignment horizontal="center" vertical="center" wrapText="1"/>
    </xf>
    <xf numFmtId="0" fontId="2" fillId="2" borderId="14" xfId="0" applyNumberFormat="1" applyFont="1" applyFill="1" applyBorder="1" applyAlignment="1">
      <alignment horizontal="center" vertical="center" wrapText="1"/>
    </xf>
    <xf numFmtId="182" fontId="0" fillId="0" borderId="0" xfId="0" applyNumberFormat="1" applyFill="1"/>
    <xf numFmtId="44" fontId="2" fillId="21" borderId="17" xfId="4" applyFont="1" applyFill="1" applyBorder="1" applyAlignment="1">
      <alignment horizontal="center" vertical="center" wrapText="1"/>
    </xf>
    <xf numFmtId="43" fontId="7" fillId="21" borderId="34" xfId="6" applyFont="1" applyFill="1" applyBorder="1" applyAlignment="1">
      <alignment horizontal="center" vertical="center" wrapText="1"/>
    </xf>
    <xf numFmtId="168" fontId="7" fillId="21" borderId="34" xfId="4" applyNumberFormat="1" applyFont="1" applyFill="1" applyBorder="1" applyAlignment="1">
      <alignment horizontal="right" vertical="center" wrapText="1"/>
    </xf>
    <xf numFmtId="168" fontId="7" fillId="21" borderId="34" xfId="0" applyNumberFormat="1" applyFont="1" applyFill="1" applyBorder="1" applyAlignment="1">
      <alignment horizontal="right" vertical="center" wrapText="1"/>
    </xf>
    <xf numFmtId="168" fontId="10" fillId="21" borderId="34" xfId="0" applyNumberFormat="1" applyFont="1" applyFill="1" applyBorder="1" applyAlignment="1">
      <alignment horizontal="right"/>
    </xf>
    <xf numFmtId="168" fontId="10" fillId="21" borderId="34" xfId="4" applyNumberFormat="1" applyFont="1" applyFill="1" applyBorder="1" applyAlignment="1">
      <alignment horizontal="right"/>
    </xf>
    <xf numFmtId="43" fontId="7" fillId="21" borderId="30" xfId="6" applyFont="1" applyFill="1" applyBorder="1" applyAlignment="1">
      <alignment horizontal="center" vertical="center" wrapText="1"/>
    </xf>
    <xf numFmtId="168" fontId="7" fillId="21" borderId="30" xfId="4" applyNumberFormat="1" applyFont="1" applyFill="1" applyBorder="1" applyAlignment="1">
      <alignment horizontal="right" vertical="center" wrapText="1"/>
    </xf>
    <xf numFmtId="168" fontId="7" fillId="21" borderId="34" xfId="0" applyNumberFormat="1" applyFont="1" applyFill="1" applyBorder="1" applyAlignment="1">
      <alignment horizontal="center" vertical="center" wrapText="1"/>
    </xf>
    <xf numFmtId="171" fontId="7" fillId="21" borderId="34" xfId="0" applyNumberFormat="1" applyFont="1" applyFill="1" applyBorder="1" applyAlignment="1">
      <alignment horizontal="center" vertical="center" wrapText="1"/>
    </xf>
    <xf numFmtId="168" fontId="7" fillId="21" borderId="30" xfId="0" applyNumberFormat="1" applyFont="1" applyFill="1" applyBorder="1" applyAlignment="1">
      <alignment horizontal="center" vertical="center" wrapText="1"/>
    </xf>
    <xf numFmtId="168" fontId="7" fillId="21" borderId="34" xfId="4" applyNumberFormat="1" applyFont="1" applyFill="1" applyBorder="1" applyAlignment="1">
      <alignment vertical="center" wrapText="1"/>
    </xf>
    <xf numFmtId="168" fontId="7" fillId="21" borderId="34" xfId="0" applyNumberFormat="1" applyFont="1" applyFill="1" applyBorder="1" applyAlignment="1">
      <alignment vertical="center" wrapText="1"/>
    </xf>
    <xf numFmtId="0" fontId="10" fillId="21" borderId="34" xfId="0" applyFont="1" applyFill="1" applyBorder="1" applyAlignment="1">
      <alignment horizontal="center"/>
    </xf>
    <xf numFmtId="168" fontId="7" fillId="21" borderId="30" xfId="0" applyNumberFormat="1" applyFont="1" applyFill="1" applyBorder="1" applyAlignment="1">
      <alignment horizontal="right" vertical="center" wrapText="1"/>
    </xf>
    <xf numFmtId="182" fontId="7" fillId="21" borderId="34" xfId="0" applyNumberFormat="1" applyFont="1" applyFill="1" applyBorder="1" applyAlignment="1">
      <alignment vertical="center" wrapText="1"/>
    </xf>
    <xf numFmtId="171" fontId="7" fillId="21" borderId="34" xfId="4" applyNumberFormat="1" applyFont="1" applyFill="1" applyBorder="1" applyAlignment="1">
      <alignment vertical="center" wrapText="1"/>
    </xf>
    <xf numFmtId="168" fontId="7" fillId="21" borderId="30" xfId="0" applyNumberFormat="1" applyFont="1" applyFill="1" applyBorder="1" applyAlignment="1">
      <alignment vertical="center" wrapText="1"/>
    </xf>
    <xf numFmtId="168" fontId="7" fillId="21" borderId="30" xfId="4" applyNumberFormat="1" applyFont="1" applyFill="1" applyBorder="1" applyAlignment="1">
      <alignment vertical="center" wrapText="1"/>
    </xf>
    <xf numFmtId="168" fontId="10" fillId="21" borderId="34" xfId="0" applyNumberFormat="1" applyFont="1" applyFill="1" applyBorder="1" applyAlignment="1">
      <alignment horizontal="center"/>
    </xf>
    <xf numFmtId="168" fontId="10" fillId="21" borderId="34" xfId="4" applyNumberFormat="1" applyFont="1" applyFill="1" applyBorder="1" applyAlignment="1"/>
    <xf numFmtId="168" fontId="7" fillId="21" borderId="24" xfId="0" applyNumberFormat="1" applyFont="1" applyFill="1" applyBorder="1" applyAlignment="1">
      <alignment horizontal="center" vertical="center" wrapText="1"/>
    </xf>
    <xf numFmtId="168" fontId="7" fillId="21" borderId="24" xfId="4" applyNumberFormat="1" applyFont="1" applyFill="1" applyBorder="1" applyAlignment="1">
      <alignment horizontal="right" vertical="center" wrapText="1"/>
    </xf>
    <xf numFmtId="44" fontId="2" fillId="2" borderId="11" xfId="4" applyFont="1" applyFill="1" applyBorder="1" applyAlignment="1">
      <alignment horizontal="center" vertical="center" wrapText="1"/>
    </xf>
    <xf numFmtId="43" fontId="7" fillId="21" borderId="24" xfId="6" applyFont="1" applyFill="1" applyBorder="1" applyAlignment="1">
      <alignment horizontal="center" vertical="center" wrapText="1"/>
    </xf>
    <xf numFmtId="168" fontId="7" fillId="21" borderId="24" xfId="0" applyNumberFormat="1" applyFont="1" applyFill="1" applyBorder="1" applyAlignment="1">
      <alignment horizontal="right" vertical="center" wrapText="1"/>
    </xf>
    <xf numFmtId="44" fontId="2" fillId="2" borderId="3" xfId="4" applyFont="1" applyFill="1" applyBorder="1" applyAlignment="1">
      <alignment horizontal="center" vertical="center" wrapText="1"/>
    </xf>
    <xf numFmtId="168" fontId="7" fillId="21" borderId="24" xfId="4" applyNumberFormat="1" applyFont="1" applyFill="1" applyBorder="1" applyAlignment="1">
      <alignment vertical="center" wrapText="1"/>
    </xf>
    <xf numFmtId="168" fontId="7" fillId="21" borderId="24" xfId="0" applyNumberFormat="1" applyFont="1" applyFill="1" applyBorder="1" applyAlignment="1">
      <alignment vertical="center" wrapText="1"/>
    </xf>
    <xf numFmtId="168" fontId="2" fillId="2" borderId="11" xfId="4" applyNumberFormat="1" applyFont="1" applyFill="1" applyBorder="1" applyAlignment="1">
      <alignment vertical="center" wrapText="1"/>
    </xf>
    <xf numFmtId="168" fontId="10" fillId="21" borderId="24" xfId="0" applyNumberFormat="1" applyFont="1" applyFill="1" applyBorder="1" applyAlignment="1">
      <alignment horizontal="center"/>
    </xf>
    <xf numFmtId="168" fontId="10" fillId="21" borderId="24" xfId="4" applyNumberFormat="1" applyFont="1" applyFill="1" applyBorder="1" applyAlignment="1"/>
    <xf numFmtId="168" fontId="2" fillId="2" borderId="3" xfId="4" applyNumberFormat="1" applyFont="1" applyFill="1" applyBorder="1" applyAlignment="1">
      <alignment vertical="center" wrapText="1"/>
    </xf>
    <xf numFmtId="44" fontId="7" fillId="21" borderId="34" xfId="4" applyFont="1" applyFill="1" applyBorder="1" applyAlignment="1">
      <alignment horizontal="center" vertical="center" wrapText="1"/>
    </xf>
    <xf numFmtId="44" fontId="7" fillId="21" borderId="0" xfId="4" applyFont="1" applyFill="1" applyBorder="1" applyAlignment="1">
      <alignment horizontal="center" vertical="center" wrapText="1"/>
    </xf>
    <xf numFmtId="44" fontId="7" fillId="21" borderId="30" xfId="4" applyFont="1" applyFill="1" applyBorder="1" applyAlignment="1">
      <alignment horizontal="center" vertical="center" wrapText="1"/>
    </xf>
    <xf numFmtId="44" fontId="7" fillId="21" borderId="11" xfId="4" applyFont="1" applyFill="1" applyBorder="1" applyAlignment="1">
      <alignment horizontal="center" vertical="center" wrapText="1"/>
    </xf>
    <xf numFmtId="0" fontId="2" fillId="4" borderId="20" xfId="0" applyNumberFormat="1" applyFont="1" applyFill="1" applyBorder="1" applyAlignment="1">
      <alignment horizontal="center" vertical="center" wrapText="1"/>
    </xf>
    <xf numFmtId="0" fontId="2" fillId="4" borderId="0" xfId="0" applyNumberFormat="1" applyFont="1" applyFill="1" applyBorder="1" applyAlignment="1">
      <alignment horizontal="center" vertical="center" wrapText="1"/>
    </xf>
    <xf numFmtId="0" fontId="2" fillId="12" borderId="20" xfId="0" applyNumberFormat="1" applyFont="1" applyFill="1" applyBorder="1" applyAlignment="1">
      <alignment horizontal="center" vertical="center" wrapText="1"/>
    </xf>
    <xf numFmtId="0" fontId="2" fillId="12" borderId="0" xfId="0" applyNumberFormat="1" applyFont="1" applyFill="1" applyBorder="1" applyAlignment="1">
      <alignment horizontal="center" vertical="center" wrapText="1"/>
    </xf>
    <xf numFmtId="167" fontId="7" fillId="23" borderId="11" xfId="0" applyNumberFormat="1" applyFont="1" applyFill="1" applyBorder="1" applyAlignment="1">
      <alignment horizontal="center" vertical="center" wrapText="1"/>
    </xf>
    <xf numFmtId="167" fontId="7" fillId="23" borderId="15" xfId="0" applyNumberFormat="1" applyFont="1" applyFill="1" applyBorder="1" applyAlignment="1">
      <alignment horizontal="center" vertical="center" wrapText="1"/>
    </xf>
    <xf numFmtId="167" fontId="2" fillId="7" borderId="20" xfId="0" applyNumberFormat="1" applyFont="1" applyFill="1" applyBorder="1" applyAlignment="1">
      <alignment horizontal="center" vertical="center"/>
    </xf>
    <xf numFmtId="2" fontId="2" fillId="7" borderId="20" xfId="0" applyNumberFormat="1" applyFont="1" applyFill="1" applyBorder="1" applyAlignment="1">
      <alignment horizontal="center" vertical="center" wrapText="1"/>
    </xf>
    <xf numFmtId="167" fontId="2" fillId="7" borderId="20" xfId="0" applyNumberFormat="1" applyFont="1" applyFill="1" applyBorder="1" applyAlignment="1">
      <alignment horizontal="center" vertical="center" wrapText="1"/>
    </xf>
    <xf numFmtId="167" fontId="69" fillId="0" borderId="0" xfId="0" applyNumberFormat="1" applyFont="1"/>
    <xf numFmtId="182" fontId="70" fillId="0" borderId="0" xfId="0" applyNumberFormat="1" applyFont="1" applyFill="1"/>
    <xf numFmtId="1" fontId="2" fillId="2" borderId="10" xfId="0" applyNumberFormat="1" applyFont="1" applyFill="1" applyBorder="1" applyAlignment="1">
      <alignment horizontal="center" wrapText="1"/>
    </xf>
    <xf numFmtId="1" fontId="2" fillId="2" borderId="7" xfId="0" applyNumberFormat="1" applyFont="1" applyFill="1" applyBorder="1" applyAlignment="1">
      <alignment horizontal="center" vertical="center" wrapText="1"/>
    </xf>
    <xf numFmtId="1" fontId="2" fillId="2" borderId="5" xfId="0" applyNumberFormat="1" applyFont="1" applyFill="1" applyBorder="1" applyAlignment="1">
      <alignment vertical="center" wrapText="1"/>
    </xf>
    <xf numFmtId="164" fontId="2" fillId="3" borderId="7" xfId="0" applyNumberFormat="1" applyFont="1" applyFill="1" applyBorder="1" applyAlignment="1">
      <alignment horizontal="center" vertical="center" wrapText="1"/>
    </xf>
    <xf numFmtId="3" fontId="2" fillId="3" borderId="8" xfId="0" applyNumberFormat="1" applyFont="1" applyFill="1" applyBorder="1" applyAlignment="1">
      <alignment horizontal="center" vertical="center" wrapText="1"/>
    </xf>
    <xf numFmtId="164" fontId="2" fillId="3" borderId="8" xfId="0" applyNumberFormat="1" applyFont="1" applyFill="1" applyBorder="1" applyAlignment="1">
      <alignment horizontal="center" vertical="center" wrapText="1"/>
    </xf>
    <xf numFmtId="172" fontId="10" fillId="8" borderId="5" xfId="3" applyNumberFormat="1" applyFont="1" applyFill="1" applyBorder="1" applyAlignment="1">
      <alignment horizontal="center" vertical="center"/>
    </xf>
    <xf numFmtId="2" fontId="7" fillId="8" borderId="6" xfId="0" applyNumberFormat="1" applyFont="1" applyFill="1" applyBorder="1" applyAlignment="1">
      <alignment horizontal="center" vertical="center" wrapText="1"/>
    </xf>
    <xf numFmtId="0" fontId="9" fillId="0" borderId="5" xfId="0" applyFont="1" applyBorder="1"/>
    <xf numFmtId="0" fontId="9" fillId="0" borderId="0" xfId="0" applyFont="1" applyBorder="1"/>
    <xf numFmtId="2" fontId="9" fillId="0" borderId="0" xfId="0" applyNumberFormat="1" applyFont="1" applyBorder="1"/>
    <xf numFmtId="0" fontId="9" fillId="0" borderId="6" xfId="0" applyFont="1" applyBorder="1"/>
    <xf numFmtId="166" fontId="8" fillId="0" borderId="5" xfId="0" applyNumberFormat="1" applyFont="1" applyFill="1" applyBorder="1" applyAlignment="1"/>
    <xf numFmtId="0" fontId="8" fillId="0" borderId="6" xfId="0" applyFont="1" applyFill="1" applyBorder="1" applyAlignment="1">
      <alignment horizontal="center" vertical="center"/>
    </xf>
    <xf numFmtId="166" fontId="8" fillId="0" borderId="5" xfId="0" applyNumberFormat="1" applyFont="1" applyFill="1" applyBorder="1" applyAlignment="1">
      <alignment horizontal="center" vertical="center"/>
    </xf>
    <xf numFmtId="3" fontId="2" fillId="23" borderId="15" xfId="0" applyNumberFormat="1" applyFont="1" applyFill="1" applyBorder="1" applyAlignment="1">
      <alignment horizontal="center" vertical="center" wrapText="1"/>
    </xf>
    <xf numFmtId="167" fontId="7" fillId="0" borderId="7" xfId="0" applyNumberFormat="1" applyFont="1" applyFill="1" applyBorder="1" applyAlignment="1">
      <alignment horizontal="center" vertical="center" wrapText="1"/>
    </xf>
    <xf numFmtId="167" fontId="7" fillId="0" borderId="5" xfId="0" applyNumberFormat="1" applyFont="1" applyFill="1" applyBorder="1" applyAlignment="1">
      <alignment horizontal="center" vertical="center" wrapText="1"/>
    </xf>
    <xf numFmtId="167" fontId="7" fillId="8"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xf>
    <xf numFmtId="0" fontId="2" fillId="2" borderId="14" xfId="0" applyFont="1" applyFill="1" applyBorder="1" applyAlignment="1">
      <alignment vertical="center"/>
    </xf>
    <xf numFmtId="0" fontId="2" fillId="9" borderId="14" xfId="0" applyFont="1" applyFill="1" applyBorder="1" applyAlignment="1">
      <alignment horizontal="center" vertical="center"/>
    </xf>
    <xf numFmtId="3" fontId="2" fillId="3" borderId="5" xfId="0" applyNumberFormat="1" applyFont="1" applyFill="1" applyBorder="1" applyAlignment="1">
      <alignment horizontal="center" vertical="center" wrapText="1"/>
    </xf>
    <xf numFmtId="171" fontId="7" fillId="0" borderId="5" xfId="0" applyNumberFormat="1" applyFont="1" applyFill="1" applyBorder="1" applyAlignment="1">
      <alignment horizontal="center" vertical="center" wrapText="1"/>
    </xf>
    <xf numFmtId="0" fontId="73" fillId="21" borderId="0" xfId="0" applyFont="1" applyFill="1"/>
    <xf numFmtId="0" fontId="9" fillId="0" borderId="0" xfId="0" applyFont="1" applyFill="1" applyBorder="1"/>
    <xf numFmtId="3" fontId="2" fillId="3" borderId="13" xfId="0" applyNumberFormat="1" applyFont="1" applyFill="1" applyBorder="1" applyAlignment="1">
      <alignment horizontal="center" vertical="center" wrapText="1"/>
    </xf>
    <xf numFmtId="3" fontId="2" fillId="23" borderId="13" xfId="0" applyNumberFormat="1" applyFont="1" applyFill="1" applyBorder="1" applyAlignment="1">
      <alignment horizontal="center" vertical="center" wrapText="1"/>
    </xf>
    <xf numFmtId="3" fontId="2" fillId="3" borderId="13" xfId="0" quotePrefix="1" applyNumberFormat="1" applyFont="1" applyFill="1" applyBorder="1" applyAlignment="1">
      <alignment horizontal="center" vertical="center" wrapText="1"/>
    </xf>
    <xf numFmtId="165" fontId="2" fillId="3" borderId="13" xfId="2" applyNumberFormat="1" applyFont="1" applyFill="1" applyBorder="1" applyAlignment="1">
      <alignment horizontal="center" vertical="center" wrapText="1"/>
    </xf>
    <xf numFmtId="164" fontId="2" fillId="3" borderId="13"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3" fontId="2" fillId="0" borderId="11" xfId="0" applyNumberFormat="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3" fontId="2" fillId="23" borderId="11" xfId="0" applyNumberFormat="1" applyFont="1" applyFill="1" applyBorder="1" applyAlignment="1">
      <alignment horizontal="center" vertical="center" wrapText="1"/>
    </xf>
    <xf numFmtId="167" fontId="7" fillId="23" borderId="5" xfId="0" applyNumberFormat="1" applyFont="1" applyFill="1" applyBorder="1" applyAlignment="1">
      <alignment horizontal="center" vertical="center" wrapText="1"/>
    </xf>
    <xf numFmtId="0" fontId="74" fillId="23" borderId="20" xfId="0" applyFont="1" applyFill="1" applyBorder="1" applyAlignment="1">
      <alignment horizontal="center" vertical="center"/>
    </xf>
    <xf numFmtId="0" fontId="9" fillId="0" borderId="20" xfId="0" applyFont="1" applyBorder="1"/>
    <xf numFmtId="0" fontId="74" fillId="23" borderId="15" xfId="0" applyFont="1" applyFill="1" applyBorder="1" applyAlignment="1">
      <alignment horizontal="center" vertical="center"/>
    </xf>
    <xf numFmtId="0" fontId="9" fillId="0" borderId="5" xfId="0" applyFont="1" applyFill="1" applyBorder="1"/>
    <xf numFmtId="2" fontId="9" fillId="0" borderId="0" xfId="0" applyNumberFormat="1" applyFont="1" applyFill="1" applyBorder="1"/>
    <xf numFmtId="0" fontId="9" fillId="0" borderId="16" xfId="0" applyFont="1" applyFill="1" applyBorder="1"/>
    <xf numFmtId="166" fontId="9" fillId="0" borderId="0" xfId="0" applyNumberFormat="1" applyFont="1" applyFill="1"/>
    <xf numFmtId="0" fontId="2" fillId="2" borderId="16" xfId="0" applyNumberFormat="1" applyFont="1" applyFill="1" applyBorder="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50" xfId="0" applyBorder="1"/>
    <xf numFmtId="4" fontId="0" fillId="0" borderId="51" xfId="0" applyNumberFormat="1" applyBorder="1"/>
    <xf numFmtId="2" fontId="0" fillId="0" borderId="51" xfId="0" applyNumberFormat="1" applyBorder="1"/>
    <xf numFmtId="9" fontId="0" fillId="0" borderId="51" xfId="1" applyFont="1" applyBorder="1"/>
    <xf numFmtId="9" fontId="0" fillId="0" borderId="52" xfId="1" applyNumberFormat="1" applyFont="1" applyBorder="1"/>
    <xf numFmtId="0" fontId="0" fillId="0" borderId="53" xfId="0" applyBorder="1"/>
    <xf numFmtId="4" fontId="0" fillId="0" borderId="54" xfId="0" applyNumberFormat="1" applyBorder="1"/>
    <xf numFmtId="2" fontId="0" fillId="0" borderId="54" xfId="0" applyNumberFormat="1" applyBorder="1"/>
    <xf numFmtId="9" fontId="0" fillId="0" borderId="54" xfId="1" applyFont="1" applyBorder="1"/>
    <xf numFmtId="9" fontId="0" fillId="0" borderId="55" xfId="1" applyNumberFormat="1" applyFont="1" applyBorder="1"/>
    <xf numFmtId="0" fontId="0" fillId="0" borderId="56" xfId="0" applyBorder="1"/>
    <xf numFmtId="4" fontId="0" fillId="0" borderId="21" xfId="0" applyNumberFormat="1" applyBorder="1"/>
    <xf numFmtId="2" fontId="0" fillId="0" borderId="21" xfId="0" applyNumberFormat="1" applyBorder="1"/>
    <xf numFmtId="9" fontId="0" fillId="0" borderId="21" xfId="1" applyFont="1" applyBorder="1"/>
    <xf numFmtId="9" fontId="0" fillId="0" borderId="57" xfId="1" applyNumberFormat="1" applyFont="1" applyBorder="1"/>
    <xf numFmtId="168" fontId="10" fillId="21" borderId="0" xfId="0" applyNumberFormat="1" applyFont="1" applyFill="1" applyBorder="1" applyAlignment="1">
      <alignment horizontal="right"/>
    </xf>
    <xf numFmtId="168" fontId="10" fillId="21" borderId="0" xfId="4" applyNumberFormat="1" applyFont="1" applyFill="1" applyBorder="1" applyAlignment="1">
      <alignment horizontal="right"/>
    </xf>
    <xf numFmtId="168" fontId="8" fillId="0" borderId="11" xfId="4" applyNumberFormat="1" applyFont="1" applyFill="1" applyBorder="1" applyAlignment="1">
      <alignment horizontal="right" vertical="center"/>
    </xf>
    <xf numFmtId="168" fontId="2" fillId="2" borderId="20" xfId="4" applyNumberFormat="1" applyFont="1" applyFill="1" applyBorder="1" applyAlignment="1">
      <alignment horizontal="right" vertical="center" wrapText="1"/>
    </xf>
    <xf numFmtId="44" fontId="2" fillId="21" borderId="8" xfId="4" applyFont="1" applyFill="1" applyBorder="1" applyAlignment="1">
      <alignment horizontal="right" vertical="center" wrapText="1"/>
    </xf>
    <xf numFmtId="44" fontId="2" fillId="21" borderId="0" xfId="4" applyFont="1" applyFill="1" applyBorder="1" applyAlignment="1">
      <alignment horizontal="right" vertical="center" wrapText="1"/>
    </xf>
    <xf numFmtId="44" fontId="7" fillId="0" borderId="0" xfId="4" applyFont="1" applyFill="1" applyBorder="1" applyAlignment="1">
      <alignment horizontal="right" vertical="center" wrapText="1"/>
    </xf>
    <xf numFmtId="44" fontId="8" fillId="0" borderId="0" xfId="4" applyFont="1" applyFill="1" applyBorder="1" applyAlignment="1">
      <alignment horizontal="right" vertical="center"/>
    </xf>
    <xf numFmtId="44" fontId="8" fillId="0" borderId="11" xfId="4" applyFont="1" applyFill="1" applyBorder="1" applyAlignment="1">
      <alignment horizontal="right" vertical="center"/>
    </xf>
    <xf numFmtId="44" fontId="2" fillId="2" borderId="11" xfId="4" applyFont="1" applyFill="1" applyBorder="1" applyAlignment="1">
      <alignment horizontal="right" vertical="center" wrapText="1"/>
    </xf>
    <xf numFmtId="44" fontId="2" fillId="2" borderId="16" xfId="4" applyFont="1" applyFill="1" applyBorder="1" applyAlignment="1">
      <alignment horizontal="right" vertical="center" wrapText="1"/>
    </xf>
    <xf numFmtId="44" fontId="9" fillId="0" borderId="0" xfId="4" applyFont="1" applyAlignment="1">
      <alignment horizontal="right"/>
    </xf>
    <xf numFmtId="44" fontId="9" fillId="0" borderId="0" xfId="4" applyFont="1" applyFill="1" applyAlignment="1">
      <alignment horizontal="right"/>
    </xf>
    <xf numFmtId="168" fontId="2" fillId="2" borderId="2" xfId="4" applyNumberFormat="1" applyFont="1" applyFill="1" applyBorder="1" applyAlignment="1">
      <alignment horizontal="right" vertical="center" wrapText="1"/>
    </xf>
    <xf numFmtId="0" fontId="72" fillId="24" borderId="11" xfId="0" applyFont="1" applyFill="1" applyBorder="1" applyAlignment="1">
      <alignment horizontal="center"/>
    </xf>
    <xf numFmtId="168" fontId="8" fillId="0" borderId="27" xfId="4" applyNumberFormat="1" applyFont="1" applyFill="1" applyBorder="1" applyAlignment="1">
      <alignment horizontal="center" vertical="center" wrapText="1"/>
    </xf>
    <xf numFmtId="168" fontId="8" fillId="0" borderId="30" xfId="4" applyNumberFormat="1" applyFont="1" applyFill="1" applyBorder="1" applyAlignment="1">
      <alignment horizontal="center" vertical="center" wrapText="1"/>
    </xf>
    <xf numFmtId="168" fontId="8" fillId="0" borderId="32" xfId="4" applyNumberFormat="1" applyFont="1" applyFill="1" applyBorder="1" applyAlignment="1">
      <alignment horizontal="center" vertical="center"/>
    </xf>
    <xf numFmtId="168" fontId="8" fillId="0" borderId="33" xfId="4" applyNumberFormat="1" applyFont="1" applyFill="1" applyBorder="1" applyAlignment="1">
      <alignment horizontal="center" vertical="center"/>
    </xf>
    <xf numFmtId="44" fontId="8" fillId="0" borderId="13" xfId="4" applyFont="1" applyFill="1" applyBorder="1" applyAlignment="1">
      <alignment horizontal="center" vertical="center" wrapText="1"/>
    </xf>
    <xf numFmtId="44" fontId="8" fillId="0" borderId="4" xfId="4" applyFont="1" applyFill="1" applyBorder="1" applyAlignment="1">
      <alignment horizontal="center" vertical="center" wrapText="1"/>
    </xf>
    <xf numFmtId="168" fontId="8" fillId="0" borderId="28" xfId="4" applyNumberFormat="1" applyFont="1" applyFill="1" applyBorder="1" applyAlignment="1">
      <alignment horizontal="center" vertical="center"/>
    </xf>
    <xf numFmtId="168" fontId="8" fillId="0" borderId="31" xfId="4" applyNumberFormat="1" applyFont="1" applyFill="1" applyBorder="1" applyAlignment="1">
      <alignment horizontal="center" vertical="center"/>
    </xf>
    <xf numFmtId="0" fontId="2" fillId="2" borderId="14" xfId="0" applyNumberFormat="1" applyFont="1" applyFill="1" applyBorder="1" applyAlignment="1">
      <alignment horizontal="center" vertical="center" wrapText="1"/>
    </xf>
    <xf numFmtId="0" fontId="2" fillId="2" borderId="16" xfId="0" applyNumberFormat="1" applyFont="1" applyFill="1" applyBorder="1" applyAlignment="1">
      <alignment horizontal="center" vertical="center" wrapText="1"/>
    </xf>
    <xf numFmtId="164" fontId="2" fillId="3" borderId="20" xfId="0" applyNumberFormat="1" applyFont="1" applyFill="1" applyBorder="1" applyAlignment="1">
      <alignment horizontal="center" vertical="center" wrapText="1"/>
    </xf>
    <xf numFmtId="0" fontId="72" fillId="18" borderId="11" xfId="0" applyFont="1" applyFill="1" applyBorder="1" applyAlignment="1">
      <alignment horizontal="center" wrapText="1"/>
    </xf>
    <xf numFmtId="44" fontId="8" fillId="0" borderId="14" xfId="4" applyFont="1" applyFill="1" applyBorder="1" applyAlignment="1">
      <alignment horizontal="center" vertical="center"/>
    </xf>
    <xf numFmtId="44" fontId="8" fillId="0" borderId="15" xfId="4" applyFont="1" applyFill="1" applyBorder="1" applyAlignment="1">
      <alignment horizontal="center" vertical="center"/>
    </xf>
    <xf numFmtId="44" fontId="8" fillId="0" borderId="16" xfId="4" applyFont="1" applyFill="1" applyBorder="1" applyAlignment="1">
      <alignment horizontal="center" vertical="center"/>
    </xf>
    <xf numFmtId="0" fontId="71" fillId="20" borderId="11" xfId="0" applyFont="1" applyFill="1" applyBorder="1" applyAlignment="1">
      <alignment horizontal="center"/>
    </xf>
    <xf numFmtId="168" fontId="8" fillId="0" borderId="26" xfId="4" applyNumberFormat="1" applyFont="1" applyFill="1" applyBorder="1" applyAlignment="1">
      <alignment horizontal="center" vertical="center" wrapText="1"/>
    </xf>
    <xf numFmtId="168" fontId="8" fillId="0" borderId="29" xfId="4" applyNumberFormat="1" applyFont="1" applyFill="1" applyBorder="1" applyAlignment="1">
      <alignment horizontal="center" vertical="center" wrapText="1"/>
    </xf>
    <xf numFmtId="0" fontId="9" fillId="0" borderId="11" xfId="0" applyFont="1" applyBorder="1" applyAlignment="1">
      <alignment horizontal="center"/>
    </xf>
    <xf numFmtId="44" fontId="7" fillId="21" borderId="0" xfId="4" applyFont="1" applyFill="1" applyBorder="1" applyAlignment="1">
      <alignment horizontal="left" vertical="center" wrapText="1"/>
    </xf>
    <xf numFmtId="0" fontId="72" fillId="22" borderId="11" xfId="0" applyFont="1" applyFill="1" applyBorder="1" applyAlignment="1">
      <alignment horizontal="center"/>
    </xf>
    <xf numFmtId="0" fontId="69" fillId="22" borderId="11" xfId="0" applyFont="1" applyFill="1" applyBorder="1" applyAlignment="1">
      <alignment horizontal="center"/>
    </xf>
    <xf numFmtId="44" fontId="2" fillId="20" borderId="8" xfId="4" applyFont="1" applyFill="1" applyBorder="1" applyAlignment="1">
      <alignment horizontal="center" vertical="center" wrapText="1"/>
    </xf>
    <xf numFmtId="0" fontId="13" fillId="10" borderId="19" xfId="0" applyFont="1" applyFill="1" applyBorder="1" applyAlignment="1">
      <alignment horizontal="left" vertical="center"/>
    </xf>
    <xf numFmtId="0" fontId="0" fillId="7" borderId="19" xfId="0" applyFill="1" applyBorder="1" applyAlignment="1">
      <alignment horizontal="center"/>
    </xf>
    <xf numFmtId="0" fontId="0" fillId="7" borderId="0" xfId="0" applyFill="1" applyAlignment="1">
      <alignment horizontal="center"/>
    </xf>
    <xf numFmtId="0" fontId="13" fillId="9" borderId="0" xfId="0" applyFont="1" applyFill="1" applyAlignment="1">
      <alignment horizontal="center"/>
    </xf>
    <xf numFmtId="0" fontId="13" fillId="0" borderId="7" xfId="0" applyFont="1" applyBorder="1" applyAlignment="1">
      <alignment horizontal="center"/>
    </xf>
    <xf numFmtId="0" fontId="13" fillId="0" borderId="8" xfId="0" applyFont="1" applyBorder="1" applyAlignment="1">
      <alignment horizontal="center"/>
    </xf>
    <xf numFmtId="0" fontId="13" fillId="16" borderId="8" xfId="0" applyFont="1" applyFill="1" applyBorder="1" applyAlignment="1">
      <alignment horizontal="left"/>
    </xf>
    <xf numFmtId="0" fontId="17" fillId="73" borderId="0" xfId="0" applyFont="1" applyFill="1" applyAlignment="1">
      <alignment horizontal="center" vertical="center"/>
    </xf>
    <xf numFmtId="0" fontId="0" fillId="73" borderId="0" xfId="0" applyFill="1" applyAlignment="1">
      <alignment horizontal="center" vertical="center"/>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cellXfs>
  <cellStyles count="2431">
    <cellStyle name="$/MWh" xfId="8"/>
    <cellStyle name="*MB Hardwired" xfId="9"/>
    <cellStyle name="*MB Input Table Calc" xfId="10"/>
    <cellStyle name="*MB Normal" xfId="11"/>
    <cellStyle name="*MB Placeholder" xfId="12"/>
    <cellStyle name="?? [0]_VERA" xfId="13"/>
    <cellStyle name="?????_VERA" xfId="14"/>
    <cellStyle name="??_VERA" xfId="15"/>
    <cellStyle name="_x0010_“+ˆÉ•?pý¤" xfId="16"/>
    <cellStyle name="20% - Accent1 2" xfId="17"/>
    <cellStyle name="20% - Accent1 2 2" xfId="18"/>
    <cellStyle name="20% - Accent1 2 3" xfId="19"/>
    <cellStyle name="20% - Accent1 3 2" xfId="20"/>
    <cellStyle name="20% - Accent1 3 3" xfId="21"/>
    <cellStyle name="20% - Accent2 2" xfId="22"/>
    <cellStyle name="20% - Accent2 2 2" xfId="23"/>
    <cellStyle name="20% - Accent2 2 3" xfId="24"/>
    <cellStyle name="20% - Accent2 3 2" xfId="25"/>
    <cellStyle name="20% - Accent2 3 3" xfId="26"/>
    <cellStyle name="20% - Accent3 2" xfId="27"/>
    <cellStyle name="20% - Accent3 2 2" xfId="28"/>
    <cellStyle name="20% - Accent3 2 3" xfId="29"/>
    <cellStyle name="20% - Accent3 3 2" xfId="30"/>
    <cellStyle name="20% - Accent3 3 3" xfId="31"/>
    <cellStyle name="20% - Accent4 2" xfId="32"/>
    <cellStyle name="20% - Accent4 2 2" xfId="33"/>
    <cellStyle name="20% - Accent4 2 3" xfId="34"/>
    <cellStyle name="20% - Accent4 3 2" xfId="35"/>
    <cellStyle name="20% - Accent4 3 3" xfId="36"/>
    <cellStyle name="20% - Accent5 2" xfId="37"/>
    <cellStyle name="20% - Accent5 2 2" xfId="38"/>
    <cellStyle name="20% - Accent5 2 3" xfId="39"/>
    <cellStyle name="20% - Accent5 3 2" xfId="40"/>
    <cellStyle name="20% - Accent5 3 3" xfId="41"/>
    <cellStyle name="20% - Accent6 2" xfId="42"/>
    <cellStyle name="20% - Accent6 2 2" xfId="43"/>
    <cellStyle name="20% - Accent6 2 3" xfId="44"/>
    <cellStyle name="20% - Accent6 3 2" xfId="45"/>
    <cellStyle name="20% - Accent6 3 3" xfId="46"/>
    <cellStyle name="40% - Accent1 2" xfId="47"/>
    <cellStyle name="40% - Accent1 2 2" xfId="48"/>
    <cellStyle name="40% - Accent1 2 3" xfId="49"/>
    <cellStyle name="40% - Accent1 3 2" xfId="50"/>
    <cellStyle name="40% - Accent1 3 3" xfId="51"/>
    <cellStyle name="40% - Accent2 2" xfId="52"/>
    <cellStyle name="40% - Accent2 2 2" xfId="53"/>
    <cellStyle name="40% - Accent2 2 3" xfId="54"/>
    <cellStyle name="40% - Accent2 3 2" xfId="55"/>
    <cellStyle name="40% - Accent2 3 3" xfId="56"/>
    <cellStyle name="40% - Accent3 2" xfId="57"/>
    <cellStyle name="40% - Accent3 2 2" xfId="58"/>
    <cellStyle name="40% - Accent3 2 3" xfId="59"/>
    <cellStyle name="40% - Accent3 3 2" xfId="60"/>
    <cellStyle name="40% - Accent3 3 3" xfId="61"/>
    <cellStyle name="40% - Accent4 2" xfId="62"/>
    <cellStyle name="40% - Accent4 2 2" xfId="63"/>
    <cellStyle name="40% - Accent4 2 3" xfId="64"/>
    <cellStyle name="40% - Accent4 3 2" xfId="65"/>
    <cellStyle name="40% - Accent4 3 3" xfId="66"/>
    <cellStyle name="40% - Accent5 2" xfId="67"/>
    <cellStyle name="40% - Accent5 2 2" xfId="68"/>
    <cellStyle name="40% - Accent5 2 3" xfId="69"/>
    <cellStyle name="40% - Accent5 3 2" xfId="70"/>
    <cellStyle name="40% - Accent5 3 3" xfId="71"/>
    <cellStyle name="40% - Accent6 2" xfId="72"/>
    <cellStyle name="40% - Accent6 2 2" xfId="73"/>
    <cellStyle name="40% - Accent6 2 3" xfId="74"/>
    <cellStyle name="40% - Accent6 3 2" xfId="75"/>
    <cellStyle name="40% - Accent6 3 3" xfId="76"/>
    <cellStyle name="60% - Accent1 2" xfId="77"/>
    <cellStyle name="60% - Accent1 2 2" xfId="78"/>
    <cellStyle name="60% - Accent1 2 3" xfId="79"/>
    <cellStyle name="60% - Accent1 3 2" xfId="80"/>
    <cellStyle name="60% - Accent1 3 3" xfId="81"/>
    <cellStyle name="60% - Accent2 2" xfId="82"/>
    <cellStyle name="60% - Accent2 2 2" xfId="83"/>
    <cellStyle name="60% - Accent2 2 3" xfId="84"/>
    <cellStyle name="60% - Accent2 3 2" xfId="85"/>
    <cellStyle name="60% - Accent2 3 3" xfId="86"/>
    <cellStyle name="60% - Accent3 2" xfId="87"/>
    <cellStyle name="60% - Accent3 2 2" xfId="88"/>
    <cellStyle name="60% - Accent3 2 3" xfId="89"/>
    <cellStyle name="60% - Accent3 3 2" xfId="90"/>
    <cellStyle name="60% - Accent3 3 3" xfId="91"/>
    <cellStyle name="60% - Accent4 2" xfId="92"/>
    <cellStyle name="60% - Accent4 2 2" xfId="93"/>
    <cellStyle name="60% - Accent4 2 3" xfId="94"/>
    <cellStyle name="60% - Accent4 3 2" xfId="95"/>
    <cellStyle name="60% - Accent4 3 3" xfId="96"/>
    <cellStyle name="60% - Accent5 2" xfId="97"/>
    <cellStyle name="60% - Accent5 2 2" xfId="98"/>
    <cellStyle name="60% - Accent5 2 3" xfId="99"/>
    <cellStyle name="60% - Accent5 3 2" xfId="100"/>
    <cellStyle name="60% - Accent5 3 3" xfId="101"/>
    <cellStyle name="60% - Accent6 2" xfId="102"/>
    <cellStyle name="60% - Accent6 2 2" xfId="103"/>
    <cellStyle name="60% - Accent6 2 3" xfId="104"/>
    <cellStyle name="60% - Accent6 3 2" xfId="105"/>
    <cellStyle name="60% - Accent6 3 3" xfId="106"/>
    <cellStyle name="Accent1 - 20%" xfId="107"/>
    <cellStyle name="Accent1 - 20% 2" xfId="108"/>
    <cellStyle name="Accent1 - 20% 3" xfId="109"/>
    <cellStyle name="Accent1 - 40%" xfId="110"/>
    <cellStyle name="Accent1 - 40% 2" xfId="111"/>
    <cellStyle name="Accent1 - 40% 3" xfId="112"/>
    <cellStyle name="Accent1 - 60%" xfId="113"/>
    <cellStyle name="Accent1 2" xfId="114"/>
    <cellStyle name="Accent1 2 2" xfId="115"/>
    <cellStyle name="Accent1 2 3" xfId="116"/>
    <cellStyle name="Accent1 3" xfId="117"/>
    <cellStyle name="Accent1 3 2" xfId="118"/>
    <cellStyle name="Accent1 3 3" xfId="119"/>
    <cellStyle name="Accent1 4" xfId="120"/>
    <cellStyle name="Accent2 - 20%" xfId="121"/>
    <cellStyle name="Accent2 - 20% 2" xfId="122"/>
    <cellStyle name="Accent2 - 20% 3" xfId="123"/>
    <cellStyle name="Accent2 - 40%" xfId="124"/>
    <cellStyle name="Accent2 - 40% 2" xfId="125"/>
    <cellStyle name="Accent2 - 40% 3" xfId="126"/>
    <cellStyle name="Accent2 - 60%" xfId="127"/>
    <cellStyle name="Accent2 2" xfId="128"/>
    <cellStyle name="Accent2 2 2" xfId="129"/>
    <cellStyle name="Accent2 2 3" xfId="130"/>
    <cellStyle name="Accent2 3" xfId="131"/>
    <cellStyle name="Accent2 3 2" xfId="132"/>
    <cellStyle name="Accent2 3 3" xfId="133"/>
    <cellStyle name="Accent2 4" xfId="134"/>
    <cellStyle name="Accent3 - 20%" xfId="135"/>
    <cellStyle name="Accent3 - 20% 2" xfId="136"/>
    <cellStyle name="Accent3 - 20% 3" xfId="137"/>
    <cellStyle name="Accent3 - 40%" xfId="138"/>
    <cellStyle name="Accent3 - 40% 2" xfId="139"/>
    <cellStyle name="Accent3 - 40% 3" xfId="140"/>
    <cellStyle name="Accent3 - 60%" xfId="141"/>
    <cellStyle name="Accent3 2" xfId="142"/>
    <cellStyle name="Accent3 2 2" xfId="143"/>
    <cellStyle name="Accent3 2 3" xfId="144"/>
    <cellStyle name="Accent3 3" xfId="145"/>
    <cellStyle name="Accent3 3 2" xfId="146"/>
    <cellStyle name="Accent3 3 3" xfId="147"/>
    <cellStyle name="Accent3 4" xfId="148"/>
    <cellStyle name="Accent4 - 20%" xfId="149"/>
    <cellStyle name="Accent4 - 20% 2" xfId="150"/>
    <cellStyle name="Accent4 - 20% 3" xfId="151"/>
    <cellStyle name="Accent4 - 40%" xfId="152"/>
    <cellStyle name="Accent4 - 40% 2" xfId="153"/>
    <cellStyle name="Accent4 - 40% 3" xfId="154"/>
    <cellStyle name="Accent4 - 60%" xfId="155"/>
    <cellStyle name="Accent4 2" xfId="156"/>
    <cellStyle name="Accent4 2 2" xfId="157"/>
    <cellStyle name="Accent4 2 3" xfId="158"/>
    <cellStyle name="Accent4 3" xfId="159"/>
    <cellStyle name="Accent4 3 2" xfId="160"/>
    <cellStyle name="Accent4 3 3" xfId="161"/>
    <cellStyle name="Accent4 4" xfId="162"/>
    <cellStyle name="Accent5 - 20%" xfId="163"/>
    <cellStyle name="Accent5 - 20% 2" xfId="164"/>
    <cellStyle name="Accent5 - 20% 3" xfId="165"/>
    <cellStyle name="Accent5 - 40%" xfId="166"/>
    <cellStyle name="Accent5 - 40% 2" xfId="167"/>
    <cellStyle name="Accent5 - 40% 3" xfId="168"/>
    <cellStyle name="Accent5 - 60%" xfId="169"/>
    <cellStyle name="Accent5 2" xfId="170"/>
    <cellStyle name="Accent5 2 2" xfId="171"/>
    <cellStyle name="Accent5 2 3" xfId="172"/>
    <cellStyle name="Accent5 3" xfId="173"/>
    <cellStyle name="Accent5 3 2" xfId="174"/>
    <cellStyle name="Accent5 3 3" xfId="175"/>
    <cellStyle name="Accent5 4" xfId="176"/>
    <cellStyle name="Accent6 - 20%" xfId="177"/>
    <cellStyle name="Accent6 - 20% 2" xfId="178"/>
    <cellStyle name="Accent6 - 20% 3" xfId="179"/>
    <cellStyle name="Accent6 - 40%" xfId="180"/>
    <cellStyle name="Accent6 - 40% 2" xfId="181"/>
    <cellStyle name="Accent6 - 40% 3" xfId="182"/>
    <cellStyle name="Accent6 - 60%" xfId="183"/>
    <cellStyle name="Accent6 2" xfId="184"/>
    <cellStyle name="Accent6 2 2" xfId="185"/>
    <cellStyle name="Accent6 2 3" xfId="186"/>
    <cellStyle name="Accent6 3" xfId="187"/>
    <cellStyle name="Accent6 3 2" xfId="188"/>
    <cellStyle name="Accent6 3 3" xfId="189"/>
    <cellStyle name="Accent6 4" xfId="190"/>
    <cellStyle name="Actual" xfId="191"/>
    <cellStyle name="Actual Date" xfId="192"/>
    <cellStyle name="Bad 2" xfId="193"/>
    <cellStyle name="Bad 2 2" xfId="194"/>
    <cellStyle name="Bad 2 3" xfId="195"/>
    <cellStyle name="Bad 3 2" xfId="196"/>
    <cellStyle name="Bad 3 3" xfId="197"/>
    <cellStyle name="basic" xfId="198"/>
    <cellStyle name="Calc Currency (0)" xfId="199"/>
    <cellStyle name="Calculation 2" xfId="200"/>
    <cellStyle name="Calculation 2 2" xfId="201"/>
    <cellStyle name="Calculation 2 3" xfId="202"/>
    <cellStyle name="Calculation 3 2" xfId="203"/>
    <cellStyle name="Calculation 3 3" xfId="204"/>
    <cellStyle name="Check Cell 2" xfId="205"/>
    <cellStyle name="Check Cell 2 2" xfId="206"/>
    <cellStyle name="Check Cell 2 3" xfId="207"/>
    <cellStyle name="Check Cell 3 2" xfId="208"/>
    <cellStyle name="Check Cell 3 3" xfId="209"/>
    <cellStyle name="Comma" xfId="6" builtinId="3"/>
    <cellStyle name="Comma  - Style1" xfId="210"/>
    <cellStyle name="Comma  - Style2" xfId="211"/>
    <cellStyle name="Comma  - Style3" xfId="212"/>
    <cellStyle name="Comma  - Style4" xfId="213"/>
    <cellStyle name="Comma  - Style5" xfId="214"/>
    <cellStyle name="Comma  - Style6" xfId="215"/>
    <cellStyle name="Comma  - Style7" xfId="216"/>
    <cellStyle name="Comma  - Style8" xfId="217"/>
    <cellStyle name="Comma 10" xfId="218"/>
    <cellStyle name="Comma 11" xfId="219"/>
    <cellStyle name="Comma 12" xfId="220"/>
    <cellStyle name="Comma 13" xfId="221"/>
    <cellStyle name="Comma 16" xfId="222"/>
    <cellStyle name="Comma 18" xfId="223"/>
    <cellStyle name="Comma 19" xfId="224"/>
    <cellStyle name="Comma 2" xfId="3"/>
    <cellStyle name="Comma 2 2" xfId="225"/>
    <cellStyle name="Comma 2 3" xfId="226"/>
    <cellStyle name="Comma 2 4" xfId="227"/>
    <cellStyle name="Comma 2 5" xfId="228"/>
    <cellStyle name="Comma 2 6" xfId="229"/>
    <cellStyle name="Comma 22" xfId="230"/>
    <cellStyle name="Comma 23" xfId="231"/>
    <cellStyle name="Comma 24" xfId="232"/>
    <cellStyle name="Comma 25" xfId="233"/>
    <cellStyle name="Comma 26" xfId="234"/>
    <cellStyle name="Comma 27" xfId="235"/>
    <cellStyle name="Comma 28" xfId="236"/>
    <cellStyle name="Comma 29" xfId="237"/>
    <cellStyle name="Comma 3" xfId="238"/>
    <cellStyle name="Comma 3 2" xfId="239"/>
    <cellStyle name="Comma 3 3" xfId="240"/>
    <cellStyle name="Comma 3 4" xfId="241"/>
    <cellStyle name="Comma 3 5" xfId="242"/>
    <cellStyle name="Comma 3 6" xfId="243"/>
    <cellStyle name="Comma 34" xfId="244"/>
    <cellStyle name="Comma 4" xfId="245"/>
    <cellStyle name="Comma 4 2" xfId="2"/>
    <cellStyle name="Comma 4 3" xfId="246"/>
    <cellStyle name="Comma 4 4" xfId="247"/>
    <cellStyle name="Comma 4 5" xfId="248"/>
    <cellStyle name="Comma 4 6" xfId="249"/>
    <cellStyle name="Comma 4 7" xfId="250"/>
    <cellStyle name="Comma 5" xfId="251"/>
    <cellStyle name="Comma 5 2" xfId="252"/>
    <cellStyle name="Comma 6" xfId="253"/>
    <cellStyle name="Comma 7" xfId="254"/>
    <cellStyle name="Comma 8" xfId="255"/>
    <cellStyle name="Comma 9" xfId="256"/>
    <cellStyle name="Comma0" xfId="257"/>
    <cellStyle name="Copied" xfId="258"/>
    <cellStyle name="Currency" xfId="4" builtinId="4"/>
    <cellStyle name="Currency [$0]" xfId="259"/>
    <cellStyle name="Currency [£0]" xfId="260"/>
    <cellStyle name="Currency 10" xfId="261"/>
    <cellStyle name="Currency 11" xfId="262"/>
    <cellStyle name="Currency 18" xfId="263"/>
    <cellStyle name="Currency 19" xfId="264"/>
    <cellStyle name="Currency 2" xfId="265"/>
    <cellStyle name="Currency 2 10" xfId="266"/>
    <cellStyle name="Currency 2 2" xfId="267"/>
    <cellStyle name="Currency 2 3" xfId="268"/>
    <cellStyle name="Currency 2 4" xfId="269"/>
    <cellStyle name="Currency 2 5" xfId="270"/>
    <cellStyle name="Currency 2 6" xfId="271"/>
    <cellStyle name="Currency 2 7" xfId="272"/>
    <cellStyle name="Currency 2 8" xfId="273"/>
    <cellStyle name="Currency 2 9" xfId="274"/>
    <cellStyle name="Currency 3" xfId="275"/>
    <cellStyle name="Currency 3 2" xfId="276"/>
    <cellStyle name="Currency 4" xfId="277"/>
    <cellStyle name="Currency 4 2" xfId="278"/>
    <cellStyle name="Currency 4 3" xfId="279"/>
    <cellStyle name="Currency 4 4" xfId="280"/>
    <cellStyle name="Currency 4 5" xfId="281"/>
    <cellStyle name="Currency 5" xfId="282"/>
    <cellStyle name="Currency 6" xfId="283"/>
    <cellStyle name="Currency 7" xfId="284"/>
    <cellStyle name="Currency 8" xfId="285"/>
    <cellStyle name="Currency 9" xfId="286"/>
    <cellStyle name="Currency0" xfId="287"/>
    <cellStyle name="Date" xfId="288"/>
    <cellStyle name="Dollars &amp; Cents" xfId="289"/>
    <cellStyle name="Emphasis 1" xfId="290"/>
    <cellStyle name="Emphasis 2" xfId="291"/>
    <cellStyle name="Emphasis 3" xfId="292"/>
    <cellStyle name="Entered" xfId="293"/>
    <cellStyle name="Euro" xfId="294"/>
    <cellStyle name="Excel Built-in Normal" xfId="295"/>
    <cellStyle name="Explanatory Text 2" xfId="296"/>
    <cellStyle name="Explanatory Text 2 2" xfId="297"/>
    <cellStyle name="Explanatory Text 2 3" xfId="298"/>
    <cellStyle name="Explanatory Text 3 2" xfId="299"/>
    <cellStyle name="Explanatory Text 3 3" xfId="300"/>
    <cellStyle name="Fixed" xfId="301"/>
    <cellStyle name="Forecast" xfId="302"/>
    <cellStyle name="fred" xfId="303"/>
    <cellStyle name="Fred%" xfId="304"/>
    <cellStyle name="Good 2" xfId="305"/>
    <cellStyle name="Good 2 2" xfId="306"/>
    <cellStyle name="Good 2 3" xfId="307"/>
    <cellStyle name="Good 3 2" xfId="308"/>
    <cellStyle name="Good 3 3" xfId="309"/>
    <cellStyle name="Grey" xfId="310"/>
    <cellStyle name="Header" xfId="311"/>
    <cellStyle name="HEADER 2" xfId="312"/>
    <cellStyle name="Header1" xfId="313"/>
    <cellStyle name="Header2" xfId="314"/>
    <cellStyle name="Heading 1 2" xfId="315"/>
    <cellStyle name="Heading 1 2 2" xfId="316"/>
    <cellStyle name="Heading 1 2 3" xfId="317"/>
    <cellStyle name="Heading 1 3 2" xfId="318"/>
    <cellStyle name="Heading 1 3 3" xfId="319"/>
    <cellStyle name="Heading 2 2" xfId="320"/>
    <cellStyle name="Heading 2 2 2" xfId="321"/>
    <cellStyle name="Heading 2 2 3" xfId="322"/>
    <cellStyle name="Heading 2 3 2" xfId="323"/>
    <cellStyle name="Heading 2 3 3" xfId="324"/>
    <cellStyle name="Heading 3 2" xfId="325"/>
    <cellStyle name="Heading 3 2 2" xfId="326"/>
    <cellStyle name="Heading 3 2 3" xfId="327"/>
    <cellStyle name="Heading 3 3 2" xfId="328"/>
    <cellStyle name="Heading 3 3 3" xfId="329"/>
    <cellStyle name="Heading 4 2" xfId="330"/>
    <cellStyle name="Heading 4 2 2" xfId="331"/>
    <cellStyle name="Heading 4 2 3" xfId="332"/>
    <cellStyle name="Heading 4 3 2" xfId="333"/>
    <cellStyle name="Heading 4 3 3" xfId="334"/>
    <cellStyle name="Heading1" xfId="335"/>
    <cellStyle name="Heading2" xfId="336"/>
    <cellStyle name="HIGHLIGHT" xfId="337"/>
    <cellStyle name="Hyperlink" xfId="5" builtinId="8"/>
    <cellStyle name="Input [yellow]" xfId="338"/>
    <cellStyle name="Input 2" xfId="339"/>
    <cellStyle name="Input 2 2" xfId="340"/>
    <cellStyle name="Input 2 3" xfId="341"/>
    <cellStyle name="Input 3" xfId="342"/>
    <cellStyle name="Input 3 2" xfId="343"/>
    <cellStyle name="Input 3 3" xfId="344"/>
    <cellStyle name="Linked Cell 2" xfId="345"/>
    <cellStyle name="Linked Cell 2 2" xfId="346"/>
    <cellStyle name="Linked Cell 2 3" xfId="347"/>
    <cellStyle name="Linked Cell 3 2" xfId="348"/>
    <cellStyle name="Linked Cell 3 3" xfId="349"/>
    <cellStyle name="Neutral 2" xfId="350"/>
    <cellStyle name="Neutral 2 2" xfId="351"/>
    <cellStyle name="Neutral 2 3" xfId="352"/>
    <cellStyle name="Neutral 3 2" xfId="353"/>
    <cellStyle name="Neutral 3 3" xfId="354"/>
    <cellStyle name="no dec" xfId="355"/>
    <cellStyle name="Normal" xfId="0" builtinId="0"/>
    <cellStyle name="Normal - Style1" xfId="356"/>
    <cellStyle name="Normal - Style2" xfId="357"/>
    <cellStyle name="Normal - Style3" xfId="358"/>
    <cellStyle name="Normal - Style4" xfId="359"/>
    <cellStyle name="Normal - Style5" xfId="360"/>
    <cellStyle name="Normal - Style6" xfId="361"/>
    <cellStyle name="Normal - Style7" xfId="362"/>
    <cellStyle name="Normal - Style8" xfId="363"/>
    <cellStyle name="Normal 10" xfId="364"/>
    <cellStyle name="Normal 10 2" xfId="365"/>
    <cellStyle name="Normal 10 3" xfId="366"/>
    <cellStyle name="Normal 11" xfId="367"/>
    <cellStyle name="Normal 12" xfId="368"/>
    <cellStyle name="Normal 13" xfId="369"/>
    <cellStyle name="Normal 13 2" xfId="370"/>
    <cellStyle name="Normal 13 3" xfId="371"/>
    <cellStyle name="Normal 14" xfId="372"/>
    <cellStyle name="Normal 14 2" xfId="373"/>
    <cellStyle name="Normal 14 3" xfId="374"/>
    <cellStyle name="Normal 15" xfId="375"/>
    <cellStyle name="Normal 15 2" xfId="376"/>
    <cellStyle name="Normal 15 3" xfId="377"/>
    <cellStyle name="Normal 16" xfId="378"/>
    <cellStyle name="Normal 16 2" xfId="379"/>
    <cellStyle name="Normal 17" xfId="380"/>
    <cellStyle name="Normal 17 2" xfId="381"/>
    <cellStyle name="Normal 18" xfId="382"/>
    <cellStyle name="Normal 19" xfId="383"/>
    <cellStyle name="Normal 2" xfId="384"/>
    <cellStyle name="Normal 2 10" xfId="385"/>
    <cellStyle name="Normal 2 10 10" xfId="386"/>
    <cellStyle name="Normal 2 10 11" xfId="387"/>
    <cellStyle name="Normal 2 10 12" xfId="388"/>
    <cellStyle name="Normal 2 10 13" xfId="389"/>
    <cellStyle name="Normal 2 10 14" xfId="390"/>
    <cellStyle name="Normal 2 10 15" xfId="391"/>
    <cellStyle name="Normal 2 10 16" xfId="392"/>
    <cellStyle name="Normal 2 10 17" xfId="393"/>
    <cellStyle name="Normal 2 10 18" xfId="394"/>
    <cellStyle name="Normal 2 10 19" xfId="395"/>
    <cellStyle name="Normal 2 10 2" xfId="396"/>
    <cellStyle name="Normal 2 10 20" xfId="397"/>
    <cellStyle name="Normal 2 10 21" xfId="398"/>
    <cellStyle name="Normal 2 10 22" xfId="399"/>
    <cellStyle name="Normal 2 10 23" xfId="400"/>
    <cellStyle name="Normal 2 10 3" xfId="401"/>
    <cellStyle name="Normal 2 10 4" xfId="402"/>
    <cellStyle name="Normal 2 10 5" xfId="403"/>
    <cellStyle name="Normal 2 10 6" xfId="404"/>
    <cellStyle name="Normal 2 10 7" xfId="405"/>
    <cellStyle name="Normal 2 10 8" xfId="406"/>
    <cellStyle name="Normal 2 10 9" xfId="407"/>
    <cellStyle name="Normal 2 11" xfId="408"/>
    <cellStyle name="Normal 2 11 10" xfId="409"/>
    <cellStyle name="Normal 2 11 11" xfId="410"/>
    <cellStyle name="Normal 2 11 12" xfId="411"/>
    <cellStyle name="Normal 2 11 13" xfId="412"/>
    <cellStyle name="Normal 2 11 14" xfId="413"/>
    <cellStyle name="Normal 2 11 15" xfId="414"/>
    <cellStyle name="Normal 2 11 16" xfId="415"/>
    <cellStyle name="Normal 2 11 17" xfId="416"/>
    <cellStyle name="Normal 2 11 18" xfId="417"/>
    <cellStyle name="Normal 2 11 19" xfId="418"/>
    <cellStyle name="Normal 2 11 2" xfId="419"/>
    <cellStyle name="Normal 2 11 20" xfId="420"/>
    <cellStyle name="Normal 2 11 21" xfId="421"/>
    <cellStyle name="Normal 2 11 22" xfId="422"/>
    <cellStyle name="Normal 2 11 23" xfId="423"/>
    <cellStyle name="Normal 2 11 3" xfId="424"/>
    <cellStyle name="Normal 2 11 4" xfId="425"/>
    <cellStyle name="Normal 2 11 5" xfId="426"/>
    <cellStyle name="Normal 2 11 6" xfId="427"/>
    <cellStyle name="Normal 2 11 7" xfId="428"/>
    <cellStyle name="Normal 2 11 8" xfId="429"/>
    <cellStyle name="Normal 2 11 9" xfId="430"/>
    <cellStyle name="Normal 2 12" xfId="431"/>
    <cellStyle name="Normal 2 12 10" xfId="432"/>
    <cellStyle name="Normal 2 12 11" xfId="433"/>
    <cellStyle name="Normal 2 12 12" xfId="434"/>
    <cellStyle name="Normal 2 12 13" xfId="435"/>
    <cellStyle name="Normal 2 12 14" xfId="436"/>
    <cellStyle name="Normal 2 12 15" xfId="437"/>
    <cellStyle name="Normal 2 12 16" xfId="438"/>
    <cellStyle name="Normal 2 12 17" xfId="439"/>
    <cellStyle name="Normal 2 12 18" xfId="440"/>
    <cellStyle name="Normal 2 12 19" xfId="441"/>
    <cellStyle name="Normal 2 12 2" xfId="442"/>
    <cellStyle name="Normal 2 12 20" xfId="443"/>
    <cellStyle name="Normal 2 12 21" xfId="444"/>
    <cellStyle name="Normal 2 12 22" xfId="445"/>
    <cellStyle name="Normal 2 12 23" xfId="446"/>
    <cellStyle name="Normal 2 12 3" xfId="447"/>
    <cellStyle name="Normal 2 12 4" xfId="448"/>
    <cellStyle name="Normal 2 12 5" xfId="449"/>
    <cellStyle name="Normal 2 12 6" xfId="450"/>
    <cellStyle name="Normal 2 12 7" xfId="451"/>
    <cellStyle name="Normal 2 12 8" xfId="452"/>
    <cellStyle name="Normal 2 12 9" xfId="453"/>
    <cellStyle name="Normal 2 13" xfId="454"/>
    <cellStyle name="Normal 2 13 10" xfId="455"/>
    <cellStyle name="Normal 2 13 11" xfId="456"/>
    <cellStyle name="Normal 2 13 12" xfId="457"/>
    <cellStyle name="Normal 2 13 13" xfId="458"/>
    <cellStyle name="Normal 2 13 14" xfId="459"/>
    <cellStyle name="Normal 2 13 15" xfId="460"/>
    <cellStyle name="Normal 2 13 16" xfId="461"/>
    <cellStyle name="Normal 2 13 17" xfId="462"/>
    <cellStyle name="Normal 2 13 18" xfId="463"/>
    <cellStyle name="Normal 2 13 19" xfId="464"/>
    <cellStyle name="Normal 2 13 2" xfId="465"/>
    <cellStyle name="Normal 2 13 20" xfId="466"/>
    <cellStyle name="Normal 2 13 21" xfId="467"/>
    <cellStyle name="Normal 2 13 22" xfId="468"/>
    <cellStyle name="Normal 2 13 23" xfId="469"/>
    <cellStyle name="Normal 2 13 3" xfId="470"/>
    <cellStyle name="Normal 2 13 4" xfId="471"/>
    <cellStyle name="Normal 2 13 5" xfId="472"/>
    <cellStyle name="Normal 2 13 6" xfId="473"/>
    <cellStyle name="Normal 2 13 7" xfId="474"/>
    <cellStyle name="Normal 2 13 8" xfId="475"/>
    <cellStyle name="Normal 2 13 9" xfId="476"/>
    <cellStyle name="Normal 2 14" xfId="477"/>
    <cellStyle name="Normal 2 14 10" xfId="478"/>
    <cellStyle name="Normal 2 14 11" xfId="479"/>
    <cellStyle name="Normal 2 14 12" xfId="480"/>
    <cellStyle name="Normal 2 14 13" xfId="481"/>
    <cellStyle name="Normal 2 14 14" xfId="482"/>
    <cellStyle name="Normal 2 14 15" xfId="483"/>
    <cellStyle name="Normal 2 14 16" xfId="484"/>
    <cellStyle name="Normal 2 14 17" xfId="485"/>
    <cellStyle name="Normal 2 14 18" xfId="486"/>
    <cellStyle name="Normal 2 14 19" xfId="487"/>
    <cellStyle name="Normal 2 14 2" xfId="488"/>
    <cellStyle name="Normal 2 14 20" xfId="489"/>
    <cellStyle name="Normal 2 14 21" xfId="490"/>
    <cellStyle name="Normal 2 14 22" xfId="491"/>
    <cellStyle name="Normal 2 14 23" xfId="492"/>
    <cellStyle name="Normal 2 14 3" xfId="493"/>
    <cellStyle name="Normal 2 14 4" xfId="494"/>
    <cellStyle name="Normal 2 14 5" xfId="495"/>
    <cellStyle name="Normal 2 14 6" xfId="496"/>
    <cellStyle name="Normal 2 14 7" xfId="497"/>
    <cellStyle name="Normal 2 14 8" xfId="498"/>
    <cellStyle name="Normal 2 14 9" xfId="499"/>
    <cellStyle name="Normal 2 15" xfId="500"/>
    <cellStyle name="Normal 2 15 10" xfId="501"/>
    <cellStyle name="Normal 2 15 11" xfId="502"/>
    <cellStyle name="Normal 2 15 12" xfId="503"/>
    <cellStyle name="Normal 2 15 13" xfId="504"/>
    <cellStyle name="Normal 2 15 14" xfId="505"/>
    <cellStyle name="Normal 2 15 15" xfId="506"/>
    <cellStyle name="Normal 2 15 16" xfId="507"/>
    <cellStyle name="Normal 2 15 17" xfId="508"/>
    <cellStyle name="Normal 2 15 18" xfId="509"/>
    <cellStyle name="Normal 2 15 19" xfId="510"/>
    <cellStyle name="Normal 2 15 2" xfId="511"/>
    <cellStyle name="Normal 2 15 20" xfId="512"/>
    <cellStyle name="Normal 2 15 21" xfId="513"/>
    <cellStyle name="Normal 2 15 22" xfId="514"/>
    <cellStyle name="Normal 2 15 23" xfId="515"/>
    <cellStyle name="Normal 2 15 3" xfId="516"/>
    <cellStyle name="Normal 2 15 4" xfId="517"/>
    <cellStyle name="Normal 2 15 5" xfId="518"/>
    <cellStyle name="Normal 2 15 6" xfId="519"/>
    <cellStyle name="Normal 2 15 7" xfId="520"/>
    <cellStyle name="Normal 2 15 8" xfId="521"/>
    <cellStyle name="Normal 2 15 9" xfId="522"/>
    <cellStyle name="Normal 2 16" xfId="523"/>
    <cellStyle name="Normal 2 16 10" xfId="524"/>
    <cellStyle name="Normal 2 16 11" xfId="525"/>
    <cellStyle name="Normal 2 16 12" xfId="526"/>
    <cellStyle name="Normal 2 16 13" xfId="527"/>
    <cellStyle name="Normal 2 16 14" xfId="528"/>
    <cellStyle name="Normal 2 16 15" xfId="529"/>
    <cellStyle name="Normal 2 16 16" xfId="530"/>
    <cellStyle name="Normal 2 16 17" xfId="531"/>
    <cellStyle name="Normal 2 16 18" xfId="532"/>
    <cellStyle name="Normal 2 16 19" xfId="533"/>
    <cellStyle name="Normal 2 16 2" xfId="534"/>
    <cellStyle name="Normal 2 16 20" xfId="535"/>
    <cellStyle name="Normal 2 16 21" xfId="536"/>
    <cellStyle name="Normal 2 16 22" xfId="537"/>
    <cellStyle name="Normal 2 16 23" xfId="538"/>
    <cellStyle name="Normal 2 16 3" xfId="539"/>
    <cellStyle name="Normal 2 16 4" xfId="540"/>
    <cellStyle name="Normal 2 16 5" xfId="541"/>
    <cellStyle name="Normal 2 16 6" xfId="542"/>
    <cellStyle name="Normal 2 16 7" xfId="543"/>
    <cellStyle name="Normal 2 16 8" xfId="544"/>
    <cellStyle name="Normal 2 16 9" xfId="545"/>
    <cellStyle name="Normal 2 17" xfId="546"/>
    <cellStyle name="Normal 2 17 10" xfId="547"/>
    <cellStyle name="Normal 2 17 11" xfId="548"/>
    <cellStyle name="Normal 2 17 12" xfId="549"/>
    <cellStyle name="Normal 2 17 13" xfId="550"/>
    <cellStyle name="Normal 2 17 14" xfId="551"/>
    <cellStyle name="Normal 2 17 15" xfId="552"/>
    <cellStyle name="Normal 2 17 16" xfId="553"/>
    <cellStyle name="Normal 2 17 17" xfId="554"/>
    <cellStyle name="Normal 2 17 18" xfId="555"/>
    <cellStyle name="Normal 2 17 19" xfId="556"/>
    <cellStyle name="Normal 2 17 2" xfId="557"/>
    <cellStyle name="Normal 2 17 20" xfId="558"/>
    <cellStyle name="Normal 2 17 21" xfId="559"/>
    <cellStyle name="Normal 2 17 22" xfId="560"/>
    <cellStyle name="Normal 2 17 23" xfId="561"/>
    <cellStyle name="Normal 2 17 3" xfId="562"/>
    <cellStyle name="Normal 2 17 4" xfId="563"/>
    <cellStyle name="Normal 2 17 5" xfId="564"/>
    <cellStyle name="Normal 2 17 6" xfId="565"/>
    <cellStyle name="Normal 2 17 7" xfId="566"/>
    <cellStyle name="Normal 2 17 8" xfId="567"/>
    <cellStyle name="Normal 2 17 9" xfId="568"/>
    <cellStyle name="Normal 2 18" xfId="569"/>
    <cellStyle name="Normal 2 18 10" xfId="570"/>
    <cellStyle name="Normal 2 18 11" xfId="571"/>
    <cellStyle name="Normal 2 18 12" xfId="572"/>
    <cellStyle name="Normal 2 18 13" xfId="573"/>
    <cellStyle name="Normal 2 18 14" xfId="574"/>
    <cellStyle name="Normal 2 18 15" xfId="575"/>
    <cellStyle name="Normal 2 18 16" xfId="576"/>
    <cellStyle name="Normal 2 18 17" xfId="577"/>
    <cellStyle name="Normal 2 18 18" xfId="578"/>
    <cellStyle name="Normal 2 18 19" xfId="579"/>
    <cellStyle name="Normal 2 18 2" xfId="580"/>
    <cellStyle name="Normal 2 18 20" xfId="581"/>
    <cellStyle name="Normal 2 18 21" xfId="582"/>
    <cellStyle name="Normal 2 18 22" xfId="583"/>
    <cellStyle name="Normal 2 18 23" xfId="584"/>
    <cellStyle name="Normal 2 18 3" xfId="585"/>
    <cellStyle name="Normal 2 18 4" xfId="586"/>
    <cellStyle name="Normal 2 18 5" xfId="587"/>
    <cellStyle name="Normal 2 18 6" xfId="588"/>
    <cellStyle name="Normal 2 18 7" xfId="589"/>
    <cellStyle name="Normal 2 18 8" xfId="590"/>
    <cellStyle name="Normal 2 18 9" xfId="591"/>
    <cellStyle name="Normal 2 19" xfId="592"/>
    <cellStyle name="Normal 2 19 10" xfId="593"/>
    <cellStyle name="Normal 2 19 11" xfId="594"/>
    <cellStyle name="Normal 2 19 12" xfId="595"/>
    <cellStyle name="Normal 2 19 13" xfId="596"/>
    <cellStyle name="Normal 2 19 14" xfId="597"/>
    <cellStyle name="Normal 2 19 15" xfId="598"/>
    <cellStyle name="Normal 2 19 16" xfId="599"/>
    <cellStyle name="Normal 2 19 17" xfId="600"/>
    <cellStyle name="Normal 2 19 18" xfId="601"/>
    <cellStyle name="Normal 2 19 19" xfId="602"/>
    <cellStyle name="Normal 2 19 2" xfId="603"/>
    <cellStyle name="Normal 2 19 20" xfId="604"/>
    <cellStyle name="Normal 2 19 21" xfId="605"/>
    <cellStyle name="Normal 2 19 22" xfId="606"/>
    <cellStyle name="Normal 2 19 23" xfId="607"/>
    <cellStyle name="Normal 2 19 3" xfId="608"/>
    <cellStyle name="Normal 2 19 4" xfId="609"/>
    <cellStyle name="Normal 2 19 5" xfId="610"/>
    <cellStyle name="Normal 2 19 6" xfId="611"/>
    <cellStyle name="Normal 2 19 7" xfId="612"/>
    <cellStyle name="Normal 2 19 8" xfId="613"/>
    <cellStyle name="Normal 2 19 9" xfId="614"/>
    <cellStyle name="Normal 2 2" xfId="615"/>
    <cellStyle name="Normal 2 2 2" xfId="616"/>
    <cellStyle name="Normal 2 20" xfId="617"/>
    <cellStyle name="Normal 2 20 10" xfId="618"/>
    <cellStyle name="Normal 2 20 11" xfId="619"/>
    <cellStyle name="Normal 2 20 12" xfId="620"/>
    <cellStyle name="Normal 2 20 13" xfId="621"/>
    <cellStyle name="Normal 2 20 14" xfId="622"/>
    <cellStyle name="Normal 2 20 15" xfId="623"/>
    <cellStyle name="Normal 2 20 16" xfId="624"/>
    <cellStyle name="Normal 2 20 17" xfId="625"/>
    <cellStyle name="Normal 2 20 18" xfId="626"/>
    <cellStyle name="Normal 2 20 19" xfId="627"/>
    <cellStyle name="Normal 2 20 2" xfId="628"/>
    <cellStyle name="Normal 2 20 20" xfId="629"/>
    <cellStyle name="Normal 2 20 21" xfId="630"/>
    <cellStyle name="Normal 2 20 22" xfId="631"/>
    <cellStyle name="Normal 2 20 23" xfId="632"/>
    <cellStyle name="Normal 2 20 3" xfId="633"/>
    <cellStyle name="Normal 2 20 4" xfId="634"/>
    <cellStyle name="Normal 2 20 5" xfId="635"/>
    <cellStyle name="Normal 2 20 6" xfId="636"/>
    <cellStyle name="Normal 2 20 7" xfId="637"/>
    <cellStyle name="Normal 2 20 8" xfId="638"/>
    <cellStyle name="Normal 2 20 9" xfId="639"/>
    <cellStyle name="Normal 2 21" xfId="640"/>
    <cellStyle name="Normal 2 21 10" xfId="641"/>
    <cellStyle name="Normal 2 21 11" xfId="642"/>
    <cellStyle name="Normal 2 21 12" xfId="643"/>
    <cellStyle name="Normal 2 21 13" xfId="644"/>
    <cellStyle name="Normal 2 21 14" xfId="645"/>
    <cellStyle name="Normal 2 21 15" xfId="646"/>
    <cellStyle name="Normal 2 21 16" xfId="647"/>
    <cellStyle name="Normal 2 21 17" xfId="648"/>
    <cellStyle name="Normal 2 21 18" xfId="649"/>
    <cellStyle name="Normal 2 21 19" xfId="650"/>
    <cellStyle name="Normal 2 21 2" xfId="651"/>
    <cellStyle name="Normal 2 21 20" xfId="652"/>
    <cellStyle name="Normal 2 21 21" xfId="653"/>
    <cellStyle name="Normal 2 21 22" xfId="654"/>
    <cellStyle name="Normal 2 21 23" xfId="655"/>
    <cellStyle name="Normal 2 21 3" xfId="656"/>
    <cellStyle name="Normal 2 21 4" xfId="657"/>
    <cellStyle name="Normal 2 21 5" xfId="658"/>
    <cellStyle name="Normal 2 21 6" xfId="659"/>
    <cellStyle name="Normal 2 21 7" xfId="660"/>
    <cellStyle name="Normal 2 21 8" xfId="661"/>
    <cellStyle name="Normal 2 21 9" xfId="662"/>
    <cellStyle name="Normal 2 22" xfId="663"/>
    <cellStyle name="Normal 2 22 10" xfId="664"/>
    <cellStyle name="Normal 2 22 11" xfId="665"/>
    <cellStyle name="Normal 2 22 12" xfId="666"/>
    <cellStyle name="Normal 2 22 13" xfId="667"/>
    <cellStyle name="Normal 2 22 14" xfId="668"/>
    <cellStyle name="Normal 2 22 15" xfId="669"/>
    <cellStyle name="Normal 2 22 16" xfId="670"/>
    <cellStyle name="Normal 2 22 17" xfId="671"/>
    <cellStyle name="Normal 2 22 18" xfId="672"/>
    <cellStyle name="Normal 2 22 19" xfId="673"/>
    <cellStyle name="Normal 2 22 2" xfId="674"/>
    <cellStyle name="Normal 2 22 20" xfId="675"/>
    <cellStyle name="Normal 2 22 21" xfId="676"/>
    <cellStyle name="Normal 2 22 22" xfId="677"/>
    <cellStyle name="Normal 2 22 23" xfId="678"/>
    <cellStyle name="Normal 2 22 3" xfId="679"/>
    <cellStyle name="Normal 2 22 4" xfId="680"/>
    <cellStyle name="Normal 2 22 5" xfId="681"/>
    <cellStyle name="Normal 2 22 6" xfId="682"/>
    <cellStyle name="Normal 2 22 7" xfId="683"/>
    <cellStyle name="Normal 2 22 8" xfId="684"/>
    <cellStyle name="Normal 2 22 9" xfId="685"/>
    <cellStyle name="Normal 2 23" xfId="686"/>
    <cellStyle name="Normal 2 23 10" xfId="687"/>
    <cellStyle name="Normal 2 23 11" xfId="688"/>
    <cellStyle name="Normal 2 23 12" xfId="689"/>
    <cellStyle name="Normal 2 23 13" xfId="690"/>
    <cellStyle name="Normal 2 23 14" xfId="691"/>
    <cellStyle name="Normal 2 23 15" xfId="692"/>
    <cellStyle name="Normal 2 23 16" xfId="693"/>
    <cellStyle name="Normal 2 23 17" xfId="694"/>
    <cellStyle name="Normal 2 23 18" xfId="695"/>
    <cellStyle name="Normal 2 23 19" xfId="696"/>
    <cellStyle name="Normal 2 23 2" xfId="697"/>
    <cellStyle name="Normal 2 23 20" xfId="698"/>
    <cellStyle name="Normal 2 23 21" xfId="699"/>
    <cellStyle name="Normal 2 23 22" xfId="700"/>
    <cellStyle name="Normal 2 23 23" xfId="701"/>
    <cellStyle name="Normal 2 23 3" xfId="702"/>
    <cellStyle name="Normal 2 23 4" xfId="703"/>
    <cellStyle name="Normal 2 23 5" xfId="704"/>
    <cellStyle name="Normal 2 23 6" xfId="705"/>
    <cellStyle name="Normal 2 23 7" xfId="706"/>
    <cellStyle name="Normal 2 23 8" xfId="707"/>
    <cellStyle name="Normal 2 23 9" xfId="708"/>
    <cellStyle name="Normal 2 24" xfId="709"/>
    <cellStyle name="Normal 2 24 10" xfId="710"/>
    <cellStyle name="Normal 2 24 11" xfId="711"/>
    <cellStyle name="Normal 2 24 12" xfId="712"/>
    <cellStyle name="Normal 2 24 13" xfId="713"/>
    <cellStyle name="Normal 2 24 14" xfId="714"/>
    <cellStyle name="Normal 2 24 15" xfId="715"/>
    <cellStyle name="Normal 2 24 16" xfId="716"/>
    <cellStyle name="Normal 2 24 17" xfId="717"/>
    <cellStyle name="Normal 2 24 18" xfId="718"/>
    <cellStyle name="Normal 2 24 19" xfId="719"/>
    <cellStyle name="Normal 2 24 2" xfId="720"/>
    <cellStyle name="Normal 2 24 20" xfId="721"/>
    <cellStyle name="Normal 2 24 21" xfId="722"/>
    <cellStyle name="Normal 2 24 22" xfId="723"/>
    <cellStyle name="Normal 2 24 23" xfId="724"/>
    <cellStyle name="Normal 2 24 3" xfId="725"/>
    <cellStyle name="Normal 2 24 4" xfId="726"/>
    <cellStyle name="Normal 2 24 5" xfId="727"/>
    <cellStyle name="Normal 2 24 6" xfId="728"/>
    <cellStyle name="Normal 2 24 7" xfId="729"/>
    <cellStyle name="Normal 2 24 8" xfId="730"/>
    <cellStyle name="Normal 2 24 9" xfId="731"/>
    <cellStyle name="Normal 2 25" xfId="732"/>
    <cellStyle name="Normal 2 25 10" xfId="733"/>
    <cellStyle name="Normal 2 25 11" xfId="734"/>
    <cellStyle name="Normal 2 25 12" xfId="735"/>
    <cellStyle name="Normal 2 25 13" xfId="736"/>
    <cellStyle name="Normal 2 25 14" xfId="737"/>
    <cellStyle name="Normal 2 25 15" xfId="738"/>
    <cellStyle name="Normal 2 25 16" xfId="739"/>
    <cellStyle name="Normal 2 25 17" xfId="740"/>
    <cellStyle name="Normal 2 25 18" xfId="741"/>
    <cellStyle name="Normal 2 25 19" xfId="742"/>
    <cellStyle name="Normal 2 25 2" xfId="743"/>
    <cellStyle name="Normal 2 25 20" xfId="744"/>
    <cellStyle name="Normal 2 25 21" xfId="745"/>
    <cellStyle name="Normal 2 25 22" xfId="746"/>
    <cellStyle name="Normal 2 25 23" xfId="747"/>
    <cellStyle name="Normal 2 25 3" xfId="748"/>
    <cellStyle name="Normal 2 25 4" xfId="749"/>
    <cellStyle name="Normal 2 25 5" xfId="750"/>
    <cellStyle name="Normal 2 25 6" xfId="751"/>
    <cellStyle name="Normal 2 25 7" xfId="752"/>
    <cellStyle name="Normal 2 25 8" xfId="753"/>
    <cellStyle name="Normal 2 25 9" xfId="754"/>
    <cellStyle name="Normal 2 26" xfId="755"/>
    <cellStyle name="Normal 2 26 10" xfId="756"/>
    <cellStyle name="Normal 2 26 11" xfId="757"/>
    <cellStyle name="Normal 2 26 12" xfId="758"/>
    <cellStyle name="Normal 2 26 13" xfId="759"/>
    <cellStyle name="Normal 2 26 14" xfId="760"/>
    <cellStyle name="Normal 2 26 15" xfId="761"/>
    <cellStyle name="Normal 2 26 16" xfId="762"/>
    <cellStyle name="Normal 2 26 17" xfId="763"/>
    <cellStyle name="Normal 2 26 18" xfId="764"/>
    <cellStyle name="Normal 2 26 19" xfId="765"/>
    <cellStyle name="Normal 2 26 2" xfId="766"/>
    <cellStyle name="Normal 2 26 20" xfId="767"/>
    <cellStyle name="Normal 2 26 21" xfId="768"/>
    <cellStyle name="Normal 2 26 22" xfId="769"/>
    <cellStyle name="Normal 2 26 23" xfId="770"/>
    <cellStyle name="Normal 2 26 3" xfId="771"/>
    <cellStyle name="Normal 2 26 4" xfId="772"/>
    <cellStyle name="Normal 2 26 5" xfId="773"/>
    <cellStyle name="Normal 2 26 6" xfId="774"/>
    <cellStyle name="Normal 2 26 7" xfId="775"/>
    <cellStyle name="Normal 2 26 8" xfId="776"/>
    <cellStyle name="Normal 2 26 9" xfId="777"/>
    <cellStyle name="Normal 2 27" xfId="778"/>
    <cellStyle name="Normal 2 27 10" xfId="779"/>
    <cellStyle name="Normal 2 27 11" xfId="780"/>
    <cellStyle name="Normal 2 27 12" xfId="781"/>
    <cellStyle name="Normal 2 27 13" xfId="782"/>
    <cellStyle name="Normal 2 27 14" xfId="783"/>
    <cellStyle name="Normal 2 27 15" xfId="784"/>
    <cellStyle name="Normal 2 27 16" xfId="785"/>
    <cellStyle name="Normal 2 27 17" xfId="786"/>
    <cellStyle name="Normal 2 27 18" xfId="787"/>
    <cellStyle name="Normal 2 27 19" xfId="788"/>
    <cellStyle name="Normal 2 27 2" xfId="789"/>
    <cellStyle name="Normal 2 27 20" xfId="790"/>
    <cellStyle name="Normal 2 27 21" xfId="791"/>
    <cellStyle name="Normal 2 27 22" xfId="792"/>
    <cellStyle name="Normal 2 27 23" xfId="793"/>
    <cellStyle name="Normal 2 27 3" xfId="794"/>
    <cellStyle name="Normal 2 27 4" xfId="795"/>
    <cellStyle name="Normal 2 27 5" xfId="796"/>
    <cellStyle name="Normal 2 27 6" xfId="797"/>
    <cellStyle name="Normal 2 27 7" xfId="798"/>
    <cellStyle name="Normal 2 27 8" xfId="799"/>
    <cellStyle name="Normal 2 27 9" xfId="800"/>
    <cellStyle name="Normal 2 28" xfId="801"/>
    <cellStyle name="Normal 2 28 10" xfId="802"/>
    <cellStyle name="Normal 2 28 11" xfId="803"/>
    <cellStyle name="Normal 2 28 12" xfId="804"/>
    <cellStyle name="Normal 2 28 13" xfId="805"/>
    <cellStyle name="Normal 2 28 14" xfId="806"/>
    <cellStyle name="Normal 2 28 15" xfId="807"/>
    <cellStyle name="Normal 2 28 16" xfId="808"/>
    <cellStyle name="Normal 2 28 17" xfId="809"/>
    <cellStyle name="Normal 2 28 18" xfId="810"/>
    <cellStyle name="Normal 2 28 19" xfId="811"/>
    <cellStyle name="Normal 2 28 2" xfId="812"/>
    <cellStyle name="Normal 2 28 20" xfId="813"/>
    <cellStyle name="Normal 2 28 21" xfId="814"/>
    <cellStyle name="Normal 2 28 22" xfId="815"/>
    <cellStyle name="Normal 2 28 23" xfId="816"/>
    <cellStyle name="Normal 2 28 3" xfId="817"/>
    <cellStyle name="Normal 2 28 4" xfId="818"/>
    <cellStyle name="Normal 2 28 5" xfId="819"/>
    <cellStyle name="Normal 2 28 6" xfId="820"/>
    <cellStyle name="Normal 2 28 7" xfId="821"/>
    <cellStyle name="Normal 2 28 8" xfId="822"/>
    <cellStyle name="Normal 2 28 9" xfId="823"/>
    <cellStyle name="Normal 2 29" xfId="824"/>
    <cellStyle name="Normal 2 29 10" xfId="825"/>
    <cellStyle name="Normal 2 29 11" xfId="826"/>
    <cellStyle name="Normal 2 29 12" xfId="827"/>
    <cellStyle name="Normal 2 29 13" xfId="828"/>
    <cellStyle name="Normal 2 29 14" xfId="829"/>
    <cellStyle name="Normal 2 29 15" xfId="830"/>
    <cellStyle name="Normal 2 29 16" xfId="831"/>
    <cellStyle name="Normal 2 29 17" xfId="832"/>
    <cellStyle name="Normal 2 29 18" xfId="833"/>
    <cellStyle name="Normal 2 29 19" xfId="834"/>
    <cellStyle name="Normal 2 29 2" xfId="835"/>
    <cellStyle name="Normal 2 29 20" xfId="836"/>
    <cellStyle name="Normal 2 29 21" xfId="837"/>
    <cellStyle name="Normal 2 29 22" xfId="838"/>
    <cellStyle name="Normal 2 29 23" xfId="839"/>
    <cellStyle name="Normal 2 29 3" xfId="840"/>
    <cellStyle name="Normal 2 29 4" xfId="841"/>
    <cellStyle name="Normal 2 29 5" xfId="842"/>
    <cellStyle name="Normal 2 29 6" xfId="843"/>
    <cellStyle name="Normal 2 29 7" xfId="844"/>
    <cellStyle name="Normal 2 29 8" xfId="845"/>
    <cellStyle name="Normal 2 29 9" xfId="846"/>
    <cellStyle name="Normal 2 3" xfId="847"/>
    <cellStyle name="Normal 2 3 2" xfId="848"/>
    <cellStyle name="Normal 2 30" xfId="849"/>
    <cellStyle name="Normal 2 30 10" xfId="850"/>
    <cellStyle name="Normal 2 30 11" xfId="851"/>
    <cellStyle name="Normal 2 30 12" xfId="852"/>
    <cellStyle name="Normal 2 30 13" xfId="853"/>
    <cellStyle name="Normal 2 30 14" xfId="854"/>
    <cellStyle name="Normal 2 30 15" xfId="855"/>
    <cellStyle name="Normal 2 30 16" xfId="856"/>
    <cellStyle name="Normal 2 30 17" xfId="857"/>
    <cellStyle name="Normal 2 30 18" xfId="858"/>
    <cellStyle name="Normal 2 30 19" xfId="859"/>
    <cellStyle name="Normal 2 30 2" xfId="860"/>
    <cellStyle name="Normal 2 30 20" xfId="861"/>
    <cellStyle name="Normal 2 30 21" xfId="862"/>
    <cellStyle name="Normal 2 30 22" xfId="863"/>
    <cellStyle name="Normal 2 30 23" xfId="864"/>
    <cellStyle name="Normal 2 30 3" xfId="865"/>
    <cellStyle name="Normal 2 30 4" xfId="866"/>
    <cellStyle name="Normal 2 30 5" xfId="867"/>
    <cellStyle name="Normal 2 30 6" xfId="868"/>
    <cellStyle name="Normal 2 30 7" xfId="869"/>
    <cellStyle name="Normal 2 30 8" xfId="870"/>
    <cellStyle name="Normal 2 30 9" xfId="871"/>
    <cellStyle name="Normal 2 31" xfId="872"/>
    <cellStyle name="Normal 2 31 10" xfId="873"/>
    <cellStyle name="Normal 2 31 11" xfId="874"/>
    <cellStyle name="Normal 2 31 12" xfId="875"/>
    <cellStyle name="Normal 2 31 13" xfId="876"/>
    <cellStyle name="Normal 2 31 14" xfId="877"/>
    <cellStyle name="Normal 2 31 15" xfId="878"/>
    <cellStyle name="Normal 2 31 16" xfId="879"/>
    <cellStyle name="Normal 2 31 17" xfId="880"/>
    <cellStyle name="Normal 2 31 18" xfId="881"/>
    <cellStyle name="Normal 2 31 19" xfId="882"/>
    <cellStyle name="Normal 2 31 2" xfId="883"/>
    <cellStyle name="Normal 2 31 20" xfId="884"/>
    <cellStyle name="Normal 2 31 21" xfId="885"/>
    <cellStyle name="Normal 2 31 22" xfId="886"/>
    <cellStyle name="Normal 2 31 23" xfId="887"/>
    <cellStyle name="Normal 2 31 3" xfId="888"/>
    <cellStyle name="Normal 2 31 4" xfId="889"/>
    <cellStyle name="Normal 2 31 5" xfId="890"/>
    <cellStyle name="Normal 2 31 6" xfId="891"/>
    <cellStyle name="Normal 2 31 7" xfId="892"/>
    <cellStyle name="Normal 2 31 8" xfId="893"/>
    <cellStyle name="Normal 2 31 9" xfId="894"/>
    <cellStyle name="Normal 2 32" xfId="895"/>
    <cellStyle name="Normal 2 32 10" xfId="896"/>
    <cellStyle name="Normal 2 32 11" xfId="897"/>
    <cellStyle name="Normal 2 32 12" xfId="898"/>
    <cellStyle name="Normal 2 32 13" xfId="899"/>
    <cellStyle name="Normal 2 32 14" xfId="900"/>
    <cellStyle name="Normal 2 32 15" xfId="901"/>
    <cellStyle name="Normal 2 32 16" xfId="902"/>
    <cellStyle name="Normal 2 32 17" xfId="903"/>
    <cellStyle name="Normal 2 32 18" xfId="904"/>
    <cellStyle name="Normal 2 32 19" xfId="905"/>
    <cellStyle name="Normal 2 32 2" xfId="906"/>
    <cellStyle name="Normal 2 32 20" xfId="907"/>
    <cellStyle name="Normal 2 32 21" xfId="908"/>
    <cellStyle name="Normal 2 32 22" xfId="909"/>
    <cellStyle name="Normal 2 32 23" xfId="910"/>
    <cellStyle name="Normal 2 32 3" xfId="911"/>
    <cellStyle name="Normal 2 32 4" xfId="912"/>
    <cellStyle name="Normal 2 32 5" xfId="913"/>
    <cellStyle name="Normal 2 32 6" xfId="914"/>
    <cellStyle name="Normal 2 32 7" xfId="915"/>
    <cellStyle name="Normal 2 32 8" xfId="916"/>
    <cellStyle name="Normal 2 32 9" xfId="917"/>
    <cellStyle name="Normal 2 33" xfId="918"/>
    <cellStyle name="Normal 2 33 10" xfId="919"/>
    <cellStyle name="Normal 2 33 11" xfId="920"/>
    <cellStyle name="Normal 2 33 12" xfId="921"/>
    <cellStyle name="Normal 2 33 13" xfId="922"/>
    <cellStyle name="Normal 2 33 14" xfId="923"/>
    <cellStyle name="Normal 2 33 15" xfId="924"/>
    <cellStyle name="Normal 2 33 16" xfId="925"/>
    <cellStyle name="Normal 2 33 17" xfId="926"/>
    <cellStyle name="Normal 2 33 18" xfId="927"/>
    <cellStyle name="Normal 2 33 19" xfId="928"/>
    <cellStyle name="Normal 2 33 2" xfId="929"/>
    <cellStyle name="Normal 2 33 20" xfId="930"/>
    <cellStyle name="Normal 2 33 21" xfId="931"/>
    <cellStyle name="Normal 2 33 22" xfId="932"/>
    <cellStyle name="Normal 2 33 23" xfId="933"/>
    <cellStyle name="Normal 2 33 3" xfId="934"/>
    <cellStyle name="Normal 2 33 4" xfId="935"/>
    <cellStyle name="Normal 2 33 5" xfId="936"/>
    <cellStyle name="Normal 2 33 6" xfId="937"/>
    <cellStyle name="Normal 2 33 7" xfId="938"/>
    <cellStyle name="Normal 2 33 8" xfId="939"/>
    <cellStyle name="Normal 2 33 9" xfId="940"/>
    <cellStyle name="Normal 2 34" xfId="941"/>
    <cellStyle name="Normal 2 34 10" xfId="942"/>
    <cellStyle name="Normal 2 34 11" xfId="943"/>
    <cellStyle name="Normal 2 34 12" xfId="944"/>
    <cellStyle name="Normal 2 34 13" xfId="945"/>
    <cellStyle name="Normal 2 34 14" xfId="946"/>
    <cellStyle name="Normal 2 34 15" xfId="947"/>
    <cellStyle name="Normal 2 34 16" xfId="948"/>
    <cellStyle name="Normal 2 34 17" xfId="949"/>
    <cellStyle name="Normal 2 34 18" xfId="950"/>
    <cellStyle name="Normal 2 34 19" xfId="951"/>
    <cellStyle name="Normal 2 34 2" xfId="952"/>
    <cellStyle name="Normal 2 34 20" xfId="953"/>
    <cellStyle name="Normal 2 34 21" xfId="954"/>
    <cellStyle name="Normal 2 34 22" xfId="955"/>
    <cellStyle name="Normal 2 34 23" xfId="956"/>
    <cellStyle name="Normal 2 34 3" xfId="957"/>
    <cellStyle name="Normal 2 34 4" xfId="958"/>
    <cellStyle name="Normal 2 34 5" xfId="959"/>
    <cellStyle name="Normal 2 34 6" xfId="960"/>
    <cellStyle name="Normal 2 34 7" xfId="961"/>
    <cellStyle name="Normal 2 34 8" xfId="962"/>
    <cellStyle name="Normal 2 34 9" xfId="963"/>
    <cellStyle name="Normal 2 35" xfId="964"/>
    <cellStyle name="Normal 2 35 10" xfId="965"/>
    <cellStyle name="Normal 2 35 11" xfId="966"/>
    <cellStyle name="Normal 2 35 12" xfId="967"/>
    <cellStyle name="Normal 2 35 13" xfId="968"/>
    <cellStyle name="Normal 2 35 14" xfId="969"/>
    <cellStyle name="Normal 2 35 15" xfId="970"/>
    <cellStyle name="Normal 2 35 16" xfId="971"/>
    <cellStyle name="Normal 2 35 17" xfId="972"/>
    <cellStyle name="Normal 2 35 18" xfId="973"/>
    <cellStyle name="Normal 2 35 19" xfId="974"/>
    <cellStyle name="Normal 2 35 2" xfId="975"/>
    <cellStyle name="Normal 2 35 20" xfId="976"/>
    <cellStyle name="Normal 2 35 21" xfId="977"/>
    <cellStyle name="Normal 2 35 22" xfId="978"/>
    <cellStyle name="Normal 2 35 23" xfId="979"/>
    <cellStyle name="Normal 2 35 3" xfId="980"/>
    <cellStyle name="Normal 2 35 4" xfId="981"/>
    <cellStyle name="Normal 2 35 5" xfId="982"/>
    <cellStyle name="Normal 2 35 6" xfId="983"/>
    <cellStyle name="Normal 2 35 7" xfId="984"/>
    <cellStyle name="Normal 2 35 8" xfId="985"/>
    <cellStyle name="Normal 2 35 9" xfId="986"/>
    <cellStyle name="Normal 2 36" xfId="987"/>
    <cellStyle name="Normal 2 36 10" xfId="988"/>
    <cellStyle name="Normal 2 36 11" xfId="989"/>
    <cellStyle name="Normal 2 36 12" xfId="990"/>
    <cellStyle name="Normal 2 36 13" xfId="991"/>
    <cellStyle name="Normal 2 36 14" xfId="992"/>
    <cellStyle name="Normal 2 36 15" xfId="993"/>
    <cellStyle name="Normal 2 36 16" xfId="994"/>
    <cellStyle name="Normal 2 36 17" xfId="995"/>
    <cellStyle name="Normal 2 36 18" xfId="996"/>
    <cellStyle name="Normal 2 36 19" xfId="997"/>
    <cellStyle name="Normal 2 36 2" xfId="998"/>
    <cellStyle name="Normal 2 36 20" xfId="999"/>
    <cellStyle name="Normal 2 36 21" xfId="1000"/>
    <cellStyle name="Normal 2 36 22" xfId="1001"/>
    <cellStyle name="Normal 2 36 23" xfId="1002"/>
    <cellStyle name="Normal 2 36 3" xfId="1003"/>
    <cellStyle name="Normal 2 36 4" xfId="1004"/>
    <cellStyle name="Normal 2 36 5" xfId="1005"/>
    <cellStyle name="Normal 2 36 6" xfId="1006"/>
    <cellStyle name="Normal 2 36 7" xfId="1007"/>
    <cellStyle name="Normal 2 36 8" xfId="1008"/>
    <cellStyle name="Normal 2 36 9" xfId="1009"/>
    <cellStyle name="Normal 2 37" xfId="1010"/>
    <cellStyle name="Normal 2 37 10" xfId="1011"/>
    <cellStyle name="Normal 2 37 11" xfId="1012"/>
    <cellStyle name="Normal 2 37 12" xfId="1013"/>
    <cellStyle name="Normal 2 37 13" xfId="1014"/>
    <cellStyle name="Normal 2 37 14" xfId="1015"/>
    <cellStyle name="Normal 2 37 15" xfId="1016"/>
    <cellStyle name="Normal 2 37 16" xfId="1017"/>
    <cellStyle name="Normal 2 37 17" xfId="1018"/>
    <cellStyle name="Normal 2 37 18" xfId="1019"/>
    <cellStyle name="Normal 2 37 19" xfId="1020"/>
    <cellStyle name="Normal 2 37 2" xfId="1021"/>
    <cellStyle name="Normal 2 37 20" xfId="1022"/>
    <cellStyle name="Normal 2 37 21" xfId="1023"/>
    <cellStyle name="Normal 2 37 22" xfId="1024"/>
    <cellStyle name="Normal 2 37 23" xfId="1025"/>
    <cellStyle name="Normal 2 37 3" xfId="1026"/>
    <cellStyle name="Normal 2 37 4" xfId="1027"/>
    <cellStyle name="Normal 2 37 5" xfId="1028"/>
    <cellStyle name="Normal 2 37 6" xfId="1029"/>
    <cellStyle name="Normal 2 37 7" xfId="1030"/>
    <cellStyle name="Normal 2 37 8" xfId="1031"/>
    <cellStyle name="Normal 2 37 9" xfId="1032"/>
    <cellStyle name="Normal 2 38" xfId="1033"/>
    <cellStyle name="Normal 2 38 10" xfId="1034"/>
    <cellStyle name="Normal 2 38 11" xfId="1035"/>
    <cellStyle name="Normal 2 38 12" xfId="1036"/>
    <cellStyle name="Normal 2 38 13" xfId="1037"/>
    <cellStyle name="Normal 2 38 14" xfId="1038"/>
    <cellStyle name="Normal 2 38 15" xfId="1039"/>
    <cellStyle name="Normal 2 38 16" xfId="1040"/>
    <cellStyle name="Normal 2 38 17" xfId="1041"/>
    <cellStyle name="Normal 2 38 18" xfId="1042"/>
    <cellStyle name="Normal 2 38 19" xfId="1043"/>
    <cellStyle name="Normal 2 38 2" xfId="1044"/>
    <cellStyle name="Normal 2 38 20" xfId="1045"/>
    <cellStyle name="Normal 2 38 21" xfId="1046"/>
    <cellStyle name="Normal 2 38 22" xfId="1047"/>
    <cellStyle name="Normal 2 38 23" xfId="1048"/>
    <cellStyle name="Normal 2 38 3" xfId="1049"/>
    <cellStyle name="Normal 2 38 4" xfId="1050"/>
    <cellStyle name="Normal 2 38 5" xfId="1051"/>
    <cellStyle name="Normal 2 38 6" xfId="1052"/>
    <cellStyle name="Normal 2 38 7" xfId="1053"/>
    <cellStyle name="Normal 2 38 8" xfId="1054"/>
    <cellStyle name="Normal 2 38 9" xfId="1055"/>
    <cellStyle name="Normal 2 39" xfId="1056"/>
    <cellStyle name="Normal 2 39 10" xfId="1057"/>
    <cellStyle name="Normal 2 39 11" xfId="1058"/>
    <cellStyle name="Normal 2 39 12" xfId="1059"/>
    <cellStyle name="Normal 2 39 13" xfId="1060"/>
    <cellStyle name="Normal 2 39 14" xfId="1061"/>
    <cellStyle name="Normal 2 39 15" xfId="1062"/>
    <cellStyle name="Normal 2 39 16" xfId="1063"/>
    <cellStyle name="Normal 2 39 17" xfId="1064"/>
    <cellStyle name="Normal 2 39 18" xfId="1065"/>
    <cellStyle name="Normal 2 39 19" xfId="1066"/>
    <cellStyle name="Normal 2 39 2" xfId="1067"/>
    <cellStyle name="Normal 2 39 20" xfId="1068"/>
    <cellStyle name="Normal 2 39 21" xfId="1069"/>
    <cellStyle name="Normal 2 39 22" xfId="1070"/>
    <cellStyle name="Normal 2 39 23" xfId="1071"/>
    <cellStyle name="Normal 2 39 3" xfId="1072"/>
    <cellStyle name="Normal 2 39 4" xfId="1073"/>
    <cellStyle name="Normal 2 39 5" xfId="1074"/>
    <cellStyle name="Normal 2 39 6" xfId="1075"/>
    <cellStyle name="Normal 2 39 7" xfId="1076"/>
    <cellStyle name="Normal 2 39 8" xfId="1077"/>
    <cellStyle name="Normal 2 39 9" xfId="1078"/>
    <cellStyle name="Normal 2 4" xfId="1079"/>
    <cellStyle name="Normal 2 4 2" xfId="1080"/>
    <cellStyle name="Normal 2 40" xfId="1081"/>
    <cellStyle name="Normal 2 41" xfId="1082"/>
    <cellStyle name="Normal 2 42" xfId="1083"/>
    <cellStyle name="Normal 2 43" xfId="1084"/>
    <cellStyle name="Normal 2 44" xfId="1085"/>
    <cellStyle name="Normal 2 45" xfId="1086"/>
    <cellStyle name="Normal 2 46" xfId="1087"/>
    <cellStyle name="Normal 2 47" xfId="1088"/>
    <cellStyle name="Normal 2 48" xfId="1089"/>
    <cellStyle name="Normal 2 49" xfId="1090"/>
    <cellStyle name="Normal 2 5" xfId="1091"/>
    <cellStyle name="Normal 2 5 10" xfId="1092"/>
    <cellStyle name="Normal 2 5 11" xfId="1093"/>
    <cellStyle name="Normal 2 5 12" xfId="1094"/>
    <cellStyle name="Normal 2 5 13" xfId="1095"/>
    <cellStyle name="Normal 2 5 14" xfId="1096"/>
    <cellStyle name="Normal 2 5 15" xfId="1097"/>
    <cellStyle name="Normal 2 5 16" xfId="1098"/>
    <cellStyle name="Normal 2 5 17" xfId="1099"/>
    <cellStyle name="Normal 2 5 18" xfId="1100"/>
    <cellStyle name="Normal 2 5 19" xfId="1101"/>
    <cellStyle name="Normal 2 5 2" xfId="1102"/>
    <cellStyle name="Normal 2 5 2 10" xfId="1103"/>
    <cellStyle name="Normal 2 5 2 11" xfId="1104"/>
    <cellStyle name="Normal 2 5 2 12" xfId="1105"/>
    <cellStyle name="Normal 2 5 2 13" xfId="1106"/>
    <cellStyle name="Normal 2 5 2 14" xfId="1107"/>
    <cellStyle name="Normal 2 5 2 15" xfId="1108"/>
    <cellStyle name="Normal 2 5 2 16" xfId="1109"/>
    <cellStyle name="Normal 2 5 2 17" xfId="1110"/>
    <cellStyle name="Normal 2 5 2 18" xfId="1111"/>
    <cellStyle name="Normal 2 5 2 19" xfId="1112"/>
    <cellStyle name="Normal 2 5 2 2" xfId="1113"/>
    <cellStyle name="Normal 2 5 2 2 10" xfId="1114"/>
    <cellStyle name="Normal 2 5 2 2 11" xfId="1115"/>
    <cellStyle name="Normal 2 5 2 2 12" xfId="1116"/>
    <cellStyle name="Normal 2 5 2 2 13" xfId="1117"/>
    <cellStyle name="Normal 2 5 2 2 14" xfId="1118"/>
    <cellStyle name="Normal 2 5 2 2 15" xfId="1119"/>
    <cellStyle name="Normal 2 5 2 2 16" xfId="1120"/>
    <cellStyle name="Normal 2 5 2 2 17" xfId="1121"/>
    <cellStyle name="Normal 2 5 2 2 18" xfId="1122"/>
    <cellStyle name="Normal 2 5 2 2 19" xfId="1123"/>
    <cellStyle name="Normal 2 5 2 2 2" xfId="1124"/>
    <cellStyle name="Normal 2 5 2 2 20" xfId="1125"/>
    <cellStyle name="Normal 2 5 2 2 21" xfId="1126"/>
    <cellStyle name="Normal 2 5 2 2 22" xfId="1127"/>
    <cellStyle name="Normal 2 5 2 2 23" xfId="1128"/>
    <cellStyle name="Normal 2 5 2 2 24" xfId="1129"/>
    <cellStyle name="Normal 2 5 2 2 25" xfId="1130"/>
    <cellStyle name="Normal 2 5 2 2 26" xfId="1131"/>
    <cellStyle name="Normal 2 5 2 2 27" xfId="1132"/>
    <cellStyle name="Normal 2 5 2 2 28" xfId="1133"/>
    <cellStyle name="Normal 2 5 2 2 29" xfId="1134"/>
    <cellStyle name="Normal 2 5 2 2 3" xfId="1135"/>
    <cellStyle name="Normal 2 5 2 2 30" xfId="1136"/>
    <cellStyle name="Normal 2 5 2 2 31" xfId="1137"/>
    <cellStyle name="Normal 2 5 2 2 32" xfId="1138"/>
    <cellStyle name="Normal 2 5 2 2 33" xfId="1139"/>
    <cellStyle name="Normal 2 5 2 2 34" xfId="1140"/>
    <cellStyle name="Normal 2 5 2 2 35" xfId="1141"/>
    <cellStyle name="Normal 2 5 2 2 36" xfId="1142"/>
    <cellStyle name="Normal 2 5 2 2 37" xfId="1143"/>
    <cellStyle name="Normal 2 5 2 2 38" xfId="1144"/>
    <cellStyle name="Normal 2 5 2 2 39" xfId="1145"/>
    <cellStyle name="Normal 2 5 2 2 4" xfId="1146"/>
    <cellStyle name="Normal 2 5 2 2 40" xfId="1147"/>
    <cellStyle name="Normal 2 5 2 2 41" xfId="1148"/>
    <cellStyle name="Normal 2 5 2 2 42" xfId="1149"/>
    <cellStyle name="Normal 2 5 2 2 43" xfId="1150"/>
    <cellStyle name="Normal 2 5 2 2 44" xfId="1151"/>
    <cellStyle name="Normal 2 5 2 2 45" xfId="1152"/>
    <cellStyle name="Normal 2 5 2 2 46" xfId="1153"/>
    <cellStyle name="Normal 2 5 2 2 47" xfId="1154"/>
    <cellStyle name="Normal 2 5 2 2 48" xfId="1155"/>
    <cellStyle name="Normal 2 5 2 2 49" xfId="1156"/>
    <cellStyle name="Normal 2 5 2 2 5" xfId="1157"/>
    <cellStyle name="Normal 2 5 2 2 50" xfId="1158"/>
    <cellStyle name="Normal 2 5 2 2 51" xfId="1159"/>
    <cellStyle name="Normal 2 5 2 2 52" xfId="1160"/>
    <cellStyle name="Normal 2 5 2 2 53" xfId="1161"/>
    <cellStyle name="Normal 2 5 2 2 54" xfId="1162"/>
    <cellStyle name="Normal 2 5 2 2 55" xfId="1163"/>
    <cellStyle name="Normal 2 5 2 2 6" xfId="1164"/>
    <cellStyle name="Normal 2 5 2 2 7" xfId="1165"/>
    <cellStyle name="Normal 2 5 2 2 8" xfId="1166"/>
    <cellStyle name="Normal 2 5 2 2 9" xfId="1167"/>
    <cellStyle name="Normal 2 5 2 20" xfId="1168"/>
    <cellStyle name="Normal 2 5 2 21" xfId="1169"/>
    <cellStyle name="Normal 2 5 2 22" xfId="1170"/>
    <cellStyle name="Normal 2 5 2 23" xfId="1171"/>
    <cellStyle name="Normal 2 5 2 24" xfId="1172"/>
    <cellStyle name="Normal 2 5 2 25" xfId="1173"/>
    <cellStyle name="Normal 2 5 2 26" xfId="1174"/>
    <cellStyle name="Normal 2 5 2 27" xfId="1175"/>
    <cellStyle name="Normal 2 5 2 28" xfId="1176"/>
    <cellStyle name="Normal 2 5 2 29" xfId="1177"/>
    <cellStyle name="Normal 2 5 2 3" xfId="1178"/>
    <cellStyle name="Normal 2 5 2 30" xfId="1179"/>
    <cellStyle name="Normal 2 5 2 31" xfId="1180"/>
    <cellStyle name="Normal 2 5 2 32" xfId="1181"/>
    <cellStyle name="Normal 2 5 2 33" xfId="1182"/>
    <cellStyle name="Normal 2 5 2 4" xfId="1183"/>
    <cellStyle name="Normal 2 5 2 5" xfId="1184"/>
    <cellStyle name="Normal 2 5 2 6" xfId="1185"/>
    <cellStyle name="Normal 2 5 2 7" xfId="1186"/>
    <cellStyle name="Normal 2 5 2 8" xfId="1187"/>
    <cellStyle name="Normal 2 5 2 9" xfId="1188"/>
    <cellStyle name="Normal 2 5 20" xfId="1189"/>
    <cellStyle name="Normal 2 5 21" xfId="1190"/>
    <cellStyle name="Normal 2 5 22" xfId="1191"/>
    <cellStyle name="Normal 2 5 23" xfId="1192"/>
    <cellStyle name="Normal 2 5 24" xfId="1193"/>
    <cellStyle name="Normal 2 5 25" xfId="1194"/>
    <cellStyle name="Normal 2 5 26" xfId="1195"/>
    <cellStyle name="Normal 2 5 27" xfId="1196"/>
    <cellStyle name="Normal 2 5 28" xfId="1197"/>
    <cellStyle name="Normal 2 5 29" xfId="1198"/>
    <cellStyle name="Normal 2 5 3" xfId="1199"/>
    <cellStyle name="Normal 2 5 30" xfId="1200"/>
    <cellStyle name="Normal 2 5 31" xfId="1201"/>
    <cellStyle name="Normal 2 5 32" xfId="1202"/>
    <cellStyle name="Normal 2 5 33" xfId="1203"/>
    <cellStyle name="Normal 2 5 34" xfId="1204"/>
    <cellStyle name="Normal 2 5 35" xfId="1205"/>
    <cellStyle name="Normal 2 5 36" xfId="1206"/>
    <cellStyle name="Normal 2 5 37" xfId="1207"/>
    <cellStyle name="Normal 2 5 38" xfId="1208"/>
    <cellStyle name="Normal 2 5 39" xfId="1209"/>
    <cellStyle name="Normal 2 5 4" xfId="1210"/>
    <cellStyle name="Normal 2 5 40" xfId="1211"/>
    <cellStyle name="Normal 2 5 41" xfId="1212"/>
    <cellStyle name="Normal 2 5 42" xfId="1213"/>
    <cellStyle name="Normal 2 5 43" xfId="1214"/>
    <cellStyle name="Normal 2 5 44" xfId="1215"/>
    <cellStyle name="Normal 2 5 45" xfId="1216"/>
    <cellStyle name="Normal 2 5 46" xfId="1217"/>
    <cellStyle name="Normal 2 5 47" xfId="1218"/>
    <cellStyle name="Normal 2 5 48" xfId="1219"/>
    <cellStyle name="Normal 2 5 49" xfId="1220"/>
    <cellStyle name="Normal 2 5 5" xfId="1221"/>
    <cellStyle name="Normal 2 5 50" xfId="1222"/>
    <cellStyle name="Normal 2 5 51" xfId="1223"/>
    <cellStyle name="Normal 2 5 52" xfId="1224"/>
    <cellStyle name="Normal 2 5 53" xfId="1225"/>
    <cellStyle name="Normal 2 5 54" xfId="1226"/>
    <cellStyle name="Normal 2 5 55" xfId="1227"/>
    <cellStyle name="Normal 2 5 56" xfId="1228"/>
    <cellStyle name="Normal 2 5 57" xfId="1229"/>
    <cellStyle name="Normal 2 5 58" xfId="1230"/>
    <cellStyle name="Normal 2 5 59" xfId="1231"/>
    <cellStyle name="Normal 2 5 6" xfId="1232"/>
    <cellStyle name="Normal 2 5 60" xfId="1233"/>
    <cellStyle name="Normal 2 5 61" xfId="1234"/>
    <cellStyle name="Normal 2 5 62" xfId="1235"/>
    <cellStyle name="Normal 2 5 63" xfId="1236"/>
    <cellStyle name="Normal 2 5 64" xfId="1237"/>
    <cellStyle name="Normal 2 5 65" xfId="1238"/>
    <cellStyle name="Normal 2 5 66" xfId="1239"/>
    <cellStyle name="Normal 2 5 67" xfId="1240"/>
    <cellStyle name="Normal 2 5 68" xfId="1241"/>
    <cellStyle name="Normal 2 5 69" xfId="1242"/>
    <cellStyle name="Normal 2 5 7" xfId="1243"/>
    <cellStyle name="Normal 2 5 70" xfId="1244"/>
    <cellStyle name="Normal 2 5 71" xfId="1245"/>
    <cellStyle name="Normal 2 5 72" xfId="1246"/>
    <cellStyle name="Normal 2 5 73" xfId="1247"/>
    <cellStyle name="Normal 2 5 74" xfId="1248"/>
    <cellStyle name="Normal 2 5 75" xfId="1249"/>
    <cellStyle name="Normal 2 5 76" xfId="1250"/>
    <cellStyle name="Normal 2 5 77" xfId="1251"/>
    <cellStyle name="Normal 2 5 78" xfId="1252"/>
    <cellStyle name="Normal 2 5 79" xfId="1253"/>
    <cellStyle name="Normal 2 5 8" xfId="1254"/>
    <cellStyle name="Normal 2 5 80" xfId="1255"/>
    <cellStyle name="Normal 2 5 81" xfId="1256"/>
    <cellStyle name="Normal 2 5 82" xfId="1257"/>
    <cellStyle name="Normal 2 5 83" xfId="1258"/>
    <cellStyle name="Normal 2 5 84" xfId="1259"/>
    <cellStyle name="Normal 2 5 85" xfId="1260"/>
    <cellStyle name="Normal 2 5 86" xfId="1261"/>
    <cellStyle name="Normal 2 5 87" xfId="1262"/>
    <cellStyle name="Normal 2 5 9" xfId="1263"/>
    <cellStyle name="Normal 2 5_DEER 032008 Cost Summary Delivery - Rev 4 (2)" xfId="1264"/>
    <cellStyle name="Normal 2 50" xfId="1265"/>
    <cellStyle name="Normal 2 51" xfId="1266"/>
    <cellStyle name="Normal 2 52" xfId="1267"/>
    <cellStyle name="Normal 2 53" xfId="1268"/>
    <cellStyle name="Normal 2 54" xfId="1269"/>
    <cellStyle name="Normal 2 55" xfId="1270"/>
    <cellStyle name="Normal 2 56" xfId="1271"/>
    <cellStyle name="Normal 2 57" xfId="1272"/>
    <cellStyle name="Normal 2 58" xfId="1273"/>
    <cellStyle name="Normal 2 59" xfId="1274"/>
    <cellStyle name="Normal 2 6" xfId="1275"/>
    <cellStyle name="Normal 2 60" xfId="1276"/>
    <cellStyle name="Normal 2 61" xfId="1277"/>
    <cellStyle name="Normal 2 62" xfId="1278"/>
    <cellStyle name="Normal 2 63" xfId="1279"/>
    <cellStyle name="Normal 2 64" xfId="1280"/>
    <cellStyle name="Normal 2 65" xfId="1281"/>
    <cellStyle name="Normal 2 66" xfId="1282"/>
    <cellStyle name="Normal 2 67" xfId="1283"/>
    <cellStyle name="Normal 2 68" xfId="1284"/>
    <cellStyle name="Normal 2 69" xfId="1285"/>
    <cellStyle name="Normal 2 7" xfId="1286"/>
    <cellStyle name="Normal 2 70" xfId="1287"/>
    <cellStyle name="Normal 2 71" xfId="1288"/>
    <cellStyle name="Normal 2 72" xfId="1289"/>
    <cellStyle name="Normal 2 73" xfId="1290"/>
    <cellStyle name="Normal 2 74" xfId="1291"/>
    <cellStyle name="Normal 2 75" xfId="1292"/>
    <cellStyle name="Normal 2 76" xfId="1293"/>
    <cellStyle name="Normal 2 77" xfId="1294"/>
    <cellStyle name="Normal 2 78" xfId="1295"/>
    <cellStyle name="Normal 2 79" xfId="1296"/>
    <cellStyle name="Normal 2 8" xfId="1297"/>
    <cellStyle name="Normal 2 8 10" xfId="1298"/>
    <cellStyle name="Normal 2 8 11" xfId="1299"/>
    <cellStyle name="Normal 2 8 12" xfId="1300"/>
    <cellStyle name="Normal 2 8 13" xfId="1301"/>
    <cellStyle name="Normal 2 8 14" xfId="1302"/>
    <cellStyle name="Normal 2 8 15" xfId="1303"/>
    <cellStyle name="Normal 2 8 16" xfId="1304"/>
    <cellStyle name="Normal 2 8 17" xfId="1305"/>
    <cellStyle name="Normal 2 8 18" xfId="1306"/>
    <cellStyle name="Normal 2 8 19" xfId="1307"/>
    <cellStyle name="Normal 2 8 2" xfId="1308"/>
    <cellStyle name="Normal 2 8 20" xfId="1309"/>
    <cellStyle name="Normal 2 8 21" xfId="1310"/>
    <cellStyle name="Normal 2 8 22" xfId="1311"/>
    <cellStyle name="Normal 2 8 23" xfId="1312"/>
    <cellStyle name="Normal 2 8 3" xfId="1313"/>
    <cellStyle name="Normal 2 8 4" xfId="1314"/>
    <cellStyle name="Normal 2 8 5" xfId="1315"/>
    <cellStyle name="Normal 2 8 6" xfId="1316"/>
    <cellStyle name="Normal 2 8 7" xfId="1317"/>
    <cellStyle name="Normal 2 8 8" xfId="1318"/>
    <cellStyle name="Normal 2 8 9" xfId="1319"/>
    <cellStyle name="Normal 2 80" xfId="1320"/>
    <cellStyle name="Normal 2 81" xfId="1321"/>
    <cellStyle name="Normal 2 82" xfId="1322"/>
    <cellStyle name="Normal 2 83" xfId="1323"/>
    <cellStyle name="Normal 2 84" xfId="1324"/>
    <cellStyle name="Normal 2 85" xfId="1325"/>
    <cellStyle name="Normal 2 86" xfId="1326"/>
    <cellStyle name="Normal 2 87" xfId="1327"/>
    <cellStyle name="Normal 2 88" xfId="1328"/>
    <cellStyle name="Normal 2 89" xfId="1329"/>
    <cellStyle name="Normal 2 9" xfId="1330"/>
    <cellStyle name="Normal 2 9 10" xfId="1331"/>
    <cellStyle name="Normal 2 9 11" xfId="1332"/>
    <cellStyle name="Normal 2 9 12" xfId="1333"/>
    <cellStyle name="Normal 2 9 13" xfId="1334"/>
    <cellStyle name="Normal 2 9 14" xfId="1335"/>
    <cellStyle name="Normal 2 9 15" xfId="1336"/>
    <cellStyle name="Normal 2 9 16" xfId="1337"/>
    <cellStyle name="Normal 2 9 17" xfId="1338"/>
    <cellStyle name="Normal 2 9 18" xfId="1339"/>
    <cellStyle name="Normal 2 9 19" xfId="1340"/>
    <cellStyle name="Normal 2 9 2" xfId="1341"/>
    <cellStyle name="Normal 2 9 20" xfId="1342"/>
    <cellStyle name="Normal 2 9 21" xfId="1343"/>
    <cellStyle name="Normal 2 9 22" xfId="1344"/>
    <cellStyle name="Normal 2 9 23" xfId="1345"/>
    <cellStyle name="Normal 2 9 3" xfId="1346"/>
    <cellStyle name="Normal 2 9 4" xfId="1347"/>
    <cellStyle name="Normal 2 9 5" xfId="1348"/>
    <cellStyle name="Normal 2 9 6" xfId="1349"/>
    <cellStyle name="Normal 2 9 7" xfId="1350"/>
    <cellStyle name="Normal 2 9 8" xfId="1351"/>
    <cellStyle name="Normal 2 9 9" xfId="1352"/>
    <cellStyle name="Normal 2 90" xfId="1353"/>
    <cellStyle name="Normal 2 91" xfId="1354"/>
    <cellStyle name="Normal 2 92" xfId="1355"/>
    <cellStyle name="Normal 2 93" xfId="1356"/>
    <cellStyle name="Normal 2_DEER 032008 Cost Summary Delivery - Rev 4 (2)" xfId="1357"/>
    <cellStyle name="Normal 20" xfId="1358"/>
    <cellStyle name="Normal 24" xfId="1359"/>
    <cellStyle name="Normal 3" xfId="1360"/>
    <cellStyle name="Normal 3 10" xfId="1361"/>
    <cellStyle name="Normal 3 10 10" xfId="1362"/>
    <cellStyle name="Normal 3 10 11" xfId="1363"/>
    <cellStyle name="Normal 3 10 12" xfId="1364"/>
    <cellStyle name="Normal 3 10 13" xfId="1365"/>
    <cellStyle name="Normal 3 10 14" xfId="1366"/>
    <cellStyle name="Normal 3 10 15" xfId="1367"/>
    <cellStyle name="Normal 3 10 16" xfId="1368"/>
    <cellStyle name="Normal 3 10 17" xfId="1369"/>
    <cellStyle name="Normal 3 10 18" xfId="1370"/>
    <cellStyle name="Normal 3 10 19" xfId="1371"/>
    <cellStyle name="Normal 3 10 2" xfId="1372"/>
    <cellStyle name="Normal 3 10 20" xfId="1373"/>
    <cellStyle name="Normal 3 10 21" xfId="1374"/>
    <cellStyle name="Normal 3 10 22" xfId="1375"/>
    <cellStyle name="Normal 3 10 23" xfId="1376"/>
    <cellStyle name="Normal 3 10 3" xfId="1377"/>
    <cellStyle name="Normal 3 10 4" xfId="1378"/>
    <cellStyle name="Normal 3 10 5" xfId="1379"/>
    <cellStyle name="Normal 3 10 6" xfId="1380"/>
    <cellStyle name="Normal 3 10 7" xfId="1381"/>
    <cellStyle name="Normal 3 10 8" xfId="1382"/>
    <cellStyle name="Normal 3 10 9" xfId="1383"/>
    <cellStyle name="Normal 3 11" xfId="1384"/>
    <cellStyle name="Normal 3 11 10" xfId="1385"/>
    <cellStyle name="Normal 3 11 11" xfId="1386"/>
    <cellStyle name="Normal 3 11 12" xfId="1387"/>
    <cellStyle name="Normal 3 11 13" xfId="1388"/>
    <cellStyle name="Normal 3 11 14" xfId="1389"/>
    <cellStyle name="Normal 3 11 15" xfId="1390"/>
    <cellStyle name="Normal 3 11 16" xfId="1391"/>
    <cellStyle name="Normal 3 11 17" xfId="1392"/>
    <cellStyle name="Normal 3 11 18" xfId="1393"/>
    <cellStyle name="Normal 3 11 19" xfId="1394"/>
    <cellStyle name="Normal 3 11 2" xfId="1395"/>
    <cellStyle name="Normal 3 11 20" xfId="1396"/>
    <cellStyle name="Normal 3 11 21" xfId="1397"/>
    <cellStyle name="Normal 3 11 22" xfId="1398"/>
    <cellStyle name="Normal 3 11 23" xfId="1399"/>
    <cellStyle name="Normal 3 11 3" xfId="1400"/>
    <cellStyle name="Normal 3 11 4" xfId="1401"/>
    <cellStyle name="Normal 3 11 5" xfId="1402"/>
    <cellStyle name="Normal 3 11 6" xfId="1403"/>
    <cellStyle name="Normal 3 11 7" xfId="1404"/>
    <cellStyle name="Normal 3 11 8" xfId="1405"/>
    <cellStyle name="Normal 3 11 9" xfId="1406"/>
    <cellStyle name="Normal 3 12" xfId="1407"/>
    <cellStyle name="Normal 3 12 10" xfId="1408"/>
    <cellStyle name="Normal 3 12 11" xfId="1409"/>
    <cellStyle name="Normal 3 12 12" xfId="1410"/>
    <cellStyle name="Normal 3 12 13" xfId="1411"/>
    <cellStyle name="Normal 3 12 14" xfId="1412"/>
    <cellStyle name="Normal 3 12 15" xfId="1413"/>
    <cellStyle name="Normal 3 12 16" xfId="1414"/>
    <cellStyle name="Normal 3 12 17" xfId="1415"/>
    <cellStyle name="Normal 3 12 18" xfId="1416"/>
    <cellStyle name="Normal 3 12 19" xfId="1417"/>
    <cellStyle name="Normal 3 12 2" xfId="1418"/>
    <cellStyle name="Normal 3 12 20" xfId="1419"/>
    <cellStyle name="Normal 3 12 21" xfId="1420"/>
    <cellStyle name="Normal 3 12 22" xfId="1421"/>
    <cellStyle name="Normal 3 12 23" xfId="1422"/>
    <cellStyle name="Normal 3 12 3" xfId="1423"/>
    <cellStyle name="Normal 3 12 4" xfId="1424"/>
    <cellStyle name="Normal 3 12 5" xfId="1425"/>
    <cellStyle name="Normal 3 12 6" xfId="1426"/>
    <cellStyle name="Normal 3 12 7" xfId="1427"/>
    <cellStyle name="Normal 3 12 8" xfId="1428"/>
    <cellStyle name="Normal 3 12 9" xfId="1429"/>
    <cellStyle name="Normal 3 13" xfId="1430"/>
    <cellStyle name="Normal 3 13 10" xfId="1431"/>
    <cellStyle name="Normal 3 13 11" xfId="1432"/>
    <cellStyle name="Normal 3 13 12" xfId="1433"/>
    <cellStyle name="Normal 3 13 13" xfId="1434"/>
    <cellStyle name="Normal 3 13 14" xfId="1435"/>
    <cellStyle name="Normal 3 13 15" xfId="1436"/>
    <cellStyle name="Normal 3 13 16" xfId="1437"/>
    <cellStyle name="Normal 3 13 17" xfId="1438"/>
    <cellStyle name="Normal 3 13 18" xfId="1439"/>
    <cellStyle name="Normal 3 13 19" xfId="1440"/>
    <cellStyle name="Normal 3 13 2" xfId="1441"/>
    <cellStyle name="Normal 3 13 20" xfId="1442"/>
    <cellStyle name="Normal 3 13 21" xfId="1443"/>
    <cellStyle name="Normal 3 13 22" xfId="1444"/>
    <cellStyle name="Normal 3 13 23" xfId="1445"/>
    <cellStyle name="Normal 3 13 3" xfId="1446"/>
    <cellStyle name="Normal 3 13 4" xfId="1447"/>
    <cellStyle name="Normal 3 13 5" xfId="1448"/>
    <cellStyle name="Normal 3 13 6" xfId="1449"/>
    <cellStyle name="Normal 3 13 7" xfId="1450"/>
    <cellStyle name="Normal 3 13 8" xfId="1451"/>
    <cellStyle name="Normal 3 13 9" xfId="1452"/>
    <cellStyle name="Normal 3 14" xfId="1453"/>
    <cellStyle name="Normal 3 14 10" xfId="1454"/>
    <cellStyle name="Normal 3 14 11" xfId="1455"/>
    <cellStyle name="Normal 3 14 12" xfId="1456"/>
    <cellStyle name="Normal 3 14 13" xfId="1457"/>
    <cellStyle name="Normal 3 14 14" xfId="1458"/>
    <cellStyle name="Normal 3 14 15" xfId="1459"/>
    <cellStyle name="Normal 3 14 16" xfId="1460"/>
    <cellStyle name="Normal 3 14 17" xfId="1461"/>
    <cellStyle name="Normal 3 14 18" xfId="1462"/>
    <cellStyle name="Normal 3 14 19" xfId="1463"/>
    <cellStyle name="Normal 3 14 2" xfId="1464"/>
    <cellStyle name="Normal 3 14 20" xfId="1465"/>
    <cellStyle name="Normal 3 14 21" xfId="1466"/>
    <cellStyle name="Normal 3 14 22" xfId="1467"/>
    <cellStyle name="Normal 3 14 23" xfId="1468"/>
    <cellStyle name="Normal 3 14 3" xfId="1469"/>
    <cellStyle name="Normal 3 14 4" xfId="1470"/>
    <cellStyle name="Normal 3 14 5" xfId="1471"/>
    <cellStyle name="Normal 3 14 6" xfId="1472"/>
    <cellStyle name="Normal 3 14 7" xfId="1473"/>
    <cellStyle name="Normal 3 14 8" xfId="1474"/>
    <cellStyle name="Normal 3 14 9" xfId="1475"/>
    <cellStyle name="Normal 3 15" xfId="1476"/>
    <cellStyle name="Normal 3 15 10" xfId="1477"/>
    <cellStyle name="Normal 3 15 11" xfId="1478"/>
    <cellStyle name="Normal 3 15 12" xfId="1479"/>
    <cellStyle name="Normal 3 15 13" xfId="1480"/>
    <cellStyle name="Normal 3 15 14" xfId="1481"/>
    <cellStyle name="Normal 3 15 15" xfId="1482"/>
    <cellStyle name="Normal 3 15 16" xfId="1483"/>
    <cellStyle name="Normal 3 15 17" xfId="1484"/>
    <cellStyle name="Normal 3 15 18" xfId="1485"/>
    <cellStyle name="Normal 3 15 19" xfId="1486"/>
    <cellStyle name="Normal 3 15 2" xfId="1487"/>
    <cellStyle name="Normal 3 15 20" xfId="1488"/>
    <cellStyle name="Normal 3 15 21" xfId="1489"/>
    <cellStyle name="Normal 3 15 22" xfId="1490"/>
    <cellStyle name="Normal 3 15 23" xfId="1491"/>
    <cellStyle name="Normal 3 15 3" xfId="1492"/>
    <cellStyle name="Normal 3 15 4" xfId="1493"/>
    <cellStyle name="Normal 3 15 5" xfId="1494"/>
    <cellStyle name="Normal 3 15 6" xfId="1495"/>
    <cellStyle name="Normal 3 15 7" xfId="1496"/>
    <cellStyle name="Normal 3 15 8" xfId="1497"/>
    <cellStyle name="Normal 3 15 9" xfId="1498"/>
    <cellStyle name="Normal 3 16" xfId="1499"/>
    <cellStyle name="Normal 3 16 10" xfId="1500"/>
    <cellStyle name="Normal 3 16 11" xfId="1501"/>
    <cellStyle name="Normal 3 16 12" xfId="1502"/>
    <cellStyle name="Normal 3 16 13" xfId="1503"/>
    <cellStyle name="Normal 3 16 14" xfId="1504"/>
    <cellStyle name="Normal 3 16 15" xfId="1505"/>
    <cellStyle name="Normal 3 16 16" xfId="1506"/>
    <cellStyle name="Normal 3 16 17" xfId="1507"/>
    <cellStyle name="Normal 3 16 18" xfId="1508"/>
    <cellStyle name="Normal 3 16 19" xfId="1509"/>
    <cellStyle name="Normal 3 16 2" xfId="1510"/>
    <cellStyle name="Normal 3 16 20" xfId="1511"/>
    <cellStyle name="Normal 3 16 21" xfId="1512"/>
    <cellStyle name="Normal 3 16 22" xfId="1513"/>
    <cellStyle name="Normal 3 16 23" xfId="1514"/>
    <cellStyle name="Normal 3 16 3" xfId="1515"/>
    <cellStyle name="Normal 3 16 4" xfId="1516"/>
    <cellStyle name="Normal 3 16 5" xfId="1517"/>
    <cellStyle name="Normal 3 16 6" xfId="1518"/>
    <cellStyle name="Normal 3 16 7" xfId="1519"/>
    <cellStyle name="Normal 3 16 8" xfId="1520"/>
    <cellStyle name="Normal 3 16 9" xfId="1521"/>
    <cellStyle name="Normal 3 17" xfId="1522"/>
    <cellStyle name="Normal 3 17 10" xfId="1523"/>
    <cellStyle name="Normal 3 17 11" xfId="1524"/>
    <cellStyle name="Normal 3 17 12" xfId="1525"/>
    <cellStyle name="Normal 3 17 13" xfId="1526"/>
    <cellStyle name="Normal 3 17 14" xfId="1527"/>
    <cellStyle name="Normal 3 17 15" xfId="1528"/>
    <cellStyle name="Normal 3 17 16" xfId="1529"/>
    <cellStyle name="Normal 3 17 17" xfId="1530"/>
    <cellStyle name="Normal 3 17 18" xfId="1531"/>
    <cellStyle name="Normal 3 17 19" xfId="1532"/>
    <cellStyle name="Normal 3 17 2" xfId="1533"/>
    <cellStyle name="Normal 3 17 20" xfId="1534"/>
    <cellStyle name="Normal 3 17 21" xfId="1535"/>
    <cellStyle name="Normal 3 17 22" xfId="1536"/>
    <cellStyle name="Normal 3 17 23" xfId="1537"/>
    <cellStyle name="Normal 3 17 3" xfId="1538"/>
    <cellStyle name="Normal 3 17 4" xfId="1539"/>
    <cellStyle name="Normal 3 17 5" xfId="1540"/>
    <cellStyle name="Normal 3 17 6" xfId="1541"/>
    <cellStyle name="Normal 3 17 7" xfId="1542"/>
    <cellStyle name="Normal 3 17 8" xfId="1543"/>
    <cellStyle name="Normal 3 17 9" xfId="1544"/>
    <cellStyle name="Normal 3 18" xfId="1545"/>
    <cellStyle name="Normal 3 18 10" xfId="1546"/>
    <cellStyle name="Normal 3 18 11" xfId="1547"/>
    <cellStyle name="Normal 3 18 12" xfId="1548"/>
    <cellStyle name="Normal 3 18 13" xfId="1549"/>
    <cellStyle name="Normal 3 18 14" xfId="1550"/>
    <cellStyle name="Normal 3 18 15" xfId="1551"/>
    <cellStyle name="Normal 3 18 16" xfId="1552"/>
    <cellStyle name="Normal 3 18 17" xfId="1553"/>
    <cellStyle name="Normal 3 18 18" xfId="1554"/>
    <cellStyle name="Normal 3 18 19" xfId="1555"/>
    <cellStyle name="Normal 3 18 2" xfId="1556"/>
    <cellStyle name="Normal 3 18 20" xfId="1557"/>
    <cellStyle name="Normal 3 18 21" xfId="1558"/>
    <cellStyle name="Normal 3 18 22" xfId="1559"/>
    <cellStyle name="Normal 3 18 23" xfId="1560"/>
    <cellStyle name="Normal 3 18 3" xfId="1561"/>
    <cellStyle name="Normal 3 18 4" xfId="1562"/>
    <cellStyle name="Normal 3 18 5" xfId="1563"/>
    <cellStyle name="Normal 3 18 6" xfId="1564"/>
    <cellStyle name="Normal 3 18 7" xfId="1565"/>
    <cellStyle name="Normal 3 18 8" xfId="1566"/>
    <cellStyle name="Normal 3 18 9" xfId="1567"/>
    <cellStyle name="Normal 3 19" xfId="1568"/>
    <cellStyle name="Normal 3 19 10" xfId="1569"/>
    <cellStyle name="Normal 3 19 11" xfId="1570"/>
    <cellStyle name="Normal 3 19 12" xfId="1571"/>
    <cellStyle name="Normal 3 19 13" xfId="1572"/>
    <cellStyle name="Normal 3 19 14" xfId="1573"/>
    <cellStyle name="Normal 3 19 15" xfId="1574"/>
    <cellStyle name="Normal 3 19 16" xfId="1575"/>
    <cellStyle name="Normal 3 19 17" xfId="1576"/>
    <cellStyle name="Normal 3 19 18" xfId="1577"/>
    <cellStyle name="Normal 3 19 19" xfId="1578"/>
    <cellStyle name="Normal 3 19 2" xfId="1579"/>
    <cellStyle name="Normal 3 19 20" xfId="1580"/>
    <cellStyle name="Normal 3 19 21" xfId="1581"/>
    <cellStyle name="Normal 3 19 22" xfId="1582"/>
    <cellStyle name="Normal 3 19 23" xfId="1583"/>
    <cellStyle name="Normal 3 19 3" xfId="1584"/>
    <cellStyle name="Normal 3 19 4" xfId="1585"/>
    <cellStyle name="Normal 3 19 5" xfId="1586"/>
    <cellStyle name="Normal 3 19 6" xfId="1587"/>
    <cellStyle name="Normal 3 19 7" xfId="1588"/>
    <cellStyle name="Normal 3 19 8" xfId="1589"/>
    <cellStyle name="Normal 3 19 9" xfId="1590"/>
    <cellStyle name="Normal 3 2" xfId="1591"/>
    <cellStyle name="Normal 3 2 10" xfId="1592"/>
    <cellStyle name="Normal 3 2 11" xfId="1593"/>
    <cellStyle name="Normal 3 2 12" xfId="1594"/>
    <cellStyle name="Normal 3 2 13" xfId="1595"/>
    <cellStyle name="Normal 3 2 14" xfId="1596"/>
    <cellStyle name="Normal 3 2 15" xfId="1597"/>
    <cellStyle name="Normal 3 2 16" xfId="1598"/>
    <cellStyle name="Normal 3 2 17" xfId="1599"/>
    <cellStyle name="Normal 3 2 18" xfId="1600"/>
    <cellStyle name="Normal 3 2 19" xfId="1601"/>
    <cellStyle name="Normal 3 2 2" xfId="1602"/>
    <cellStyle name="Normal 3 2 2 10" xfId="1603"/>
    <cellStyle name="Normal 3 2 2 11" xfId="1604"/>
    <cellStyle name="Normal 3 2 2 12" xfId="1605"/>
    <cellStyle name="Normal 3 2 2 13" xfId="1606"/>
    <cellStyle name="Normal 3 2 2 14" xfId="1607"/>
    <cellStyle name="Normal 3 2 2 15" xfId="1608"/>
    <cellStyle name="Normal 3 2 2 16" xfId="1609"/>
    <cellStyle name="Normal 3 2 2 17" xfId="1610"/>
    <cellStyle name="Normal 3 2 2 18" xfId="1611"/>
    <cellStyle name="Normal 3 2 2 19" xfId="1612"/>
    <cellStyle name="Normal 3 2 2 2" xfId="1613"/>
    <cellStyle name="Normal 3 2 2 20" xfId="1614"/>
    <cellStyle name="Normal 3 2 2 21" xfId="1615"/>
    <cellStyle name="Normal 3 2 2 22" xfId="1616"/>
    <cellStyle name="Normal 3 2 2 23" xfId="1617"/>
    <cellStyle name="Normal 3 2 2 24" xfId="1618"/>
    <cellStyle name="Normal 3 2 2 25" xfId="1619"/>
    <cellStyle name="Normal 3 2 2 26" xfId="1620"/>
    <cellStyle name="Normal 3 2 2 27" xfId="1621"/>
    <cellStyle name="Normal 3 2 2 28" xfId="1622"/>
    <cellStyle name="Normal 3 2 2 29" xfId="1623"/>
    <cellStyle name="Normal 3 2 2 3" xfId="1624"/>
    <cellStyle name="Normal 3 2 2 30" xfId="1625"/>
    <cellStyle name="Normal 3 2 2 31" xfId="1626"/>
    <cellStyle name="Normal 3 2 2 32" xfId="1627"/>
    <cellStyle name="Normal 3 2 2 33" xfId="1628"/>
    <cellStyle name="Normal 3 2 2 4" xfId="1629"/>
    <cellStyle name="Normal 3 2 2 5" xfId="1630"/>
    <cellStyle name="Normal 3 2 2 6" xfId="1631"/>
    <cellStyle name="Normal 3 2 2 7" xfId="1632"/>
    <cellStyle name="Normal 3 2 2 8" xfId="1633"/>
    <cellStyle name="Normal 3 2 2 9" xfId="1634"/>
    <cellStyle name="Normal 3 2 20" xfId="1635"/>
    <cellStyle name="Normal 3 2 21" xfId="1636"/>
    <cellStyle name="Normal 3 2 22" xfId="1637"/>
    <cellStyle name="Normal 3 2 23" xfId="1638"/>
    <cellStyle name="Normal 3 2 24" xfId="1639"/>
    <cellStyle name="Normal 3 2 25" xfId="1640"/>
    <cellStyle name="Normal 3 2 26" xfId="1641"/>
    <cellStyle name="Normal 3 2 27" xfId="1642"/>
    <cellStyle name="Normal 3 2 28" xfId="1643"/>
    <cellStyle name="Normal 3 2 29" xfId="1644"/>
    <cellStyle name="Normal 3 2 3" xfId="1645"/>
    <cellStyle name="Normal 3 2 30" xfId="1646"/>
    <cellStyle name="Normal 3 2 31" xfId="1647"/>
    <cellStyle name="Normal 3 2 32" xfId="1648"/>
    <cellStyle name="Normal 3 2 33" xfId="1649"/>
    <cellStyle name="Normal 3 2 34" xfId="1650"/>
    <cellStyle name="Normal 3 2 35" xfId="1651"/>
    <cellStyle name="Normal 3 2 36" xfId="1652"/>
    <cellStyle name="Normal 3 2 37" xfId="1653"/>
    <cellStyle name="Normal 3 2 38" xfId="1654"/>
    <cellStyle name="Normal 3 2 39" xfId="1655"/>
    <cellStyle name="Normal 3 2 4" xfId="1656"/>
    <cellStyle name="Normal 3 2 40" xfId="1657"/>
    <cellStyle name="Normal 3 2 41" xfId="1658"/>
    <cellStyle name="Normal 3 2 42" xfId="1659"/>
    <cellStyle name="Normal 3 2 43" xfId="1660"/>
    <cellStyle name="Normal 3 2 44" xfId="1661"/>
    <cellStyle name="Normal 3 2 45" xfId="1662"/>
    <cellStyle name="Normal 3 2 46" xfId="1663"/>
    <cellStyle name="Normal 3 2 47" xfId="1664"/>
    <cellStyle name="Normal 3 2 48" xfId="1665"/>
    <cellStyle name="Normal 3 2 49" xfId="1666"/>
    <cellStyle name="Normal 3 2 5" xfId="1667"/>
    <cellStyle name="Normal 3 2 50" xfId="1668"/>
    <cellStyle name="Normal 3 2 51" xfId="1669"/>
    <cellStyle name="Normal 3 2 52" xfId="1670"/>
    <cellStyle name="Normal 3 2 53" xfId="1671"/>
    <cellStyle name="Normal 3 2 54" xfId="1672"/>
    <cellStyle name="Normal 3 2 55" xfId="1673"/>
    <cellStyle name="Normal 3 2 56" xfId="1674"/>
    <cellStyle name="Normal 3 2 6" xfId="1675"/>
    <cellStyle name="Normal 3 2 7" xfId="1676"/>
    <cellStyle name="Normal 3 2 8" xfId="1677"/>
    <cellStyle name="Normal 3 2 9" xfId="1678"/>
    <cellStyle name="Normal 3 20" xfId="1679"/>
    <cellStyle name="Normal 3 20 10" xfId="1680"/>
    <cellStyle name="Normal 3 20 11" xfId="1681"/>
    <cellStyle name="Normal 3 20 12" xfId="1682"/>
    <cellStyle name="Normal 3 20 13" xfId="1683"/>
    <cellStyle name="Normal 3 20 14" xfId="1684"/>
    <cellStyle name="Normal 3 20 15" xfId="1685"/>
    <cellStyle name="Normal 3 20 16" xfId="1686"/>
    <cellStyle name="Normal 3 20 17" xfId="1687"/>
    <cellStyle name="Normal 3 20 18" xfId="1688"/>
    <cellStyle name="Normal 3 20 19" xfId="1689"/>
    <cellStyle name="Normal 3 20 2" xfId="1690"/>
    <cellStyle name="Normal 3 20 20" xfId="1691"/>
    <cellStyle name="Normal 3 20 21" xfId="1692"/>
    <cellStyle name="Normal 3 20 22" xfId="1693"/>
    <cellStyle name="Normal 3 20 23" xfId="1694"/>
    <cellStyle name="Normal 3 20 3" xfId="1695"/>
    <cellStyle name="Normal 3 20 4" xfId="1696"/>
    <cellStyle name="Normal 3 20 5" xfId="1697"/>
    <cellStyle name="Normal 3 20 6" xfId="1698"/>
    <cellStyle name="Normal 3 20 7" xfId="1699"/>
    <cellStyle name="Normal 3 20 8" xfId="1700"/>
    <cellStyle name="Normal 3 20 9" xfId="1701"/>
    <cellStyle name="Normal 3 21" xfId="1702"/>
    <cellStyle name="Normal 3 21 10" xfId="1703"/>
    <cellStyle name="Normal 3 21 11" xfId="1704"/>
    <cellStyle name="Normal 3 21 12" xfId="1705"/>
    <cellStyle name="Normal 3 21 13" xfId="1706"/>
    <cellStyle name="Normal 3 21 14" xfId="1707"/>
    <cellStyle name="Normal 3 21 15" xfId="1708"/>
    <cellStyle name="Normal 3 21 16" xfId="1709"/>
    <cellStyle name="Normal 3 21 17" xfId="1710"/>
    <cellStyle name="Normal 3 21 18" xfId="1711"/>
    <cellStyle name="Normal 3 21 19" xfId="1712"/>
    <cellStyle name="Normal 3 21 2" xfId="1713"/>
    <cellStyle name="Normal 3 21 20" xfId="1714"/>
    <cellStyle name="Normal 3 21 21" xfId="1715"/>
    <cellStyle name="Normal 3 21 22" xfId="1716"/>
    <cellStyle name="Normal 3 21 23" xfId="1717"/>
    <cellStyle name="Normal 3 21 3" xfId="1718"/>
    <cellStyle name="Normal 3 21 4" xfId="1719"/>
    <cellStyle name="Normal 3 21 5" xfId="1720"/>
    <cellStyle name="Normal 3 21 6" xfId="1721"/>
    <cellStyle name="Normal 3 21 7" xfId="1722"/>
    <cellStyle name="Normal 3 21 8" xfId="1723"/>
    <cellStyle name="Normal 3 21 9" xfId="1724"/>
    <cellStyle name="Normal 3 22" xfId="1725"/>
    <cellStyle name="Normal 3 22 10" xfId="1726"/>
    <cellStyle name="Normal 3 22 11" xfId="1727"/>
    <cellStyle name="Normal 3 22 12" xfId="1728"/>
    <cellStyle name="Normal 3 22 13" xfId="1729"/>
    <cellStyle name="Normal 3 22 14" xfId="1730"/>
    <cellStyle name="Normal 3 22 15" xfId="1731"/>
    <cellStyle name="Normal 3 22 16" xfId="1732"/>
    <cellStyle name="Normal 3 22 17" xfId="1733"/>
    <cellStyle name="Normal 3 22 18" xfId="1734"/>
    <cellStyle name="Normal 3 22 19" xfId="1735"/>
    <cellStyle name="Normal 3 22 2" xfId="1736"/>
    <cellStyle name="Normal 3 22 20" xfId="1737"/>
    <cellStyle name="Normal 3 22 21" xfId="1738"/>
    <cellStyle name="Normal 3 22 22" xfId="1739"/>
    <cellStyle name="Normal 3 22 23" xfId="1740"/>
    <cellStyle name="Normal 3 22 3" xfId="1741"/>
    <cellStyle name="Normal 3 22 4" xfId="1742"/>
    <cellStyle name="Normal 3 22 5" xfId="1743"/>
    <cellStyle name="Normal 3 22 6" xfId="1744"/>
    <cellStyle name="Normal 3 22 7" xfId="1745"/>
    <cellStyle name="Normal 3 22 8" xfId="1746"/>
    <cellStyle name="Normal 3 22 9" xfId="1747"/>
    <cellStyle name="Normal 3 23" xfId="1748"/>
    <cellStyle name="Normal 3 23 10" xfId="1749"/>
    <cellStyle name="Normal 3 23 11" xfId="1750"/>
    <cellStyle name="Normal 3 23 12" xfId="1751"/>
    <cellStyle name="Normal 3 23 13" xfId="1752"/>
    <cellStyle name="Normal 3 23 14" xfId="1753"/>
    <cellStyle name="Normal 3 23 15" xfId="1754"/>
    <cellStyle name="Normal 3 23 16" xfId="1755"/>
    <cellStyle name="Normal 3 23 17" xfId="1756"/>
    <cellStyle name="Normal 3 23 18" xfId="1757"/>
    <cellStyle name="Normal 3 23 19" xfId="1758"/>
    <cellStyle name="Normal 3 23 2" xfId="1759"/>
    <cellStyle name="Normal 3 23 20" xfId="1760"/>
    <cellStyle name="Normal 3 23 21" xfId="1761"/>
    <cellStyle name="Normal 3 23 22" xfId="1762"/>
    <cellStyle name="Normal 3 23 23" xfId="1763"/>
    <cellStyle name="Normal 3 23 3" xfId="1764"/>
    <cellStyle name="Normal 3 23 4" xfId="1765"/>
    <cellStyle name="Normal 3 23 5" xfId="1766"/>
    <cellStyle name="Normal 3 23 6" xfId="1767"/>
    <cellStyle name="Normal 3 23 7" xfId="1768"/>
    <cellStyle name="Normal 3 23 8" xfId="1769"/>
    <cellStyle name="Normal 3 23 9" xfId="1770"/>
    <cellStyle name="Normal 3 24" xfId="1771"/>
    <cellStyle name="Normal 3 24 10" xfId="1772"/>
    <cellStyle name="Normal 3 24 11" xfId="1773"/>
    <cellStyle name="Normal 3 24 12" xfId="1774"/>
    <cellStyle name="Normal 3 24 13" xfId="1775"/>
    <cellStyle name="Normal 3 24 14" xfId="1776"/>
    <cellStyle name="Normal 3 24 15" xfId="1777"/>
    <cellStyle name="Normal 3 24 16" xfId="1778"/>
    <cellStyle name="Normal 3 24 17" xfId="1779"/>
    <cellStyle name="Normal 3 24 18" xfId="1780"/>
    <cellStyle name="Normal 3 24 19" xfId="1781"/>
    <cellStyle name="Normal 3 24 2" xfId="1782"/>
    <cellStyle name="Normal 3 24 20" xfId="1783"/>
    <cellStyle name="Normal 3 24 21" xfId="1784"/>
    <cellStyle name="Normal 3 24 22" xfId="1785"/>
    <cellStyle name="Normal 3 24 23" xfId="1786"/>
    <cellStyle name="Normal 3 24 3" xfId="1787"/>
    <cellStyle name="Normal 3 24 4" xfId="1788"/>
    <cellStyle name="Normal 3 24 5" xfId="1789"/>
    <cellStyle name="Normal 3 24 6" xfId="1790"/>
    <cellStyle name="Normal 3 24 7" xfId="1791"/>
    <cellStyle name="Normal 3 24 8" xfId="1792"/>
    <cellStyle name="Normal 3 24 9" xfId="1793"/>
    <cellStyle name="Normal 3 25" xfId="1794"/>
    <cellStyle name="Normal 3 25 10" xfId="1795"/>
    <cellStyle name="Normal 3 25 11" xfId="1796"/>
    <cellStyle name="Normal 3 25 12" xfId="1797"/>
    <cellStyle name="Normal 3 25 13" xfId="1798"/>
    <cellStyle name="Normal 3 25 14" xfId="1799"/>
    <cellStyle name="Normal 3 25 15" xfId="1800"/>
    <cellStyle name="Normal 3 25 16" xfId="1801"/>
    <cellStyle name="Normal 3 25 17" xfId="1802"/>
    <cellStyle name="Normal 3 25 18" xfId="1803"/>
    <cellStyle name="Normal 3 25 19" xfId="1804"/>
    <cellStyle name="Normal 3 25 2" xfId="1805"/>
    <cellStyle name="Normal 3 25 20" xfId="1806"/>
    <cellStyle name="Normal 3 25 21" xfId="1807"/>
    <cellStyle name="Normal 3 25 22" xfId="1808"/>
    <cellStyle name="Normal 3 25 23" xfId="1809"/>
    <cellStyle name="Normal 3 25 3" xfId="1810"/>
    <cellStyle name="Normal 3 25 4" xfId="1811"/>
    <cellStyle name="Normal 3 25 5" xfId="1812"/>
    <cellStyle name="Normal 3 25 6" xfId="1813"/>
    <cellStyle name="Normal 3 25 7" xfId="1814"/>
    <cellStyle name="Normal 3 25 8" xfId="1815"/>
    <cellStyle name="Normal 3 25 9" xfId="1816"/>
    <cellStyle name="Normal 3 26" xfId="1817"/>
    <cellStyle name="Normal 3 26 10" xfId="1818"/>
    <cellStyle name="Normal 3 26 11" xfId="1819"/>
    <cellStyle name="Normal 3 26 12" xfId="1820"/>
    <cellStyle name="Normal 3 26 13" xfId="1821"/>
    <cellStyle name="Normal 3 26 14" xfId="1822"/>
    <cellStyle name="Normal 3 26 15" xfId="1823"/>
    <cellStyle name="Normal 3 26 16" xfId="1824"/>
    <cellStyle name="Normal 3 26 17" xfId="1825"/>
    <cellStyle name="Normal 3 26 18" xfId="1826"/>
    <cellStyle name="Normal 3 26 19" xfId="1827"/>
    <cellStyle name="Normal 3 26 2" xfId="1828"/>
    <cellStyle name="Normal 3 26 20" xfId="1829"/>
    <cellStyle name="Normal 3 26 21" xfId="1830"/>
    <cellStyle name="Normal 3 26 22" xfId="1831"/>
    <cellStyle name="Normal 3 26 23" xfId="1832"/>
    <cellStyle name="Normal 3 26 3" xfId="1833"/>
    <cellStyle name="Normal 3 26 4" xfId="1834"/>
    <cellStyle name="Normal 3 26 5" xfId="1835"/>
    <cellStyle name="Normal 3 26 6" xfId="1836"/>
    <cellStyle name="Normal 3 26 7" xfId="1837"/>
    <cellStyle name="Normal 3 26 8" xfId="1838"/>
    <cellStyle name="Normal 3 26 9" xfId="1839"/>
    <cellStyle name="Normal 3 27" xfId="1840"/>
    <cellStyle name="Normal 3 27 10" xfId="1841"/>
    <cellStyle name="Normal 3 27 11" xfId="1842"/>
    <cellStyle name="Normal 3 27 12" xfId="1843"/>
    <cellStyle name="Normal 3 27 13" xfId="1844"/>
    <cellStyle name="Normal 3 27 14" xfId="1845"/>
    <cellStyle name="Normal 3 27 15" xfId="1846"/>
    <cellStyle name="Normal 3 27 16" xfId="1847"/>
    <cellStyle name="Normal 3 27 17" xfId="1848"/>
    <cellStyle name="Normal 3 27 18" xfId="1849"/>
    <cellStyle name="Normal 3 27 19" xfId="1850"/>
    <cellStyle name="Normal 3 27 2" xfId="1851"/>
    <cellStyle name="Normal 3 27 20" xfId="1852"/>
    <cellStyle name="Normal 3 27 21" xfId="1853"/>
    <cellStyle name="Normal 3 27 22" xfId="1854"/>
    <cellStyle name="Normal 3 27 23" xfId="1855"/>
    <cellStyle name="Normal 3 27 3" xfId="1856"/>
    <cellStyle name="Normal 3 27 4" xfId="1857"/>
    <cellStyle name="Normal 3 27 5" xfId="1858"/>
    <cellStyle name="Normal 3 27 6" xfId="1859"/>
    <cellStyle name="Normal 3 27 7" xfId="1860"/>
    <cellStyle name="Normal 3 27 8" xfId="1861"/>
    <cellStyle name="Normal 3 27 9" xfId="1862"/>
    <cellStyle name="Normal 3 28" xfId="1863"/>
    <cellStyle name="Normal 3 28 10" xfId="1864"/>
    <cellStyle name="Normal 3 28 11" xfId="1865"/>
    <cellStyle name="Normal 3 28 12" xfId="1866"/>
    <cellStyle name="Normal 3 28 13" xfId="1867"/>
    <cellStyle name="Normal 3 28 14" xfId="1868"/>
    <cellStyle name="Normal 3 28 15" xfId="1869"/>
    <cellStyle name="Normal 3 28 16" xfId="1870"/>
    <cellStyle name="Normal 3 28 17" xfId="1871"/>
    <cellStyle name="Normal 3 28 18" xfId="1872"/>
    <cellStyle name="Normal 3 28 19" xfId="1873"/>
    <cellStyle name="Normal 3 28 2" xfId="1874"/>
    <cellStyle name="Normal 3 28 20" xfId="1875"/>
    <cellStyle name="Normal 3 28 21" xfId="1876"/>
    <cellStyle name="Normal 3 28 22" xfId="1877"/>
    <cellStyle name="Normal 3 28 23" xfId="1878"/>
    <cellStyle name="Normal 3 28 3" xfId="1879"/>
    <cellStyle name="Normal 3 28 4" xfId="1880"/>
    <cellStyle name="Normal 3 28 5" xfId="1881"/>
    <cellStyle name="Normal 3 28 6" xfId="1882"/>
    <cellStyle name="Normal 3 28 7" xfId="1883"/>
    <cellStyle name="Normal 3 28 8" xfId="1884"/>
    <cellStyle name="Normal 3 28 9" xfId="1885"/>
    <cellStyle name="Normal 3 29" xfId="1886"/>
    <cellStyle name="Normal 3 29 10" xfId="1887"/>
    <cellStyle name="Normal 3 29 11" xfId="1888"/>
    <cellStyle name="Normal 3 29 12" xfId="1889"/>
    <cellStyle name="Normal 3 29 13" xfId="1890"/>
    <cellStyle name="Normal 3 29 14" xfId="1891"/>
    <cellStyle name="Normal 3 29 15" xfId="1892"/>
    <cellStyle name="Normal 3 29 16" xfId="1893"/>
    <cellStyle name="Normal 3 29 17" xfId="1894"/>
    <cellStyle name="Normal 3 29 18" xfId="1895"/>
    <cellStyle name="Normal 3 29 19" xfId="1896"/>
    <cellStyle name="Normal 3 29 2" xfId="1897"/>
    <cellStyle name="Normal 3 29 20" xfId="1898"/>
    <cellStyle name="Normal 3 29 21" xfId="1899"/>
    <cellStyle name="Normal 3 29 22" xfId="1900"/>
    <cellStyle name="Normal 3 29 23" xfId="1901"/>
    <cellStyle name="Normal 3 29 3" xfId="1902"/>
    <cellStyle name="Normal 3 29 4" xfId="1903"/>
    <cellStyle name="Normal 3 29 5" xfId="1904"/>
    <cellStyle name="Normal 3 29 6" xfId="1905"/>
    <cellStyle name="Normal 3 29 7" xfId="1906"/>
    <cellStyle name="Normal 3 29 8" xfId="1907"/>
    <cellStyle name="Normal 3 29 9" xfId="1908"/>
    <cellStyle name="Normal 3 3" xfId="1909"/>
    <cellStyle name="Normal 3 3 10" xfId="1910"/>
    <cellStyle name="Normal 3 3 11" xfId="1911"/>
    <cellStyle name="Normal 3 3 12" xfId="1912"/>
    <cellStyle name="Normal 3 3 13" xfId="1913"/>
    <cellStyle name="Normal 3 3 14" xfId="1914"/>
    <cellStyle name="Normal 3 3 15" xfId="1915"/>
    <cellStyle name="Normal 3 3 16" xfId="1916"/>
    <cellStyle name="Normal 3 3 17" xfId="1917"/>
    <cellStyle name="Normal 3 3 18" xfId="1918"/>
    <cellStyle name="Normal 3 3 19" xfId="1919"/>
    <cellStyle name="Normal 3 3 2" xfId="1920"/>
    <cellStyle name="Normal 3 3 20" xfId="1921"/>
    <cellStyle name="Normal 3 3 21" xfId="1922"/>
    <cellStyle name="Normal 3 3 22" xfId="1923"/>
    <cellStyle name="Normal 3 3 23" xfId="1924"/>
    <cellStyle name="Normal 3 3 3" xfId="1925"/>
    <cellStyle name="Normal 3 3 4" xfId="1926"/>
    <cellStyle name="Normal 3 3 5" xfId="1927"/>
    <cellStyle name="Normal 3 3 6" xfId="1928"/>
    <cellStyle name="Normal 3 3 7" xfId="1929"/>
    <cellStyle name="Normal 3 3 8" xfId="1930"/>
    <cellStyle name="Normal 3 3 9" xfId="1931"/>
    <cellStyle name="Normal 3 30" xfId="1932"/>
    <cellStyle name="Normal 3 30 10" xfId="1933"/>
    <cellStyle name="Normal 3 30 11" xfId="1934"/>
    <cellStyle name="Normal 3 30 12" xfId="1935"/>
    <cellStyle name="Normal 3 30 13" xfId="1936"/>
    <cellStyle name="Normal 3 30 14" xfId="1937"/>
    <cellStyle name="Normal 3 30 15" xfId="1938"/>
    <cellStyle name="Normal 3 30 16" xfId="1939"/>
    <cellStyle name="Normal 3 30 17" xfId="1940"/>
    <cellStyle name="Normal 3 30 18" xfId="1941"/>
    <cellStyle name="Normal 3 30 19" xfId="1942"/>
    <cellStyle name="Normal 3 30 2" xfId="1943"/>
    <cellStyle name="Normal 3 30 20" xfId="1944"/>
    <cellStyle name="Normal 3 30 21" xfId="1945"/>
    <cellStyle name="Normal 3 30 22" xfId="1946"/>
    <cellStyle name="Normal 3 30 23" xfId="1947"/>
    <cellStyle name="Normal 3 30 3" xfId="1948"/>
    <cellStyle name="Normal 3 30 4" xfId="1949"/>
    <cellStyle name="Normal 3 30 5" xfId="1950"/>
    <cellStyle name="Normal 3 30 6" xfId="1951"/>
    <cellStyle name="Normal 3 30 7" xfId="1952"/>
    <cellStyle name="Normal 3 30 8" xfId="1953"/>
    <cellStyle name="Normal 3 30 9" xfId="1954"/>
    <cellStyle name="Normal 3 31" xfId="1955"/>
    <cellStyle name="Normal 3 31 10" xfId="1956"/>
    <cellStyle name="Normal 3 31 11" xfId="1957"/>
    <cellStyle name="Normal 3 31 12" xfId="1958"/>
    <cellStyle name="Normal 3 31 13" xfId="1959"/>
    <cellStyle name="Normal 3 31 14" xfId="1960"/>
    <cellStyle name="Normal 3 31 15" xfId="1961"/>
    <cellStyle name="Normal 3 31 16" xfId="1962"/>
    <cellStyle name="Normal 3 31 17" xfId="1963"/>
    <cellStyle name="Normal 3 31 18" xfId="1964"/>
    <cellStyle name="Normal 3 31 19" xfId="1965"/>
    <cellStyle name="Normal 3 31 2" xfId="1966"/>
    <cellStyle name="Normal 3 31 20" xfId="1967"/>
    <cellStyle name="Normal 3 31 21" xfId="1968"/>
    <cellStyle name="Normal 3 31 22" xfId="1969"/>
    <cellStyle name="Normal 3 31 23" xfId="1970"/>
    <cellStyle name="Normal 3 31 3" xfId="1971"/>
    <cellStyle name="Normal 3 31 4" xfId="1972"/>
    <cellStyle name="Normal 3 31 5" xfId="1973"/>
    <cellStyle name="Normal 3 31 6" xfId="1974"/>
    <cellStyle name="Normal 3 31 7" xfId="1975"/>
    <cellStyle name="Normal 3 31 8" xfId="1976"/>
    <cellStyle name="Normal 3 31 9" xfId="1977"/>
    <cellStyle name="Normal 3 32" xfId="1978"/>
    <cellStyle name="Normal 3 32 10" xfId="1979"/>
    <cellStyle name="Normal 3 32 11" xfId="1980"/>
    <cellStyle name="Normal 3 32 12" xfId="1981"/>
    <cellStyle name="Normal 3 32 13" xfId="1982"/>
    <cellStyle name="Normal 3 32 14" xfId="1983"/>
    <cellStyle name="Normal 3 32 15" xfId="1984"/>
    <cellStyle name="Normal 3 32 16" xfId="1985"/>
    <cellStyle name="Normal 3 32 17" xfId="1986"/>
    <cellStyle name="Normal 3 32 18" xfId="1987"/>
    <cellStyle name="Normal 3 32 19" xfId="1988"/>
    <cellStyle name="Normal 3 32 2" xfId="1989"/>
    <cellStyle name="Normal 3 32 20" xfId="1990"/>
    <cellStyle name="Normal 3 32 21" xfId="1991"/>
    <cellStyle name="Normal 3 32 22" xfId="1992"/>
    <cellStyle name="Normal 3 32 23" xfId="1993"/>
    <cellStyle name="Normal 3 32 3" xfId="1994"/>
    <cellStyle name="Normal 3 32 4" xfId="1995"/>
    <cellStyle name="Normal 3 32 5" xfId="1996"/>
    <cellStyle name="Normal 3 32 6" xfId="1997"/>
    <cellStyle name="Normal 3 32 7" xfId="1998"/>
    <cellStyle name="Normal 3 32 8" xfId="1999"/>
    <cellStyle name="Normal 3 32 9" xfId="2000"/>
    <cellStyle name="Normal 3 33" xfId="2001"/>
    <cellStyle name="Normal 3 33 10" xfId="2002"/>
    <cellStyle name="Normal 3 33 11" xfId="2003"/>
    <cellStyle name="Normal 3 33 12" xfId="2004"/>
    <cellStyle name="Normal 3 33 13" xfId="2005"/>
    <cellStyle name="Normal 3 33 14" xfId="2006"/>
    <cellStyle name="Normal 3 33 15" xfId="2007"/>
    <cellStyle name="Normal 3 33 16" xfId="2008"/>
    <cellStyle name="Normal 3 33 17" xfId="2009"/>
    <cellStyle name="Normal 3 33 18" xfId="2010"/>
    <cellStyle name="Normal 3 33 19" xfId="2011"/>
    <cellStyle name="Normal 3 33 2" xfId="2012"/>
    <cellStyle name="Normal 3 33 20" xfId="2013"/>
    <cellStyle name="Normal 3 33 21" xfId="2014"/>
    <cellStyle name="Normal 3 33 22" xfId="2015"/>
    <cellStyle name="Normal 3 33 23" xfId="2016"/>
    <cellStyle name="Normal 3 33 3" xfId="2017"/>
    <cellStyle name="Normal 3 33 4" xfId="2018"/>
    <cellStyle name="Normal 3 33 5" xfId="2019"/>
    <cellStyle name="Normal 3 33 6" xfId="2020"/>
    <cellStyle name="Normal 3 33 7" xfId="2021"/>
    <cellStyle name="Normal 3 33 8" xfId="2022"/>
    <cellStyle name="Normal 3 33 9" xfId="2023"/>
    <cellStyle name="Normal 3 34" xfId="2024"/>
    <cellStyle name="Normal 3 35" xfId="2025"/>
    <cellStyle name="Normal 3 36" xfId="2026"/>
    <cellStyle name="Normal 3 37" xfId="2027"/>
    <cellStyle name="Normal 3 38" xfId="2028"/>
    <cellStyle name="Normal 3 39" xfId="2029"/>
    <cellStyle name="Normal 3 4" xfId="2030"/>
    <cellStyle name="Normal 3 4 10" xfId="2031"/>
    <cellStyle name="Normal 3 4 11" xfId="2032"/>
    <cellStyle name="Normal 3 4 12" xfId="2033"/>
    <cellStyle name="Normal 3 4 13" xfId="2034"/>
    <cellStyle name="Normal 3 4 14" xfId="2035"/>
    <cellStyle name="Normal 3 4 15" xfId="2036"/>
    <cellStyle name="Normal 3 4 16" xfId="2037"/>
    <cellStyle name="Normal 3 4 17" xfId="2038"/>
    <cellStyle name="Normal 3 4 18" xfId="2039"/>
    <cellStyle name="Normal 3 4 19" xfId="2040"/>
    <cellStyle name="Normal 3 4 2" xfId="2041"/>
    <cellStyle name="Normal 3 4 20" xfId="2042"/>
    <cellStyle name="Normal 3 4 21" xfId="2043"/>
    <cellStyle name="Normal 3 4 22" xfId="2044"/>
    <cellStyle name="Normal 3 4 23" xfId="2045"/>
    <cellStyle name="Normal 3 4 24" xfId="2046"/>
    <cellStyle name="Normal 3 4 3" xfId="2047"/>
    <cellStyle name="Normal 3 4 4" xfId="2048"/>
    <cellStyle name="Normal 3 4 5" xfId="2049"/>
    <cellStyle name="Normal 3 4 6" xfId="2050"/>
    <cellStyle name="Normal 3 4 7" xfId="2051"/>
    <cellStyle name="Normal 3 4 8" xfId="2052"/>
    <cellStyle name="Normal 3 4 9" xfId="2053"/>
    <cellStyle name="Normal 3 40" xfId="2054"/>
    <cellStyle name="Normal 3 41" xfId="2055"/>
    <cellStyle name="Normal 3 42" xfId="2056"/>
    <cellStyle name="Normal 3 43" xfId="2057"/>
    <cellStyle name="Normal 3 44" xfId="2058"/>
    <cellStyle name="Normal 3 45" xfId="2059"/>
    <cellStyle name="Normal 3 46" xfId="2060"/>
    <cellStyle name="Normal 3 47" xfId="2061"/>
    <cellStyle name="Normal 3 48" xfId="2062"/>
    <cellStyle name="Normal 3 49" xfId="2063"/>
    <cellStyle name="Normal 3 5" xfId="2064"/>
    <cellStyle name="Normal 3 5 10" xfId="2065"/>
    <cellStyle name="Normal 3 5 11" xfId="2066"/>
    <cellStyle name="Normal 3 5 12" xfId="2067"/>
    <cellStyle name="Normal 3 5 13" xfId="2068"/>
    <cellStyle name="Normal 3 5 14" xfId="2069"/>
    <cellStyle name="Normal 3 5 15" xfId="2070"/>
    <cellStyle name="Normal 3 5 16" xfId="2071"/>
    <cellStyle name="Normal 3 5 17" xfId="2072"/>
    <cellStyle name="Normal 3 5 18" xfId="2073"/>
    <cellStyle name="Normal 3 5 19" xfId="2074"/>
    <cellStyle name="Normal 3 5 2" xfId="2075"/>
    <cellStyle name="Normal 3 5 20" xfId="2076"/>
    <cellStyle name="Normal 3 5 21" xfId="2077"/>
    <cellStyle name="Normal 3 5 22" xfId="2078"/>
    <cellStyle name="Normal 3 5 23" xfId="2079"/>
    <cellStyle name="Normal 3 5 24" xfId="2080"/>
    <cellStyle name="Normal 3 5 3" xfId="2081"/>
    <cellStyle name="Normal 3 5 4" xfId="2082"/>
    <cellStyle name="Normal 3 5 5" xfId="2083"/>
    <cellStyle name="Normal 3 5 6" xfId="2084"/>
    <cellStyle name="Normal 3 5 7" xfId="2085"/>
    <cellStyle name="Normal 3 5 8" xfId="2086"/>
    <cellStyle name="Normal 3 5 9" xfId="2087"/>
    <cellStyle name="Normal 3 50" xfId="2088"/>
    <cellStyle name="Normal 3 51" xfId="2089"/>
    <cellStyle name="Normal 3 52" xfId="2090"/>
    <cellStyle name="Normal 3 53" xfId="2091"/>
    <cellStyle name="Normal 3 54" xfId="2092"/>
    <cellStyle name="Normal 3 55" xfId="2093"/>
    <cellStyle name="Normal 3 56" xfId="2094"/>
    <cellStyle name="Normal 3 57" xfId="2095"/>
    <cellStyle name="Normal 3 58" xfId="2096"/>
    <cellStyle name="Normal 3 59" xfId="2097"/>
    <cellStyle name="Normal 3 6" xfId="2098"/>
    <cellStyle name="Normal 3 6 10" xfId="2099"/>
    <cellStyle name="Normal 3 6 11" xfId="2100"/>
    <cellStyle name="Normal 3 6 12" xfId="2101"/>
    <cellStyle name="Normal 3 6 13" xfId="2102"/>
    <cellStyle name="Normal 3 6 14" xfId="2103"/>
    <cellStyle name="Normal 3 6 15" xfId="2104"/>
    <cellStyle name="Normal 3 6 16" xfId="2105"/>
    <cellStyle name="Normal 3 6 17" xfId="2106"/>
    <cellStyle name="Normal 3 6 18" xfId="2107"/>
    <cellStyle name="Normal 3 6 19" xfId="2108"/>
    <cellStyle name="Normal 3 6 2" xfId="2109"/>
    <cellStyle name="Normal 3 6 20" xfId="2110"/>
    <cellStyle name="Normal 3 6 21" xfId="2111"/>
    <cellStyle name="Normal 3 6 22" xfId="2112"/>
    <cellStyle name="Normal 3 6 23" xfId="2113"/>
    <cellStyle name="Normal 3 6 24" xfId="2114"/>
    <cellStyle name="Normal 3 6 3" xfId="2115"/>
    <cellStyle name="Normal 3 6 4" xfId="2116"/>
    <cellStyle name="Normal 3 6 5" xfId="2117"/>
    <cellStyle name="Normal 3 6 6" xfId="2118"/>
    <cellStyle name="Normal 3 6 7" xfId="2119"/>
    <cellStyle name="Normal 3 6 8" xfId="2120"/>
    <cellStyle name="Normal 3 6 9" xfId="2121"/>
    <cellStyle name="Normal 3 60" xfId="2122"/>
    <cellStyle name="Normal 3 61" xfId="2123"/>
    <cellStyle name="Normal 3 62" xfId="2124"/>
    <cellStyle name="Normal 3 63" xfId="2125"/>
    <cellStyle name="Normal 3 64" xfId="2126"/>
    <cellStyle name="Normal 3 65" xfId="2127"/>
    <cellStyle name="Normal 3 66" xfId="2128"/>
    <cellStyle name="Normal 3 67" xfId="2129"/>
    <cellStyle name="Normal 3 68" xfId="2130"/>
    <cellStyle name="Normal 3 7" xfId="2131"/>
    <cellStyle name="Normal 3 7 10" xfId="2132"/>
    <cellStyle name="Normal 3 7 11" xfId="2133"/>
    <cellStyle name="Normal 3 7 12" xfId="2134"/>
    <cellStyle name="Normal 3 7 13" xfId="2135"/>
    <cellStyle name="Normal 3 7 14" xfId="2136"/>
    <cellStyle name="Normal 3 7 15" xfId="2137"/>
    <cellStyle name="Normal 3 7 16" xfId="2138"/>
    <cellStyle name="Normal 3 7 17" xfId="2139"/>
    <cellStyle name="Normal 3 7 18" xfId="2140"/>
    <cellStyle name="Normal 3 7 19" xfId="2141"/>
    <cellStyle name="Normal 3 7 2" xfId="2142"/>
    <cellStyle name="Normal 3 7 20" xfId="2143"/>
    <cellStyle name="Normal 3 7 21" xfId="2144"/>
    <cellStyle name="Normal 3 7 22" xfId="2145"/>
    <cellStyle name="Normal 3 7 23" xfId="2146"/>
    <cellStyle name="Normal 3 7 24" xfId="2147"/>
    <cellStyle name="Normal 3 7 3" xfId="2148"/>
    <cellStyle name="Normal 3 7 4" xfId="2149"/>
    <cellStyle name="Normal 3 7 5" xfId="2150"/>
    <cellStyle name="Normal 3 7 6" xfId="2151"/>
    <cellStyle name="Normal 3 7 7" xfId="2152"/>
    <cellStyle name="Normal 3 7 8" xfId="2153"/>
    <cellStyle name="Normal 3 7 9" xfId="2154"/>
    <cellStyle name="Normal 3 8" xfId="2155"/>
    <cellStyle name="Normal 3 8 10" xfId="2156"/>
    <cellStyle name="Normal 3 8 11" xfId="2157"/>
    <cellStyle name="Normal 3 8 12" xfId="2158"/>
    <cellStyle name="Normal 3 8 13" xfId="2159"/>
    <cellStyle name="Normal 3 8 14" xfId="2160"/>
    <cellStyle name="Normal 3 8 15" xfId="2161"/>
    <cellStyle name="Normal 3 8 16" xfId="2162"/>
    <cellStyle name="Normal 3 8 17" xfId="2163"/>
    <cellStyle name="Normal 3 8 18" xfId="2164"/>
    <cellStyle name="Normal 3 8 19" xfId="2165"/>
    <cellStyle name="Normal 3 8 2" xfId="2166"/>
    <cellStyle name="Normal 3 8 20" xfId="2167"/>
    <cellStyle name="Normal 3 8 21" xfId="2168"/>
    <cellStyle name="Normal 3 8 22" xfId="2169"/>
    <cellStyle name="Normal 3 8 23" xfId="2170"/>
    <cellStyle name="Normal 3 8 3" xfId="2171"/>
    <cellStyle name="Normal 3 8 4" xfId="2172"/>
    <cellStyle name="Normal 3 8 5" xfId="2173"/>
    <cellStyle name="Normal 3 8 6" xfId="2174"/>
    <cellStyle name="Normal 3 8 7" xfId="2175"/>
    <cellStyle name="Normal 3 8 8" xfId="2176"/>
    <cellStyle name="Normal 3 8 9" xfId="2177"/>
    <cellStyle name="Normal 3 9" xfId="2178"/>
    <cellStyle name="Normal 3 9 10" xfId="2179"/>
    <cellStyle name="Normal 3 9 11" xfId="2180"/>
    <cellStyle name="Normal 3 9 12" xfId="2181"/>
    <cellStyle name="Normal 3 9 13" xfId="2182"/>
    <cellStyle name="Normal 3 9 14" xfId="2183"/>
    <cellStyle name="Normal 3 9 15" xfId="2184"/>
    <cellStyle name="Normal 3 9 16" xfId="2185"/>
    <cellStyle name="Normal 3 9 17" xfId="2186"/>
    <cellStyle name="Normal 3 9 18" xfId="2187"/>
    <cellStyle name="Normal 3 9 19" xfId="2188"/>
    <cellStyle name="Normal 3 9 2" xfId="2189"/>
    <cellStyle name="Normal 3 9 20" xfId="2190"/>
    <cellStyle name="Normal 3 9 21" xfId="2191"/>
    <cellStyle name="Normal 3 9 22" xfId="2192"/>
    <cellStyle name="Normal 3 9 23" xfId="2193"/>
    <cellStyle name="Normal 3 9 3" xfId="2194"/>
    <cellStyle name="Normal 3 9 4" xfId="2195"/>
    <cellStyle name="Normal 3 9 5" xfId="2196"/>
    <cellStyle name="Normal 3 9 6" xfId="2197"/>
    <cellStyle name="Normal 3 9 7" xfId="2198"/>
    <cellStyle name="Normal 3 9 8" xfId="2199"/>
    <cellStyle name="Normal 3 9 9" xfId="2200"/>
    <cellStyle name="Normal 4" xfId="2201"/>
    <cellStyle name="Normal 4 2" xfId="2202"/>
    <cellStyle name="Normal 4 3" xfId="2203"/>
    <cellStyle name="Normal 4 4" xfId="2204"/>
    <cellStyle name="Normal 4 5" xfId="2205"/>
    <cellStyle name="Normal 4 6" xfId="2206"/>
    <cellStyle name="Normal 4 7" xfId="2207"/>
    <cellStyle name="Normal 4 8" xfId="2208"/>
    <cellStyle name="Normal 4 9" xfId="2209"/>
    <cellStyle name="Normal 5" xfId="2210"/>
    <cellStyle name="Normal 5 10" xfId="2211"/>
    <cellStyle name="Normal 5 11" xfId="2212"/>
    <cellStyle name="Normal 5 12" xfId="2213"/>
    <cellStyle name="Normal 5 13" xfId="2214"/>
    <cellStyle name="Normal 5 14" xfId="2215"/>
    <cellStyle name="Normal 5 15" xfId="2216"/>
    <cellStyle name="Normal 5 16" xfId="2217"/>
    <cellStyle name="Normal 5 17" xfId="2218"/>
    <cellStyle name="Normal 5 18" xfId="2219"/>
    <cellStyle name="Normal 5 19" xfId="2220"/>
    <cellStyle name="Normal 5 2" xfId="2221"/>
    <cellStyle name="Normal 5 2 10" xfId="2222"/>
    <cellStyle name="Normal 5 2 11" xfId="2223"/>
    <cellStyle name="Normal 5 2 12" xfId="2224"/>
    <cellStyle name="Normal 5 2 13" xfId="2225"/>
    <cellStyle name="Normal 5 2 14" xfId="2226"/>
    <cellStyle name="Normal 5 2 15" xfId="2227"/>
    <cellStyle name="Normal 5 2 16" xfId="2228"/>
    <cellStyle name="Normal 5 2 17" xfId="2229"/>
    <cellStyle name="Normal 5 2 18" xfId="2230"/>
    <cellStyle name="Normal 5 2 19" xfId="2231"/>
    <cellStyle name="Normal 5 2 2" xfId="2232"/>
    <cellStyle name="Normal 5 2 20" xfId="2233"/>
    <cellStyle name="Normal 5 2 21" xfId="2234"/>
    <cellStyle name="Normal 5 2 22" xfId="2235"/>
    <cellStyle name="Normal 5 2 23" xfId="2236"/>
    <cellStyle name="Normal 5 2 3" xfId="2237"/>
    <cellStyle name="Normal 5 2 4" xfId="2238"/>
    <cellStyle name="Normal 5 2 5" xfId="2239"/>
    <cellStyle name="Normal 5 2 6" xfId="2240"/>
    <cellStyle name="Normal 5 2 7" xfId="2241"/>
    <cellStyle name="Normal 5 2 8" xfId="2242"/>
    <cellStyle name="Normal 5 2 9" xfId="2243"/>
    <cellStyle name="Normal 5 20" xfId="2244"/>
    <cellStyle name="Normal 5 21" xfId="2245"/>
    <cellStyle name="Normal 5 22" xfId="2246"/>
    <cellStyle name="Normal 5 23" xfId="2247"/>
    <cellStyle name="Normal 5 24" xfId="2248"/>
    <cellStyle name="Normal 5 25" xfId="2249"/>
    <cellStyle name="Normal 5 25 2" xfId="2250"/>
    <cellStyle name="Normal 5 26" xfId="2251"/>
    <cellStyle name="Normal 5 27" xfId="2252"/>
    <cellStyle name="Normal 5 28" xfId="2253"/>
    <cellStyle name="Normal 5 3" xfId="2254"/>
    <cellStyle name="Normal 5 4" xfId="2255"/>
    <cellStyle name="Normal 5 5" xfId="2256"/>
    <cellStyle name="Normal 5 6" xfId="2257"/>
    <cellStyle name="Normal 5 7" xfId="2258"/>
    <cellStyle name="Normal 5 8" xfId="2259"/>
    <cellStyle name="Normal 5 9" xfId="2260"/>
    <cellStyle name="Normal 6" xfId="2261"/>
    <cellStyle name="Normal 6 2" xfId="2262"/>
    <cellStyle name="Normal 6 3" xfId="2263"/>
    <cellStyle name="Normal 6 38" xfId="2264"/>
    <cellStyle name="Normal 6 4" xfId="2265"/>
    <cellStyle name="Normal 6 5" xfId="2266"/>
    <cellStyle name="Normal 7" xfId="2267"/>
    <cellStyle name="Normal 7 10" xfId="2268"/>
    <cellStyle name="Normal 7 11" xfId="2269"/>
    <cellStyle name="Normal 7 12" xfId="2270"/>
    <cellStyle name="Normal 7 13" xfId="2271"/>
    <cellStyle name="Normal 7 14" xfId="2272"/>
    <cellStyle name="Normal 7 15" xfId="2273"/>
    <cellStyle name="Normal 7 16" xfId="2274"/>
    <cellStyle name="Normal 7 17" xfId="2275"/>
    <cellStyle name="Normal 7 18" xfId="2276"/>
    <cellStyle name="Normal 7 19" xfId="2277"/>
    <cellStyle name="Normal 7 2" xfId="2278"/>
    <cellStyle name="Normal 7 2 10" xfId="2279"/>
    <cellStyle name="Normal 7 2 11" xfId="2280"/>
    <cellStyle name="Normal 7 2 12" xfId="2281"/>
    <cellStyle name="Normal 7 2 13" xfId="2282"/>
    <cellStyle name="Normal 7 2 14" xfId="2283"/>
    <cellStyle name="Normal 7 2 15" xfId="2284"/>
    <cellStyle name="Normal 7 2 16" xfId="2285"/>
    <cellStyle name="Normal 7 2 17" xfId="2286"/>
    <cellStyle name="Normal 7 2 18" xfId="2287"/>
    <cellStyle name="Normal 7 2 19" xfId="2288"/>
    <cellStyle name="Normal 7 2 2" xfId="2289"/>
    <cellStyle name="Normal 7 2 20" xfId="2290"/>
    <cellStyle name="Normal 7 2 21" xfId="2291"/>
    <cellStyle name="Normal 7 2 22" xfId="2292"/>
    <cellStyle name="Normal 7 2 23" xfId="2293"/>
    <cellStyle name="Normal 7 2 3" xfId="2294"/>
    <cellStyle name="Normal 7 2 4" xfId="2295"/>
    <cellStyle name="Normal 7 2 5" xfId="2296"/>
    <cellStyle name="Normal 7 2 6" xfId="2297"/>
    <cellStyle name="Normal 7 2 7" xfId="2298"/>
    <cellStyle name="Normal 7 2 8" xfId="2299"/>
    <cellStyle name="Normal 7 2 9" xfId="2300"/>
    <cellStyle name="Normal 7 20" xfId="2301"/>
    <cellStyle name="Normal 7 21" xfId="2302"/>
    <cellStyle name="Normal 7 22" xfId="2303"/>
    <cellStyle name="Normal 7 23" xfId="2304"/>
    <cellStyle name="Normal 7 24" xfId="2305"/>
    <cellStyle name="Normal 7 25" xfId="2306"/>
    <cellStyle name="Normal 7 26" xfId="2307"/>
    <cellStyle name="Normal 7 3" xfId="2308"/>
    <cellStyle name="Normal 7 4" xfId="2309"/>
    <cellStyle name="Normal 7 5" xfId="2310"/>
    <cellStyle name="Normal 7 6" xfId="2311"/>
    <cellStyle name="Normal 7 7" xfId="2312"/>
    <cellStyle name="Normal 7 8" xfId="2313"/>
    <cellStyle name="Normal 7 9" xfId="2314"/>
    <cellStyle name="Normal 8" xfId="2315"/>
    <cellStyle name="Normal 8 2" xfId="2316"/>
    <cellStyle name="Normal 8 3" xfId="2317"/>
    <cellStyle name="Normal 8 4" xfId="2318"/>
    <cellStyle name="Normal 8 5" xfId="2319"/>
    <cellStyle name="Normal 8 6" xfId="2320"/>
    <cellStyle name="Normal 9" xfId="2321"/>
    <cellStyle name="Normal 9 2" xfId="2322"/>
    <cellStyle name="Note 2" xfId="2323"/>
    <cellStyle name="Note 2 2" xfId="2324"/>
    <cellStyle name="Note 2 3" xfId="2325"/>
    <cellStyle name="Note 3 2" xfId="2326"/>
    <cellStyle name="Note 3 3" xfId="2327"/>
    <cellStyle name="Output 2" xfId="2328"/>
    <cellStyle name="Output 2 2" xfId="2329"/>
    <cellStyle name="Output 2 3" xfId="2330"/>
    <cellStyle name="Output 3 2" xfId="2331"/>
    <cellStyle name="Output 3 3" xfId="2332"/>
    <cellStyle name="OUTPUT AMOUNTS" xfId="2333"/>
    <cellStyle name="OUTPUT COLUMN HEADINGS" xfId="2334"/>
    <cellStyle name="OUTPUT LINE ITEMS" xfId="2335"/>
    <cellStyle name="Output Report Heading" xfId="2336"/>
    <cellStyle name="OUTPUT REPORT TITLE" xfId="2337"/>
    <cellStyle name="pb_page_heading_LS" xfId="2338"/>
    <cellStyle name="Percent" xfId="1" builtinId="5"/>
    <cellStyle name="Percent [2]" xfId="2339"/>
    <cellStyle name="Percent 10" xfId="2340"/>
    <cellStyle name="Percent 10 2" xfId="2341"/>
    <cellStyle name="Percent 11" xfId="2342"/>
    <cellStyle name="Percent 12" xfId="2343"/>
    <cellStyle name="Percent 13" xfId="2344"/>
    <cellStyle name="Percent 2" xfId="7"/>
    <cellStyle name="Percent 2 10" xfId="2345"/>
    <cellStyle name="Percent 2 11" xfId="2346"/>
    <cellStyle name="Percent 2 2" xfId="2347"/>
    <cellStyle name="Percent 2 3" xfId="2348"/>
    <cellStyle name="Percent 2 4" xfId="2349"/>
    <cellStyle name="Percent 2 5" xfId="2350"/>
    <cellStyle name="Percent 2 6" xfId="2351"/>
    <cellStyle name="Percent 2 7" xfId="2352"/>
    <cellStyle name="Percent 2 8" xfId="2353"/>
    <cellStyle name="Percent 2 9" xfId="2354"/>
    <cellStyle name="Percent 3" xfId="2355"/>
    <cellStyle name="Percent 3 2" xfId="2356"/>
    <cellStyle name="Percent 3 3" xfId="2357"/>
    <cellStyle name="Percent 4" xfId="2358"/>
    <cellStyle name="Percent 4 2" xfId="2359"/>
    <cellStyle name="Percent 5" xfId="2360"/>
    <cellStyle name="Percent 6" xfId="2361"/>
    <cellStyle name="Percent 7" xfId="2362"/>
    <cellStyle name="Percent 8" xfId="2363"/>
    <cellStyle name="Percent 9" xfId="2364"/>
    <cellStyle name="Remote" xfId="2365"/>
    <cellStyle name="Revenue" xfId="2366"/>
    <cellStyle name="RevList" xfId="2367"/>
    <cellStyle name="SAPBEXaggData" xfId="2368"/>
    <cellStyle name="SAPBEXaggDataEmph" xfId="2369"/>
    <cellStyle name="SAPBEXaggItem" xfId="2370"/>
    <cellStyle name="SAPBEXaggItemX" xfId="2371"/>
    <cellStyle name="SAPBEXchaText" xfId="2372"/>
    <cellStyle name="SAPBEXexcBad7" xfId="2373"/>
    <cellStyle name="SAPBEXexcBad8" xfId="2374"/>
    <cellStyle name="SAPBEXexcBad9" xfId="2375"/>
    <cellStyle name="SAPBEXexcCritical4" xfId="2376"/>
    <cellStyle name="SAPBEXexcCritical5" xfId="2377"/>
    <cellStyle name="SAPBEXexcCritical6" xfId="2378"/>
    <cellStyle name="SAPBEXexcGood1" xfId="2379"/>
    <cellStyle name="SAPBEXexcGood2" xfId="2380"/>
    <cellStyle name="SAPBEXexcGood3" xfId="2381"/>
    <cellStyle name="SAPBEXfilterDrill" xfId="2382"/>
    <cellStyle name="SAPBEXfilterItem" xfId="2383"/>
    <cellStyle name="SAPBEXfilterText" xfId="2384"/>
    <cellStyle name="SAPBEXformats" xfId="2385"/>
    <cellStyle name="SAPBEXheaderItem" xfId="2386"/>
    <cellStyle name="SAPBEXheaderText" xfId="2387"/>
    <cellStyle name="SAPBEXHLevel0" xfId="2388"/>
    <cellStyle name="SAPBEXHLevel0X" xfId="2389"/>
    <cellStyle name="SAPBEXHLevel1" xfId="2390"/>
    <cellStyle name="SAPBEXHLevel1X" xfId="2391"/>
    <cellStyle name="SAPBEXHLevel2" xfId="2392"/>
    <cellStyle name="SAPBEXHLevel2X" xfId="2393"/>
    <cellStyle name="SAPBEXHLevel3" xfId="2394"/>
    <cellStyle name="SAPBEXHLevel3X" xfId="2395"/>
    <cellStyle name="SAPBEXinputData" xfId="2396"/>
    <cellStyle name="SAPBEXresData" xfId="2397"/>
    <cellStyle name="SAPBEXresDataEmph" xfId="2398"/>
    <cellStyle name="SAPBEXresItem" xfId="2399"/>
    <cellStyle name="SAPBEXresItemX" xfId="2400"/>
    <cellStyle name="SAPBEXstdData" xfId="2401"/>
    <cellStyle name="SAPBEXstdDataEmph" xfId="2402"/>
    <cellStyle name="SAPBEXstdItem" xfId="2403"/>
    <cellStyle name="SAPBEXstdItemX" xfId="2404"/>
    <cellStyle name="SAPBEXtitle" xfId="2405"/>
    <cellStyle name="SAPBEXundefined" xfId="2406"/>
    <cellStyle name="Sheet Title" xfId="2407"/>
    <cellStyle name="Subtotal" xfId="2408"/>
    <cellStyle name="test a style" xfId="2409"/>
    <cellStyle name="Times New Roman" xfId="2410"/>
    <cellStyle name="Title 2" xfId="2411"/>
    <cellStyle name="Title 2 2" xfId="2412"/>
    <cellStyle name="Title 2 3" xfId="2413"/>
    <cellStyle name="Title 3 2" xfId="2414"/>
    <cellStyle name="Title 3 3" xfId="2415"/>
    <cellStyle name="Total 2" xfId="2416"/>
    <cellStyle name="Total 2 2" xfId="2417"/>
    <cellStyle name="Total 2 3" xfId="2418"/>
    <cellStyle name="Total 3 2" xfId="2419"/>
    <cellStyle name="Total 3 3" xfId="2420"/>
    <cellStyle name="Unprot" xfId="2421"/>
    <cellStyle name="Unprot$" xfId="2422"/>
    <cellStyle name="Unprot_Select Measures" xfId="2423"/>
    <cellStyle name="Unprotect" xfId="2424"/>
    <cellStyle name="Value" xfId="2425"/>
    <cellStyle name="Warning Text 2" xfId="2426"/>
    <cellStyle name="Warning Text 2 2" xfId="2427"/>
    <cellStyle name="Warning Text 2 3" xfId="2428"/>
    <cellStyle name="Warning Text 3 2" xfId="2429"/>
    <cellStyle name="Warning Text 3 3" xfId="2430"/>
  </cellStyles>
  <dxfs count="0"/>
  <tableStyles count="0" defaultTableStyle="TableStyleMedium2" defaultPivotStyle="PivotStyleLight16"/>
  <colors>
    <mruColors>
      <color rgb="FFFF6699"/>
      <color rgb="FF00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microsoft.com/office/2011/relationships/chartStyle" Target="style1.xml"/><Relationship Id="rId2" Type="http://schemas.microsoft.com/office/2011/relationships/chartColorStyle" Target="colors1.xml"/><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3" Type="http://schemas.microsoft.com/office/2011/relationships/chartStyle" Target="style2.xml"/><Relationship Id="rId2" Type="http://schemas.microsoft.com/office/2011/relationships/chartColorStyle" Target="colors2.xml"/><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microsoft.com/office/2011/relationships/chartStyle" Target="style4.xml"/><Relationship Id="rId2" Type="http://schemas.microsoft.com/office/2011/relationships/chartColorStyle" Target="colors4.xml"/><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microsoft.com/office/2011/relationships/chartStyle" Target="style6.xml"/><Relationship Id="rId2" Type="http://schemas.microsoft.com/office/2011/relationships/chartColorStyle" Target="colors6.xml"/><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3" Type="http://schemas.microsoft.com/office/2011/relationships/chartStyle" Target="style7.xml"/><Relationship Id="rId2" Type="http://schemas.microsoft.com/office/2011/relationships/chartColorStyle" Target="colors7.xml"/><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3" Type="http://schemas.microsoft.com/office/2011/relationships/chartStyle" Target="style8.xml"/><Relationship Id="rId2" Type="http://schemas.microsoft.com/office/2011/relationships/chartColorStyle" Target="colors8.xml"/><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TRC Test Impact Due</a:t>
            </a:r>
            <a:r>
              <a:rPr lang="en-US" baseline="0"/>
              <a:t> to NEB Addition (% change)</a:t>
            </a:r>
          </a:p>
        </c:rich>
      </c:tx>
      <c:layout>
        <c:manualLayout>
          <c:xMode val="edge"/>
          <c:yMode val="edge"/>
          <c:x val="0.35643705900343081"/>
          <c:y val="0"/>
        </c:manualLayout>
      </c:layout>
      <c:overlay val="0"/>
      <c:spPr>
        <a:noFill/>
        <a:ln>
          <a:noFill/>
        </a:ln>
        <a:effectLst/>
      </c:spPr>
    </c:title>
    <c:autoTitleDeleted val="0"/>
    <c:plotArea>
      <c:layout>
        <c:manualLayout>
          <c:layoutTarget val="inner"/>
          <c:xMode val="edge"/>
          <c:yMode val="edge"/>
          <c:x val="0.49136028752855793"/>
          <c:y val="9.846060738728183E-3"/>
          <c:w val="0.7541723688091736"/>
          <c:h val="0.97956280326007938"/>
        </c:manualLayout>
      </c:layout>
      <c:barChart>
        <c:barDir val="bar"/>
        <c:grouping val="clustered"/>
        <c:varyColors val="0"/>
        <c:ser>
          <c:idx val="0"/>
          <c:order val="0"/>
          <c:spPr>
            <a:solidFill>
              <a:schemeClr val="accent1"/>
            </a:solidFill>
            <a:ln>
              <a:noFill/>
            </a:ln>
            <a:effectLst/>
          </c:spPr>
          <c:invertIfNegative val="0"/>
          <c:dLbls>
            <c:dLbl>
              <c:idx val="119"/>
              <c:layout>
                <c:manualLayout>
                  <c:x val="1.3484898873050409E-4"/>
                  <c:y val="1.6203003242746741E-4"/>
                </c:manualLayout>
              </c:layout>
              <c:showLegendKey val="0"/>
              <c:showVal val="1"/>
              <c:showCatName val="0"/>
              <c:showSerName val="0"/>
              <c:showPercent val="0"/>
              <c:showBubbleSize val="0"/>
              <c:extLst>
                <c:ext xmlns:c15="http://schemas.microsoft.com/office/drawing/2012/chart" uri="{CE6537A1-D6FC-4f65-9D91-7224C49458BB}"/>
              </c:extLst>
            </c:dLbl>
            <c:dLbl>
              <c:idx val="151"/>
              <c:layout>
                <c:manualLayout>
                  <c:x val="-3.8537264832589513E-2"/>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overflow" horzOverflow="overflow" vert="horz" wrap="square" lIns="0" tIns="19050" rIns="0" bIns="19050" anchor="t"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0"/>
              </c:ext>
            </c:extLst>
          </c:dLbls>
          <c:cat>
            <c:strRef>
              <c:f>('TRC Figure'!$A$1:$A$151,'TRC Figure'!$A$238)</c:f>
              <c:strCache>
                <c:ptCount val="152"/>
                <c:pt idx="0">
                  <c:v>Residential - Efficient Product Rebates; Room A/C Retirement; RES-HVAC/Shell; RES-SF</c:v>
                </c:pt>
                <c:pt idx="1">
                  <c:v>BNI- Direct Installation; Faucet Aerator; COM-Other; Office</c:v>
                </c:pt>
                <c:pt idx="2">
                  <c:v>BNI- Direct Installation; Faucet Aerator; COM-Other; Other Commercial</c:v>
                </c:pt>
                <c:pt idx="3">
                  <c:v>BNI- Direct Installation; Faucet Aerator; COM-Other; Retail</c:v>
                </c:pt>
                <c:pt idx="4">
                  <c:v>Existing Residential; DHW Pipe Insulation; RES-Water Heat; MURB</c:v>
                </c:pt>
                <c:pt idx="5">
                  <c:v>BNI- Direct Installation; Low Flow Showerheads; COM-Other; Other Commercial</c:v>
                </c:pt>
                <c:pt idx="6">
                  <c:v>BNI- Direct Installation; Ground Source Heat Pump; COM-HVAC; School</c:v>
                </c:pt>
                <c:pt idx="7">
                  <c:v>BNI- Direct Installation; Ground/Water Source Heat Pumps; COM-HVAC; School</c:v>
                </c:pt>
                <c:pt idx="8">
                  <c:v>BNI- Direct Installation; High-Efficiency Air Source Heat Pumps; COM-HVAC; School</c:v>
                </c:pt>
                <c:pt idx="9">
                  <c:v>BNI- Direct Installation; High-Efficiency Air Source Heat Pumps; COM-HVAC; School</c:v>
                </c:pt>
                <c:pt idx="10">
                  <c:v>BNI- Direct Installation; Ground Source Heat Pump; COM-HVAC; Retail</c:v>
                </c:pt>
                <c:pt idx="11">
                  <c:v>BNI- Direct Installation; Ground/Water Source Heat Pumps; COM-HVAC; Retail</c:v>
                </c:pt>
                <c:pt idx="12">
                  <c:v>BNI- Direct Installation; High-Efficiency Air Source Heat Pumps; COM-HVAC; Retail</c:v>
                </c:pt>
                <c:pt idx="13">
                  <c:v>BNI- Direct Installation; High-Efficiency Air Source Heat Pumps; COM-HVAC; Retail</c:v>
                </c:pt>
                <c:pt idx="14">
                  <c:v>BNI- Direct Installation; High-Efficiency Air Source Heat Pumps; COM-HVAC; Other Commercial</c:v>
                </c:pt>
                <c:pt idx="15">
                  <c:v>BNI- Direct Installation; High-Efficiency Air Source Heat Pumps; COM-HVAC; Other Commercial</c:v>
                </c:pt>
                <c:pt idx="16">
                  <c:v>BNI- Direct Installation; Ground/Water Source Heat Pumps; COM-HVAC; Other Commercial</c:v>
                </c:pt>
                <c:pt idx="17">
                  <c:v>BNI- Direct Installation; Ground Source Heat Pump; COM-HVAC; Other Commercial</c:v>
                </c:pt>
                <c:pt idx="18">
                  <c:v>BNI- Direct Installation; Ground Source Heat Pump; COM-HVAC; Office</c:v>
                </c:pt>
                <c:pt idx="19">
                  <c:v>BNI- Direct Installation; Ground/Water Source Heat Pumps; COM-HVAC; Office</c:v>
                </c:pt>
                <c:pt idx="20">
                  <c:v>BNI- Direct Installation; High-Efficiency Air Source Heat Pumps; COM-HVAC; Office</c:v>
                </c:pt>
                <c:pt idx="21">
                  <c:v>BNI- Direct Installation; High-Efficiency Air Source Heat Pumps; COM-HVAC; Office</c:v>
                </c:pt>
                <c:pt idx="22">
                  <c:v>BNI - Efficient Product Rebates; ENERGY STAR® Self Contained Ice Maker; COM-Refrigeration; Retail</c:v>
                </c:pt>
                <c:pt idx="23">
                  <c:v>BNI- Direct Installation; DHW Tank Wrap; COM-Other; Office</c:v>
                </c:pt>
                <c:pt idx="24">
                  <c:v>BNI- Direct Installation; DHW Tank Wrap; COM-Other; Retail</c:v>
                </c:pt>
                <c:pt idx="25">
                  <c:v>BNI - Efficient Product Rebates; Solid Door Commercial Freezer; COM-Refrigeration; Retail</c:v>
                </c:pt>
                <c:pt idx="26">
                  <c:v>BNI - Efficient Product Rebates; Glass Door Commercial Refrigerator; COM-Refrigeration; Retail</c:v>
                </c:pt>
                <c:pt idx="27">
                  <c:v>BNI - Efficient Product Rebates; Solid Door Commercial Refrigerator; COM-Refrigeration; Retail</c:v>
                </c:pt>
                <c:pt idx="28">
                  <c:v>BNI- Direct Installation; DHW Pipe Insulation; COM-Other; Office</c:v>
                </c:pt>
                <c:pt idx="29">
                  <c:v>BNI- Direct Installation; DHW Pipe Insulation; COM-Other; Retail</c:v>
                </c:pt>
                <c:pt idx="30">
                  <c:v>Existing Residential; DHW Pipe Insulation; RES-Water Heat; RES-SF</c:v>
                </c:pt>
                <c:pt idx="31">
                  <c:v>BNI - Efficient Product Rebates; Single-Tank Door Type Dishwasher (Low Temp); COM-Other; Retail</c:v>
                </c:pt>
                <c:pt idx="32">
                  <c:v>BNI - Efficient Product Rebates; Multi-Tank Conveyor Commercial Dish Washer (Low Temp); COM-Other; Retail</c:v>
                </c:pt>
                <c:pt idx="33">
                  <c:v>Custom Incentives; Custom Efficiency; IND; Industrial </c:v>
                </c:pt>
                <c:pt idx="34">
                  <c:v>BNI - Efficient Product Rebates; Lighting Controls - Occupancy Sensors; IND; Industrial </c:v>
                </c:pt>
                <c:pt idx="35">
                  <c:v>Custom Incentives; Custom Efficiency; COM-Other; COM</c:v>
                </c:pt>
                <c:pt idx="36">
                  <c:v>BNI - Efficient Product Rebates; Daylighting Controls; COM-Lighting; School</c:v>
                </c:pt>
                <c:pt idx="37">
                  <c:v>BNI - Efficient Product Rebates; T8 Dimmable Stairwell Lighting; COM-Lighting; School</c:v>
                </c:pt>
                <c:pt idx="38">
                  <c:v>BNI - Efficient Product Rebates; Lighting Controls - Occupancy Sensors; COM-Lighting; School</c:v>
                </c:pt>
                <c:pt idx="39">
                  <c:v>Residential - Efficient Product Rebates; Hardwired Dimmer Switch; RES-Lighting; RES-SF</c:v>
                </c:pt>
                <c:pt idx="40">
                  <c:v>BNI - Efficient Product Rebates; T8 Dimmable Stairwell Lighting; COM-Lighting; Office</c:v>
                </c:pt>
                <c:pt idx="41">
                  <c:v>BNI - Efficient Product Rebates; Daylighting Controls; COM-Lighting; Office</c:v>
                </c:pt>
                <c:pt idx="42">
                  <c:v>BNI - Efficient Product Rebates; Lighting Controls - Occupancy Sensors; COM-Lighting; Office</c:v>
                </c:pt>
                <c:pt idx="43">
                  <c:v>BNI - Efficient Product Rebates; Daylighting Controls; COM-Lighting; Other Commercial</c:v>
                </c:pt>
                <c:pt idx="44">
                  <c:v>BNI - Efficient Product Rebates; T8 Dimmable Stairwell Lighting; COM-Lighting; Other Commercial</c:v>
                </c:pt>
                <c:pt idx="45">
                  <c:v>BNI - Efficient Product Rebates; Lighting Controls - Occupancy Sensors; COM-Lighting; Other Commercial</c:v>
                </c:pt>
                <c:pt idx="46">
                  <c:v>BNI - Efficient Product Rebates; LED Refrigeration Strip Lighting-End of Life replacement; COM-Lighting; Other Commercial</c:v>
                </c:pt>
                <c:pt idx="47">
                  <c:v>Existing Residential; Low Flow (1.25 GPM) showerhead; RES-Water Heat; MURB</c:v>
                </c:pt>
                <c:pt idx="48">
                  <c:v>BNI - Efficient Product Rebates; Lighting Controls - Occupancy Sensors; COM-Lighting; Retail</c:v>
                </c:pt>
                <c:pt idx="49">
                  <c:v>BNI - Efficient Product Rebates; T8 Dimmable Stairwell Lighting; COM-Lighting; Retail</c:v>
                </c:pt>
                <c:pt idx="50">
                  <c:v>BNI - Efficient Product Rebates; Daylighting Controls; COM-Lighting; Retail</c:v>
                </c:pt>
                <c:pt idx="51">
                  <c:v>BNI - Efficient Product Rebates; LED Refrigeration Strip Lighting-End of Life replacement; COM-Lighting; School</c:v>
                </c:pt>
                <c:pt idx="52">
                  <c:v>BNI - Efficient Product Rebates; LED Refrigeration Strip Lighting-End of Life replacement; COM-Lighting; Retail</c:v>
                </c:pt>
                <c:pt idx="53">
                  <c:v>BNI - Efficient Product Rebates; Photoluminescent Exit Sign; IND; Industrial </c:v>
                </c:pt>
                <c:pt idx="54">
                  <c:v>BNI - Efficient Product Rebates; Photoluminescent Exit Sign; COM-Lighting; Office</c:v>
                </c:pt>
                <c:pt idx="55">
                  <c:v>BNI - Efficient Product Rebates; Photoluminescent Exit Sign; COM-Lighting; Other Commercial</c:v>
                </c:pt>
                <c:pt idx="56">
                  <c:v>BNI - Efficient Product Rebates; Photoluminescent Exit Sign; COM-Lighting; Retail</c:v>
                </c:pt>
                <c:pt idx="57">
                  <c:v>BNI - Efficient Product Rebates; Photoluminescent Exit Sign; COM-Lighting; School</c:v>
                </c:pt>
                <c:pt idx="58">
                  <c:v>BNI - Efficient Product Rebates; LED Exit Sign-End of Life replacement; IND; Industrial </c:v>
                </c:pt>
                <c:pt idx="59">
                  <c:v>BNI - Efficient Product Rebates; LED Exit Sign-End of Life replacement; COM-Lighting; Office</c:v>
                </c:pt>
                <c:pt idx="60">
                  <c:v>BNI - Efficient Product Rebates; LED Exit Sign-End of Life replacement; COM-Lighting; Other Commercial</c:v>
                </c:pt>
                <c:pt idx="61">
                  <c:v>BNI - Efficient Product Rebates; LED Exit Sign-End of Life replacement; COM-Lighting; Retail</c:v>
                </c:pt>
                <c:pt idx="62">
                  <c:v>BNI - Efficient Product Rebates; LED Exit Sign-End of Life replacement; COM-Lighting; School</c:v>
                </c:pt>
                <c:pt idx="63">
                  <c:v>BNI - Efficient Product Rebates; LED Lamps-End of Life; COM-Lighting; Office</c:v>
                </c:pt>
                <c:pt idx="64">
                  <c:v>BNI- Direct Installation; LED Lamps-End of Life-BES; COM-Lighting; Office</c:v>
                </c:pt>
                <c:pt idx="65">
                  <c:v>BNI - Efficient Product Rebates; LED Linear Replacement Lamps; COM-Lighting; Office</c:v>
                </c:pt>
                <c:pt idx="66">
                  <c:v>BNI - Efficient Product Rebates; LED Lamps-Retrofit (dual baseline); COM-Lighting; Office</c:v>
                </c:pt>
                <c:pt idx="67">
                  <c:v>BNI- Direct Installation; LED Lamps-Retrofit (dual baseline)-BES; COM-Lighting; Office</c:v>
                </c:pt>
                <c:pt idx="68">
                  <c:v>BNI - Efficient Product Rebates; Fluorescent T5 and HPT8 Fixtures (4 FT) lamps-Retrofit (dual baseline); COM-Lighting; Other Commercial</c:v>
                </c:pt>
                <c:pt idx="69">
                  <c:v>BNI - Efficient Product Rebates; LED Lamps-End of Life; COM-Lighting; Other Commercial</c:v>
                </c:pt>
                <c:pt idx="70">
                  <c:v>BNI- Direct Installation; LED Lamps-End of Life-BES; COM-Lighting; Other Commercial</c:v>
                </c:pt>
                <c:pt idx="71">
                  <c:v>BNI- Direct Installation; LED Lamps-Retrofit (dual baseline)-BES; COM-Lighting; Other Commercial</c:v>
                </c:pt>
                <c:pt idx="72">
                  <c:v>BNI - Efficient Product Rebates; LED Linear Replacement Lamps; COM-Lighting; Other Commercial</c:v>
                </c:pt>
                <c:pt idx="73">
                  <c:v>BNI - Efficient Product Rebates; LED Lamps-Retrofit (dual baseline); COM-Lighting; Other Commercial</c:v>
                </c:pt>
                <c:pt idx="74">
                  <c:v>BNI - Efficient Product Rebates; LED Linear Replacement Lamps; COM-Lighting; School</c:v>
                </c:pt>
                <c:pt idx="75">
                  <c:v>BNI - Efficient Product Rebates; LED Lamps-Retrofit (dual baseline); COM-Lighting; School</c:v>
                </c:pt>
                <c:pt idx="76">
                  <c:v>BNI - Efficient Product Rebates; LED Lamps-End of Life; COM-Lighting; School</c:v>
                </c:pt>
                <c:pt idx="77">
                  <c:v>BNI - Efficient Product Rebates; LED Lamps-Retrofit (dual baseline); COM-Lighting; Retail</c:v>
                </c:pt>
                <c:pt idx="78">
                  <c:v>BNI- Direct Installation; LED Lamps-End of Life-BES; COM-Lighting; Retail</c:v>
                </c:pt>
                <c:pt idx="79">
                  <c:v>BNI- Direct Installation; LED Lamps-Retrofit (dual baseline)-BES; COM-Lighting; Retail</c:v>
                </c:pt>
                <c:pt idx="80">
                  <c:v>BNI - Efficient Product Rebates; LED Linear Replacement Lamps; COM-Lighting; Retail</c:v>
                </c:pt>
                <c:pt idx="81">
                  <c:v>BNI - Efficient Product Rebates; LED Lamps-End of Life; COM-Lighting; Retail</c:v>
                </c:pt>
                <c:pt idx="82">
                  <c:v>BNI- Direct Installation; Relamp/Reballast-Retrofit (dual baseline)-BES; COM-Lighting; Office</c:v>
                </c:pt>
                <c:pt idx="83">
                  <c:v>BNI - Efficient Product Rebates; Relamp/Reballast-Retrofit (dual baseline); COM-Lighting; Office</c:v>
                </c:pt>
                <c:pt idx="84">
                  <c:v>BNI - Efficient Product Rebates; LED Low Bay Fixture; COM-Lighting; Office</c:v>
                </c:pt>
                <c:pt idx="85">
                  <c:v>BNI - Efficient Product Rebates; LED High Bay Fixture; COM-Lighting; Other Commercial</c:v>
                </c:pt>
                <c:pt idx="86">
                  <c:v>BNI - Efficient Product Rebates; LED Low Bay Fixture; COM-Lighting; Other Commercial</c:v>
                </c:pt>
                <c:pt idx="87">
                  <c:v>BNI- Direct Installation; Relamp/Reballast-Retrofit (dual baseline)-BES; COM-Lighting; Other Commercial</c:v>
                </c:pt>
                <c:pt idx="88">
                  <c:v>BNI - Efficient Product Rebates; Relamp/Reballast-Retrofit (dual baseline); COM-Lighting; Other Commercial</c:v>
                </c:pt>
                <c:pt idx="89">
                  <c:v>BNI - Efficient Product Rebates; LED Low Bay Fixture; COM-Lighting; School</c:v>
                </c:pt>
                <c:pt idx="90">
                  <c:v>BNI - Efficient Product Rebates; Relamp/Reballast-Retrofit (dual baseline); COM-Lighting; School</c:v>
                </c:pt>
                <c:pt idx="91">
                  <c:v>BNI - Efficient Product Rebates; LED High Bay Fixture; COM-Lighting; School</c:v>
                </c:pt>
                <c:pt idx="92">
                  <c:v>BNI - Efficient Product Rebates; LED Low Bay Fixture; COM-Lighting; Retail</c:v>
                </c:pt>
                <c:pt idx="93">
                  <c:v>BNI- Direct Installation; Relamp/Reballast-Retrofit (dual baseline)-BES; COM-Lighting; Retail</c:v>
                </c:pt>
                <c:pt idx="94">
                  <c:v>BNI - Efficient Product Rebates; LED High Bay Fixture; COM-Lighting; Retail</c:v>
                </c:pt>
                <c:pt idx="95">
                  <c:v>BNI - Efficient Product Rebates; Relamp/Reballast-Retrofit (dual baseline); COM-Lighting; Retail</c:v>
                </c:pt>
                <c:pt idx="96">
                  <c:v>BNI - Efficient Product Rebates; LED Linear Replacement Lamps; IND; Industrial </c:v>
                </c:pt>
                <c:pt idx="97">
                  <c:v>BNI - Efficient Product Rebates; LED Lamps-End of Life; IND; Industrial </c:v>
                </c:pt>
                <c:pt idx="98">
                  <c:v>BNI - Efficient Product Rebates; T8 Dimmable Stairwell Lighting; IND; Industrial </c:v>
                </c:pt>
                <c:pt idx="99">
                  <c:v>BNI - Efficient Product Rebates; LED Lamps-Retrofit (dual baseline); IND; Industrial </c:v>
                </c:pt>
                <c:pt idx="100">
                  <c:v>Existing Residential; DHW Tank Wrap; RES-Water Heat; MURB</c:v>
                </c:pt>
                <c:pt idx="101">
                  <c:v>BNI - Efficient Product Rebates; ENERGY STAR® Ice Making Head; COM-Refrigeration; Retail</c:v>
                </c:pt>
                <c:pt idx="102">
                  <c:v>BNI - Efficient Product Rebates; Relamp/Reballast-Retrofit (dual baseline); IND; Industrial </c:v>
                </c:pt>
                <c:pt idx="103">
                  <c:v>BNI - Efficient Product Rebates; LED Low Bay Fixture; IND; Industrial </c:v>
                </c:pt>
                <c:pt idx="104">
                  <c:v>BNI - Efficient Product Rebates; LED High Bay Fixture; IND; Industrial </c:v>
                </c:pt>
                <c:pt idx="105">
                  <c:v>BNI - Efficient Product Rebates; LED Exterior Fixtures-End of Life replacement; COM-Lighting; Office</c:v>
                </c:pt>
                <c:pt idx="106">
                  <c:v>BNI - Efficient Product Rebates; LED Exterior Fixtures-End of Life replacement; COM-Lighting; Other Commercial</c:v>
                </c:pt>
                <c:pt idx="107">
                  <c:v>BNI - Efficient Product Rebates; LED Exterior Fixtures-End of Life replacement; COM-Lighting; Retail</c:v>
                </c:pt>
                <c:pt idx="108">
                  <c:v>BNI - Efficient Product Rebates; LED Exterior Fixtures-End of Life replacement; COM-Lighting; School</c:v>
                </c:pt>
                <c:pt idx="109">
                  <c:v>BNI - Efficient Product Rebates; LED Exterior Fixtures-End of Life replacement; IND; Industrial </c:v>
                </c:pt>
                <c:pt idx="110">
                  <c:v>BNI - Efficient Product Rebates; Single-Tank Conveyor Dishwasher (Low Temp); COM-Other; Retail</c:v>
                </c:pt>
                <c:pt idx="111">
                  <c:v>Existing Residential; Low Flow (1.25 GPM) showerhead; RES-Water Heat; RES-SF</c:v>
                </c:pt>
                <c:pt idx="112">
                  <c:v>Existing Residential; DHW Tank Wrap; RES-Water Heat; RES-SF</c:v>
                </c:pt>
                <c:pt idx="113">
                  <c:v>New Residential; EnerGuide 83 New Home; RES-Package; RES-NC</c:v>
                </c:pt>
                <c:pt idx="114">
                  <c:v>BNI - Efficient Product Rebates; Single Tank Door Dishwasher with Booster (High Temp); COM-Other; Retail</c:v>
                </c:pt>
                <c:pt idx="115">
                  <c:v>Existing Residential; 1W LED Nightlight; RES-Lighting; MURB</c:v>
                </c:pt>
                <c:pt idx="116">
                  <c:v>Existing Residential; 12 W LED; RES-Lighting; MURB</c:v>
                </c:pt>
                <c:pt idx="117">
                  <c:v>BNI - Efficient Product Rebates; ENERGY STAR® Remote Condensing Head/Split System Ice Maker; COM-Refrigeration; Retail</c:v>
                </c:pt>
                <c:pt idx="118">
                  <c:v>BNI - Efficient Product Rebates; Multi Tank Conveyor Dishwasher with Booster (High Temp); COM-Other; Retail</c:v>
                </c:pt>
                <c:pt idx="119">
                  <c:v>Existing Residential; 1W LED Nightlight; RES-Lighting; RES-SF</c:v>
                </c:pt>
                <c:pt idx="120">
                  <c:v>New Residential; EnerGuide 85 New Home; RES-Package; RES-NC</c:v>
                </c:pt>
                <c:pt idx="121">
                  <c:v>New Residential; EnerGuide 86 New Home; RES-Package; RES-NC</c:v>
                </c:pt>
                <c:pt idx="122">
                  <c:v>Existing Residential; Building Envelope Retrofits (Insulation, Draft Proofing, EnergyStar Windows and Doors); RES-HVAC/Shell; RES-SF</c:v>
                </c:pt>
                <c:pt idx="123">
                  <c:v>Residential - Efficient Product Rebates; Indoor Motion Sensor; RES-Lighting; RES-SF</c:v>
                </c:pt>
                <c:pt idx="124">
                  <c:v>New Residential; EnerGuide 87 New Home; RES-Package; RES-NC</c:v>
                </c:pt>
                <c:pt idx="125">
                  <c:v>New Residential; EnerGuide 88 New Home; RES-Package; RES-NC</c:v>
                </c:pt>
                <c:pt idx="126">
                  <c:v>New Residential; EnerGuide 88+ New Home; RES-Package; RES-NC</c:v>
                </c:pt>
                <c:pt idx="127">
                  <c:v>Existing Residential; Low Flow Faucet Aerator, 1.5 GPM; RES-Water Heat; MURB</c:v>
                </c:pt>
                <c:pt idx="128">
                  <c:v>BNI - Efficient Product Rebates; Under Counter Commercial Dishwasher (Low Temp); COM-Other; Retail</c:v>
                </c:pt>
                <c:pt idx="129">
                  <c:v>BNI - Efficient Product Rebates; Single Tank Conveyor Dishwasher with Booster (High Temp); COM-Other; Retail</c:v>
                </c:pt>
                <c:pt idx="130">
                  <c:v>BNI - Efficient Product Rebates; Under Counter Dishwasher with Booster (High Temp); COM-Other; Retail</c:v>
                </c:pt>
                <c:pt idx="131">
                  <c:v>Existing Residential; 5W Chandelier LED bulb; RES-Lighting; MURB</c:v>
                </c:pt>
                <c:pt idx="132">
                  <c:v>Residential - Efficient Product Rebates; ENERGY STAR® LED Lamps; RES-Lighting; RES-SF</c:v>
                </c:pt>
                <c:pt idx="133">
                  <c:v>Custom Incentives; Whole Building 40% Over Baseline; COM-Other; New Construction - BNI</c:v>
                </c:pt>
                <c:pt idx="134">
                  <c:v>Custom Incentives; Whole Building 20% Over Baseline; COM-Other; New Construction - BNI</c:v>
                </c:pt>
                <c:pt idx="135">
                  <c:v>Existing Residential; 8 W LED; RES-Lighting; MURB</c:v>
                </c:pt>
                <c:pt idx="136">
                  <c:v>Existing Residential; 10.5 W LED; RES-Lighting; RES-SF</c:v>
                </c:pt>
                <c:pt idx="137">
                  <c:v>Residential - Efficient Product Rebates; Outdoor Motion Sensor; RES-Lighting; RES-SF</c:v>
                </c:pt>
                <c:pt idx="138">
                  <c:v>Existing Residential; Certified Pellet Boiler or Furnace Supplemented by Baseboard Heat (Whole Home); RES-HVAC/Shell; RES-SF</c:v>
                </c:pt>
                <c:pt idx="139">
                  <c:v>Existing Residential; Certified Wood Boiler or Furnace; RES-HVAC/Shell; RES-SF</c:v>
                </c:pt>
                <c:pt idx="140">
                  <c:v>Existing Residential; 12 W LED; RES-Lighting; MURB</c:v>
                </c:pt>
                <c:pt idx="141">
                  <c:v>Existing Residential; Ground Source Heat Pump; RES-HVAC/Shell; RES-SF</c:v>
                </c:pt>
                <c:pt idx="142">
                  <c:v>Existing Residential; ENERGY STAR® Windows (300 ft2) (Replace Double Pane); RES-HVAC/Shell; RES-SF</c:v>
                </c:pt>
                <c:pt idx="143">
                  <c:v>Existing Residential; 11 W LED; RES-Lighting; RES-SF</c:v>
                </c:pt>
                <c:pt idx="144">
                  <c:v>Existing Residential; Solar DHW; RES-Water Heat; RES-SF</c:v>
                </c:pt>
                <c:pt idx="145">
                  <c:v>Residential - Efficient Product Rebates; Heavy Duty Outdoor Timer; RES-Plug Load; RES-SF</c:v>
                </c:pt>
                <c:pt idx="146">
                  <c:v>Existing Residential; ENERGY STAR® Windows (Replace Single Pane); RES-HVAC/Shell; RES-SF</c:v>
                </c:pt>
                <c:pt idx="147">
                  <c:v>Existing Residential; ENERGY STAR® Air Source Heat Pump; RES-HVAC/Shell; RES-SF</c:v>
                </c:pt>
                <c:pt idx="148">
                  <c:v>Existing Residential; Certified Pellet Stove; RES-HVAC/Shell; RES-SF</c:v>
                </c:pt>
                <c:pt idx="149">
                  <c:v>Existing Residential; Low Flow Faucet Aerator, 1.5 GPM; RES-Water Heat; RES-SF</c:v>
                </c:pt>
                <c:pt idx="150">
                  <c:v>Existing Residential; Certified Wood Stove; RES-HVAC/Shell; RES-SF</c:v>
                </c:pt>
                <c:pt idx="151">
                  <c:v>BNI - Efficient Product Rebates; ENERGY STAR®, CEE Tier 2 or CEE Tier 3 Commercial Clothes Washer; COM-Other; Other Commercial</c:v>
                </c:pt>
              </c:strCache>
            </c:strRef>
          </c:cat>
          <c:val>
            <c:numRef>
              <c:f>('TRC Figure'!$D$1:$D$151,'TRC Figure'!$D$238)</c:f>
              <c:numCache>
                <c:formatCode>0.0%</c:formatCode>
                <c:ptCount val="152"/>
                <c:pt idx="0">
                  <c:v>4.5861089251435398</c:v>
                </c:pt>
                <c:pt idx="1">
                  <c:v>3.1866442440433622</c:v>
                </c:pt>
                <c:pt idx="2">
                  <c:v>3.1866442440433622</c:v>
                </c:pt>
                <c:pt idx="3">
                  <c:v>3.1866442440433622</c:v>
                </c:pt>
                <c:pt idx="4">
                  <c:v>2.2744104935979039</c:v>
                </c:pt>
                <c:pt idx="5">
                  <c:v>1.9923918712611461</c:v>
                </c:pt>
                <c:pt idx="6">
                  <c:v>1.2250215724709745</c:v>
                </c:pt>
                <c:pt idx="7">
                  <c:v>1.2250215724709748</c:v>
                </c:pt>
                <c:pt idx="8">
                  <c:v>1.2250215724709748</c:v>
                </c:pt>
                <c:pt idx="9">
                  <c:v>1.2250215724709741</c:v>
                </c:pt>
                <c:pt idx="10">
                  <c:v>1.2197980852340091</c:v>
                </c:pt>
                <c:pt idx="11">
                  <c:v>1.2197980852340087</c:v>
                </c:pt>
                <c:pt idx="12">
                  <c:v>1.2197980852340087</c:v>
                </c:pt>
                <c:pt idx="13">
                  <c:v>1.2197980852340089</c:v>
                </c:pt>
                <c:pt idx="14">
                  <c:v>1.1987593318200451</c:v>
                </c:pt>
                <c:pt idx="15">
                  <c:v>1.1987593318200449</c:v>
                </c:pt>
                <c:pt idx="16">
                  <c:v>1.1987593318200449</c:v>
                </c:pt>
                <c:pt idx="17">
                  <c:v>1.1987593318200447</c:v>
                </c:pt>
                <c:pt idx="18">
                  <c:v>1.1892455167643214</c:v>
                </c:pt>
                <c:pt idx="19">
                  <c:v>1.1892455167643219</c:v>
                </c:pt>
                <c:pt idx="20">
                  <c:v>1.1892455167643214</c:v>
                </c:pt>
                <c:pt idx="21">
                  <c:v>1.1892455167643219</c:v>
                </c:pt>
                <c:pt idx="22">
                  <c:v>1.2346371080936145</c:v>
                </c:pt>
                <c:pt idx="23">
                  <c:v>0.71277583546523704</c:v>
                </c:pt>
                <c:pt idx="24">
                  <c:v>0.71277583546523704</c:v>
                </c:pt>
                <c:pt idx="25">
                  <c:v>0.64865052878572238</c:v>
                </c:pt>
                <c:pt idx="26">
                  <c:v>0.64865052878572227</c:v>
                </c:pt>
                <c:pt idx="27">
                  <c:v>0.64865052878572249</c:v>
                </c:pt>
                <c:pt idx="28">
                  <c:v>0.58883603022432041</c:v>
                </c:pt>
                <c:pt idx="29">
                  <c:v>0.58883603022432041</c:v>
                </c:pt>
                <c:pt idx="30">
                  <c:v>0.56728937213221531</c:v>
                </c:pt>
                <c:pt idx="31">
                  <c:v>0.49390347884116831</c:v>
                </c:pt>
                <c:pt idx="32">
                  <c:v>0.46581271067122532</c:v>
                </c:pt>
                <c:pt idx="33">
                  <c:v>0.47030285003894146</c:v>
                </c:pt>
                <c:pt idx="34">
                  <c:v>0.47438315329571579</c:v>
                </c:pt>
                <c:pt idx="35">
                  <c:v>0.45667022164573157</c:v>
                </c:pt>
                <c:pt idx="36">
                  <c:v>0.46896505945330452</c:v>
                </c:pt>
                <c:pt idx="37">
                  <c:v>0.46896505945330441</c:v>
                </c:pt>
                <c:pt idx="38">
                  <c:v>0.46896505945330408</c:v>
                </c:pt>
                <c:pt idx="39">
                  <c:v>0.41794367727732951</c:v>
                </c:pt>
                <c:pt idx="40">
                  <c:v>0.40801314487638046</c:v>
                </c:pt>
                <c:pt idx="41">
                  <c:v>0.40801314487638041</c:v>
                </c:pt>
                <c:pt idx="42">
                  <c:v>0.40801314487638052</c:v>
                </c:pt>
                <c:pt idx="43">
                  <c:v>0.40465928299847476</c:v>
                </c:pt>
                <c:pt idx="44">
                  <c:v>0.40465928299847487</c:v>
                </c:pt>
                <c:pt idx="45">
                  <c:v>0.40465928299847481</c:v>
                </c:pt>
                <c:pt idx="46">
                  <c:v>0.43472086730880294</c:v>
                </c:pt>
                <c:pt idx="47">
                  <c:v>0.40054257912510727</c:v>
                </c:pt>
                <c:pt idx="48">
                  <c:v>0.39899565696396988</c:v>
                </c:pt>
                <c:pt idx="49">
                  <c:v>0.39899565696396982</c:v>
                </c:pt>
                <c:pt idx="50">
                  <c:v>0.39899565696396971</c:v>
                </c:pt>
                <c:pt idx="51">
                  <c:v>0.42926791244996948</c:v>
                </c:pt>
                <c:pt idx="52">
                  <c:v>0.42514130330014072</c:v>
                </c:pt>
                <c:pt idx="53">
                  <c:v>0.37917612056812583</c:v>
                </c:pt>
                <c:pt idx="54">
                  <c:v>0.37917612056812583</c:v>
                </c:pt>
                <c:pt idx="55">
                  <c:v>0.37917612056812583</c:v>
                </c:pt>
                <c:pt idx="56">
                  <c:v>0.37917612056812583</c:v>
                </c:pt>
                <c:pt idx="57">
                  <c:v>0.37917612056812583</c:v>
                </c:pt>
                <c:pt idx="58">
                  <c:v>0.37917612056812589</c:v>
                </c:pt>
                <c:pt idx="59">
                  <c:v>0.37917612056812589</c:v>
                </c:pt>
                <c:pt idx="60">
                  <c:v>0.37917612056812589</c:v>
                </c:pt>
                <c:pt idx="61">
                  <c:v>0.37917612056812589</c:v>
                </c:pt>
                <c:pt idx="62">
                  <c:v>0.37917612056812589</c:v>
                </c:pt>
                <c:pt idx="63">
                  <c:v>0.3790891947555704</c:v>
                </c:pt>
                <c:pt idx="64">
                  <c:v>0.37908919475557001</c:v>
                </c:pt>
                <c:pt idx="65">
                  <c:v>0.37908919475557018</c:v>
                </c:pt>
                <c:pt idx="66">
                  <c:v>0.37908919475557046</c:v>
                </c:pt>
                <c:pt idx="67">
                  <c:v>0.37908919475557046</c:v>
                </c:pt>
                <c:pt idx="68">
                  <c:v>0.37451469984598762</c:v>
                </c:pt>
                <c:pt idx="69">
                  <c:v>0.37451469984598751</c:v>
                </c:pt>
                <c:pt idx="70">
                  <c:v>0.37451469984598751</c:v>
                </c:pt>
                <c:pt idx="71">
                  <c:v>0.3745146998459879</c:v>
                </c:pt>
                <c:pt idx="72">
                  <c:v>0.37451469984598773</c:v>
                </c:pt>
                <c:pt idx="73">
                  <c:v>0.37451469984598773</c:v>
                </c:pt>
                <c:pt idx="74">
                  <c:v>0.36959385476060935</c:v>
                </c:pt>
                <c:pt idx="75">
                  <c:v>0.36959385476060941</c:v>
                </c:pt>
                <c:pt idx="76">
                  <c:v>0.36959385476060896</c:v>
                </c:pt>
                <c:pt idx="77">
                  <c:v>0.36587387271206179</c:v>
                </c:pt>
                <c:pt idx="78">
                  <c:v>0.36587387271206179</c:v>
                </c:pt>
                <c:pt idx="79">
                  <c:v>0.36587387271206195</c:v>
                </c:pt>
                <c:pt idx="80">
                  <c:v>0.36587387271206184</c:v>
                </c:pt>
                <c:pt idx="81">
                  <c:v>0.36587387271206173</c:v>
                </c:pt>
                <c:pt idx="82">
                  <c:v>0.34498160624919411</c:v>
                </c:pt>
                <c:pt idx="83">
                  <c:v>0.34498160624919411</c:v>
                </c:pt>
                <c:pt idx="84">
                  <c:v>0.34498160624919411</c:v>
                </c:pt>
                <c:pt idx="85">
                  <c:v>0.34089952813916174</c:v>
                </c:pt>
                <c:pt idx="86">
                  <c:v>0.34089952813916158</c:v>
                </c:pt>
                <c:pt idx="87">
                  <c:v>0.34089952813916169</c:v>
                </c:pt>
                <c:pt idx="88">
                  <c:v>0.34089952813916169</c:v>
                </c:pt>
                <c:pt idx="89">
                  <c:v>0.33650621989511281</c:v>
                </c:pt>
                <c:pt idx="90">
                  <c:v>0.33650621989511242</c:v>
                </c:pt>
                <c:pt idx="91">
                  <c:v>0.33650621989511265</c:v>
                </c:pt>
                <c:pt idx="92">
                  <c:v>0.33318354808967293</c:v>
                </c:pt>
                <c:pt idx="93">
                  <c:v>0.33318354808967315</c:v>
                </c:pt>
                <c:pt idx="94">
                  <c:v>0.33318354808967304</c:v>
                </c:pt>
                <c:pt idx="95">
                  <c:v>0.33318354808967326</c:v>
                </c:pt>
                <c:pt idx="96">
                  <c:v>0.33963532158215359</c:v>
                </c:pt>
                <c:pt idx="97">
                  <c:v>0.33963532158215359</c:v>
                </c:pt>
                <c:pt idx="98">
                  <c:v>0.33963532158215365</c:v>
                </c:pt>
                <c:pt idx="99">
                  <c:v>0.3396353215821537</c:v>
                </c:pt>
                <c:pt idx="100">
                  <c:v>0.35022151647503219</c:v>
                </c:pt>
                <c:pt idx="101">
                  <c:v>0.33577031010181413</c:v>
                </c:pt>
                <c:pt idx="102">
                  <c:v>0.30971091756829955</c:v>
                </c:pt>
                <c:pt idx="103">
                  <c:v>0.30971091756829949</c:v>
                </c:pt>
                <c:pt idx="104">
                  <c:v>0.30971091756829938</c:v>
                </c:pt>
                <c:pt idx="105">
                  <c:v>0.31614264138282328</c:v>
                </c:pt>
                <c:pt idx="106">
                  <c:v>0.31614264138282328</c:v>
                </c:pt>
                <c:pt idx="107">
                  <c:v>0.31614264138282328</c:v>
                </c:pt>
                <c:pt idx="108">
                  <c:v>0.31614264138282328</c:v>
                </c:pt>
                <c:pt idx="109">
                  <c:v>0.3153617667311443</c:v>
                </c:pt>
                <c:pt idx="110">
                  <c:v>0.29323668571160399</c:v>
                </c:pt>
                <c:pt idx="111">
                  <c:v>0.28589018460920423</c:v>
                </c:pt>
                <c:pt idx="112">
                  <c:v>0.29652690056293624</c:v>
                </c:pt>
                <c:pt idx="113">
                  <c:v>0.25293585704655464</c:v>
                </c:pt>
                <c:pt idx="114">
                  <c:v>0.23208747887355</c:v>
                </c:pt>
                <c:pt idx="115">
                  <c:v>0.23633290944561505</c:v>
                </c:pt>
                <c:pt idx="116">
                  <c:v>0.23291172218002998</c:v>
                </c:pt>
                <c:pt idx="117">
                  <c:v>0.22652429799630475</c:v>
                </c:pt>
                <c:pt idx="118">
                  <c:v>0.20485172617018638</c:v>
                </c:pt>
                <c:pt idx="119">
                  <c:v>0.19126154200463513</c:v>
                </c:pt>
                <c:pt idx="120">
                  <c:v>0.18066846931896768</c:v>
                </c:pt>
                <c:pt idx="121">
                  <c:v>0.1580849106540968</c:v>
                </c:pt>
                <c:pt idx="122">
                  <c:v>0.1591749457505694</c:v>
                </c:pt>
                <c:pt idx="123">
                  <c:v>0.15467706004248297</c:v>
                </c:pt>
                <c:pt idx="124">
                  <c:v>0.14050222062921097</c:v>
                </c:pt>
                <c:pt idx="125">
                  <c:v>0.12646792852327712</c:v>
                </c:pt>
                <c:pt idx="126">
                  <c:v>0.1149708441120702</c:v>
                </c:pt>
                <c:pt idx="127">
                  <c:v>0.10730163737185326</c:v>
                </c:pt>
                <c:pt idx="128">
                  <c:v>9.6474676151997077E-2</c:v>
                </c:pt>
                <c:pt idx="129">
                  <c:v>9.5865839559562807E-2</c:v>
                </c:pt>
                <c:pt idx="130">
                  <c:v>7.4357847662596663E-2</c:v>
                </c:pt>
                <c:pt idx="131">
                  <c:v>7.3200826970866495E-2</c:v>
                </c:pt>
                <c:pt idx="132">
                  <c:v>6.8000879783409213E-2</c:v>
                </c:pt>
                <c:pt idx="133">
                  <c:v>6.4185100037410375E-2</c:v>
                </c:pt>
                <c:pt idx="134">
                  <c:v>6.4185100037410334E-2</c:v>
                </c:pt>
                <c:pt idx="135">
                  <c:v>5.9123744861084231E-2</c:v>
                </c:pt>
                <c:pt idx="136">
                  <c:v>5.1838968588585985E-2</c:v>
                </c:pt>
                <c:pt idx="137">
                  <c:v>4.8778054921906532E-2</c:v>
                </c:pt>
                <c:pt idx="138">
                  <c:v>4.2349131737892044E-2</c:v>
                </c:pt>
                <c:pt idx="139">
                  <c:v>4.2229484089545334E-2</c:v>
                </c:pt>
                <c:pt idx="140">
                  <c:v>4.2663058664002079E-2</c:v>
                </c:pt>
                <c:pt idx="141">
                  <c:v>4.1592524732810048E-2</c:v>
                </c:pt>
                <c:pt idx="142">
                  <c:v>3.5419561810447898E-2</c:v>
                </c:pt>
                <c:pt idx="143">
                  <c:v>3.2372358888143091E-2</c:v>
                </c:pt>
                <c:pt idx="144">
                  <c:v>2.269134034636074E-2</c:v>
                </c:pt>
                <c:pt idx="145">
                  <c:v>2.0197163391363428E-2</c:v>
                </c:pt>
                <c:pt idx="146">
                  <c:v>1.0995385600190028E-2</c:v>
                </c:pt>
                <c:pt idx="147">
                  <c:v>9.9937871302036227E-3</c:v>
                </c:pt>
                <c:pt idx="148">
                  <c:v>6.9803030630826209E-3</c:v>
                </c:pt>
                <c:pt idx="149">
                  <c:v>6.7882553982817166E-3</c:v>
                </c:pt>
                <c:pt idx="150">
                  <c:v>5.9883687773777568E-3</c:v>
                </c:pt>
                <c:pt idx="151">
                  <c:v>-9.5829051758464165E-2</c:v>
                </c:pt>
              </c:numCache>
            </c:numRef>
          </c:val>
        </c:ser>
        <c:dLbls>
          <c:showLegendKey val="0"/>
          <c:showVal val="1"/>
          <c:showCatName val="0"/>
          <c:showSerName val="0"/>
          <c:showPercent val="0"/>
          <c:showBubbleSize val="0"/>
        </c:dLbls>
        <c:gapWidth val="182"/>
        <c:axId val="241328896"/>
        <c:axId val="241331584"/>
      </c:barChart>
      <c:catAx>
        <c:axId val="241328896"/>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t"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241331584"/>
        <c:crosses val="autoZero"/>
        <c:auto val="0"/>
        <c:lblAlgn val="ctr"/>
        <c:lblOffset val="100"/>
        <c:noMultiLvlLbl val="0"/>
      </c:catAx>
      <c:valAx>
        <c:axId val="241331584"/>
        <c:scaling>
          <c:orientation val="minMax"/>
          <c:max val="3.2"/>
          <c:min val="-0.1"/>
        </c:scaling>
        <c:delete val="0"/>
        <c:axPos val="b"/>
        <c:majorGridlines>
          <c:spPr>
            <a:ln w="9525" cap="flat" cmpd="sng" algn="ctr">
              <a:solidFill>
                <a:schemeClr val="tx1">
                  <a:lumMod val="15000"/>
                  <a:lumOff val="85000"/>
                </a:schemeClr>
              </a:solidFill>
              <a:round/>
              <a:headEnd w="lg" len="lg"/>
            </a:ln>
            <a:effectLst/>
          </c:spPr>
        </c:majorGridlines>
        <c:minorGridlines>
          <c:spPr>
            <a:ln w="9525" cap="flat" cmpd="sng" algn="ctr">
              <a:solidFill>
                <a:schemeClr val="tx1">
                  <a:lumMod val="5000"/>
                  <a:lumOff val="95000"/>
                </a:schemeClr>
              </a:solidFill>
              <a:round/>
            </a:ln>
            <a:effectLst/>
          </c:spPr>
        </c:minorGridlines>
        <c:numFmt formatCode="0.0%" sourceLinked="1"/>
        <c:majorTickMark val="none"/>
        <c:minorTickMark val="cross"/>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1328896"/>
        <c:crossesAt val="1"/>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dLbl>
              <c:idx val="0"/>
              <c:layout>
                <c:manualLayout>
                  <c:x val="8.5470123817270607E-2"/>
                  <c:y val="-7.0512856103803812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7.4074107308301301E-2"/>
                  <c:y val="8.333337539540450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'TRC Figure'!$V$3:$V$4</c:f>
              <c:strCache>
                <c:ptCount val="2"/>
                <c:pt idx="0">
                  <c:v>No change to TRC</c:v>
                </c:pt>
                <c:pt idx="1">
                  <c:v>Total measures</c:v>
                </c:pt>
              </c:strCache>
            </c:strRef>
          </c:cat>
          <c:val>
            <c:numRef>
              <c:f>'TRC Figure'!$W$3:$W$4</c:f>
              <c:numCache>
                <c:formatCode>General</c:formatCode>
                <c:ptCount val="2"/>
                <c:pt idx="0">
                  <c:v>82</c:v>
                </c:pt>
                <c:pt idx="1">
                  <c:v>156</c:v>
                </c:pt>
              </c:numCache>
            </c:numRef>
          </c:val>
        </c:ser>
        <c:dLbls>
          <c:showLegendKey val="0"/>
          <c:showVal val="0"/>
          <c:showCatName val="0"/>
          <c:showSerName val="0"/>
          <c:showPercent val="0"/>
          <c:showBubbleSize val="0"/>
          <c:showLeaderLines val="0"/>
        </c:dLbls>
        <c:firstSliceAng val="0"/>
        <c:holeSize val="75"/>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TRC Test Impact Due</a:t>
            </a:r>
            <a:r>
              <a:rPr lang="en-US" baseline="0"/>
              <a:t> to NEB Addition (% change)</a:t>
            </a:r>
          </a:p>
        </c:rich>
      </c:tx>
      <c:layout>
        <c:manualLayout>
          <c:xMode val="edge"/>
          <c:yMode val="edge"/>
          <c:x val="0.35643705900343081"/>
          <c:y val="0"/>
        </c:manualLayout>
      </c:layout>
      <c:overlay val="0"/>
      <c:spPr>
        <a:noFill/>
        <a:ln>
          <a:noFill/>
        </a:ln>
        <a:effectLst/>
      </c:spPr>
    </c:title>
    <c:autoTitleDeleted val="0"/>
    <c:plotArea>
      <c:layout>
        <c:manualLayout>
          <c:layoutTarget val="inner"/>
          <c:xMode val="edge"/>
          <c:yMode val="edge"/>
          <c:x val="0.49371445362936411"/>
          <c:y val="1.3618768178585572E-2"/>
          <c:w val="0.7541723688091736"/>
          <c:h val="0.97956280326007938"/>
        </c:manualLayout>
      </c:layout>
      <c:barChart>
        <c:barDir val="bar"/>
        <c:grouping val="clustered"/>
        <c:varyColors val="0"/>
        <c:ser>
          <c:idx val="0"/>
          <c:order val="0"/>
          <c:spPr>
            <a:solidFill>
              <a:schemeClr val="accent1"/>
            </a:solidFill>
            <a:ln>
              <a:noFill/>
            </a:ln>
            <a:effectLst/>
          </c:spPr>
          <c:invertIfNegative val="0"/>
          <c:dLbls>
            <c:dLbl>
              <c:idx val="119"/>
              <c:layout>
                <c:manualLayout>
                  <c:x val="1.3484898873050409E-4"/>
                  <c:y val="1.6203003242746741E-4"/>
                </c:manualLayout>
              </c:layout>
              <c:showLegendKey val="0"/>
              <c:showVal val="1"/>
              <c:showCatName val="0"/>
              <c:showSerName val="0"/>
              <c:showPercent val="0"/>
              <c:showBubbleSize val="0"/>
              <c:extLst>
                <c:ext xmlns:c15="http://schemas.microsoft.com/office/drawing/2012/chart" uri="{CE6537A1-D6FC-4f65-9D91-7224C49458BB}"/>
              </c:extLst>
            </c:dLbl>
            <c:dLbl>
              <c:idx val="237"/>
              <c:layout>
                <c:manualLayout>
                  <c:x val="-4.1422219666770815E-2"/>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overflow" horzOverflow="overflow" vert="horz" wrap="square" lIns="0" tIns="19050" rIns="0" bIns="19050" anchor="t"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0"/>
              </c:ext>
            </c:extLst>
          </c:dLbls>
          <c:cat>
            <c:strRef>
              <c:f>'TRC Figure'!$A$1:$A$238</c:f>
              <c:strCache>
                <c:ptCount val="238"/>
                <c:pt idx="0">
                  <c:v>Residential - Efficient Product Rebates; Room A/C Retirement; RES-HVAC/Shell; RES-SF</c:v>
                </c:pt>
                <c:pt idx="1">
                  <c:v>BNI- Direct Installation; Faucet Aerator; COM-Other; Office</c:v>
                </c:pt>
                <c:pt idx="2">
                  <c:v>BNI- Direct Installation; Faucet Aerator; COM-Other; Other Commercial</c:v>
                </c:pt>
                <c:pt idx="3">
                  <c:v>BNI- Direct Installation; Faucet Aerator; COM-Other; Retail</c:v>
                </c:pt>
                <c:pt idx="4">
                  <c:v>Existing Residential; DHW Pipe Insulation; RES-Water Heat; MURB</c:v>
                </c:pt>
                <c:pt idx="5">
                  <c:v>BNI- Direct Installation; Low Flow Showerheads; COM-Other; Other Commercial</c:v>
                </c:pt>
                <c:pt idx="6">
                  <c:v>BNI- Direct Installation; Ground Source Heat Pump; COM-HVAC; School</c:v>
                </c:pt>
                <c:pt idx="7">
                  <c:v>BNI- Direct Installation; Ground/Water Source Heat Pumps; COM-HVAC; School</c:v>
                </c:pt>
                <c:pt idx="8">
                  <c:v>BNI- Direct Installation; High-Efficiency Air Source Heat Pumps; COM-HVAC; School</c:v>
                </c:pt>
                <c:pt idx="9">
                  <c:v>BNI- Direct Installation; High-Efficiency Air Source Heat Pumps; COM-HVAC; School</c:v>
                </c:pt>
                <c:pt idx="10">
                  <c:v>BNI- Direct Installation; Ground Source Heat Pump; COM-HVAC; Retail</c:v>
                </c:pt>
                <c:pt idx="11">
                  <c:v>BNI- Direct Installation; Ground/Water Source Heat Pumps; COM-HVAC; Retail</c:v>
                </c:pt>
                <c:pt idx="12">
                  <c:v>BNI- Direct Installation; High-Efficiency Air Source Heat Pumps; COM-HVAC; Retail</c:v>
                </c:pt>
                <c:pt idx="13">
                  <c:v>BNI- Direct Installation; High-Efficiency Air Source Heat Pumps; COM-HVAC; Retail</c:v>
                </c:pt>
                <c:pt idx="14">
                  <c:v>BNI- Direct Installation; High-Efficiency Air Source Heat Pumps; COM-HVAC; Other Commercial</c:v>
                </c:pt>
                <c:pt idx="15">
                  <c:v>BNI- Direct Installation; High-Efficiency Air Source Heat Pumps; COM-HVAC; Other Commercial</c:v>
                </c:pt>
                <c:pt idx="16">
                  <c:v>BNI- Direct Installation; Ground/Water Source Heat Pumps; COM-HVAC; Other Commercial</c:v>
                </c:pt>
                <c:pt idx="17">
                  <c:v>BNI- Direct Installation; Ground Source Heat Pump; COM-HVAC; Other Commercial</c:v>
                </c:pt>
                <c:pt idx="18">
                  <c:v>BNI- Direct Installation; Ground Source Heat Pump; COM-HVAC; Office</c:v>
                </c:pt>
                <c:pt idx="19">
                  <c:v>BNI- Direct Installation; Ground/Water Source Heat Pumps; COM-HVAC; Office</c:v>
                </c:pt>
                <c:pt idx="20">
                  <c:v>BNI- Direct Installation; High-Efficiency Air Source Heat Pumps; COM-HVAC; Office</c:v>
                </c:pt>
                <c:pt idx="21">
                  <c:v>BNI- Direct Installation; High-Efficiency Air Source Heat Pumps; COM-HVAC; Office</c:v>
                </c:pt>
                <c:pt idx="22">
                  <c:v>BNI - Efficient Product Rebates; ENERGY STAR® Self Contained Ice Maker; COM-Refrigeration; Retail</c:v>
                </c:pt>
                <c:pt idx="23">
                  <c:v>BNI- Direct Installation; DHW Tank Wrap; COM-Other; Office</c:v>
                </c:pt>
                <c:pt idx="24">
                  <c:v>BNI- Direct Installation; DHW Tank Wrap; COM-Other; Retail</c:v>
                </c:pt>
                <c:pt idx="25">
                  <c:v>BNI - Efficient Product Rebates; Solid Door Commercial Freezer; COM-Refrigeration; Retail</c:v>
                </c:pt>
                <c:pt idx="26">
                  <c:v>BNI - Efficient Product Rebates; Glass Door Commercial Refrigerator; COM-Refrigeration; Retail</c:v>
                </c:pt>
                <c:pt idx="27">
                  <c:v>BNI - Efficient Product Rebates; Solid Door Commercial Refrigerator; COM-Refrigeration; Retail</c:v>
                </c:pt>
                <c:pt idx="28">
                  <c:v>BNI- Direct Installation; DHW Pipe Insulation; COM-Other; Office</c:v>
                </c:pt>
                <c:pt idx="29">
                  <c:v>BNI- Direct Installation; DHW Pipe Insulation; COM-Other; Retail</c:v>
                </c:pt>
                <c:pt idx="30">
                  <c:v>Existing Residential; DHW Pipe Insulation; RES-Water Heat; RES-SF</c:v>
                </c:pt>
                <c:pt idx="31">
                  <c:v>BNI - Efficient Product Rebates; Single-Tank Door Type Dishwasher (Low Temp); COM-Other; Retail</c:v>
                </c:pt>
                <c:pt idx="32">
                  <c:v>BNI - Efficient Product Rebates; Multi-Tank Conveyor Commercial Dish Washer (Low Temp); COM-Other; Retail</c:v>
                </c:pt>
                <c:pt idx="33">
                  <c:v>Custom Incentives; Custom Efficiency; IND; Industrial </c:v>
                </c:pt>
                <c:pt idx="34">
                  <c:v>BNI - Efficient Product Rebates; Lighting Controls - Occupancy Sensors; IND; Industrial </c:v>
                </c:pt>
                <c:pt idx="35">
                  <c:v>Custom Incentives; Custom Efficiency; COM-Other; COM</c:v>
                </c:pt>
                <c:pt idx="36">
                  <c:v>BNI - Efficient Product Rebates; Daylighting Controls; COM-Lighting; School</c:v>
                </c:pt>
                <c:pt idx="37">
                  <c:v>BNI - Efficient Product Rebates; T8 Dimmable Stairwell Lighting; COM-Lighting; School</c:v>
                </c:pt>
                <c:pt idx="38">
                  <c:v>BNI - Efficient Product Rebates; Lighting Controls - Occupancy Sensors; COM-Lighting; School</c:v>
                </c:pt>
                <c:pt idx="39">
                  <c:v>Residential - Efficient Product Rebates; Hardwired Dimmer Switch; RES-Lighting; RES-SF</c:v>
                </c:pt>
                <c:pt idx="40">
                  <c:v>BNI - Efficient Product Rebates; T8 Dimmable Stairwell Lighting; COM-Lighting; Office</c:v>
                </c:pt>
                <c:pt idx="41">
                  <c:v>BNI - Efficient Product Rebates; Daylighting Controls; COM-Lighting; Office</c:v>
                </c:pt>
                <c:pt idx="42">
                  <c:v>BNI - Efficient Product Rebates; Lighting Controls - Occupancy Sensors; COM-Lighting; Office</c:v>
                </c:pt>
                <c:pt idx="43">
                  <c:v>BNI - Efficient Product Rebates; Daylighting Controls; COM-Lighting; Other Commercial</c:v>
                </c:pt>
                <c:pt idx="44">
                  <c:v>BNI - Efficient Product Rebates; T8 Dimmable Stairwell Lighting; COM-Lighting; Other Commercial</c:v>
                </c:pt>
                <c:pt idx="45">
                  <c:v>BNI - Efficient Product Rebates; Lighting Controls - Occupancy Sensors; COM-Lighting; Other Commercial</c:v>
                </c:pt>
                <c:pt idx="46">
                  <c:v>BNI - Efficient Product Rebates; LED Refrigeration Strip Lighting-End of Life replacement; COM-Lighting; Other Commercial</c:v>
                </c:pt>
                <c:pt idx="47">
                  <c:v>Existing Residential; Low Flow (1.25 GPM) showerhead; RES-Water Heat; MURB</c:v>
                </c:pt>
                <c:pt idx="48">
                  <c:v>BNI - Efficient Product Rebates; Lighting Controls - Occupancy Sensors; COM-Lighting; Retail</c:v>
                </c:pt>
                <c:pt idx="49">
                  <c:v>BNI - Efficient Product Rebates; T8 Dimmable Stairwell Lighting; COM-Lighting; Retail</c:v>
                </c:pt>
                <c:pt idx="50">
                  <c:v>BNI - Efficient Product Rebates; Daylighting Controls; COM-Lighting; Retail</c:v>
                </c:pt>
                <c:pt idx="51">
                  <c:v>BNI - Efficient Product Rebates; LED Refrigeration Strip Lighting-End of Life replacement; COM-Lighting; School</c:v>
                </c:pt>
                <c:pt idx="52">
                  <c:v>BNI - Efficient Product Rebates; LED Refrigeration Strip Lighting-End of Life replacement; COM-Lighting; Retail</c:v>
                </c:pt>
                <c:pt idx="53">
                  <c:v>BNI - Efficient Product Rebates; Photoluminescent Exit Sign; IND; Industrial </c:v>
                </c:pt>
                <c:pt idx="54">
                  <c:v>BNI - Efficient Product Rebates; Photoluminescent Exit Sign; COM-Lighting; Office</c:v>
                </c:pt>
                <c:pt idx="55">
                  <c:v>BNI - Efficient Product Rebates; Photoluminescent Exit Sign; COM-Lighting; Other Commercial</c:v>
                </c:pt>
                <c:pt idx="56">
                  <c:v>BNI - Efficient Product Rebates; Photoluminescent Exit Sign; COM-Lighting; Retail</c:v>
                </c:pt>
                <c:pt idx="57">
                  <c:v>BNI - Efficient Product Rebates; Photoluminescent Exit Sign; COM-Lighting; School</c:v>
                </c:pt>
                <c:pt idx="58">
                  <c:v>BNI - Efficient Product Rebates; LED Exit Sign-End of Life replacement; IND; Industrial </c:v>
                </c:pt>
                <c:pt idx="59">
                  <c:v>BNI - Efficient Product Rebates; LED Exit Sign-End of Life replacement; COM-Lighting; Office</c:v>
                </c:pt>
                <c:pt idx="60">
                  <c:v>BNI - Efficient Product Rebates; LED Exit Sign-End of Life replacement; COM-Lighting; Other Commercial</c:v>
                </c:pt>
                <c:pt idx="61">
                  <c:v>BNI - Efficient Product Rebates; LED Exit Sign-End of Life replacement; COM-Lighting; Retail</c:v>
                </c:pt>
                <c:pt idx="62">
                  <c:v>BNI - Efficient Product Rebates; LED Exit Sign-End of Life replacement; COM-Lighting; School</c:v>
                </c:pt>
                <c:pt idx="63">
                  <c:v>BNI - Efficient Product Rebates; LED Lamps-End of Life; COM-Lighting; Office</c:v>
                </c:pt>
                <c:pt idx="64">
                  <c:v>BNI- Direct Installation; LED Lamps-End of Life-BES; COM-Lighting; Office</c:v>
                </c:pt>
                <c:pt idx="65">
                  <c:v>BNI - Efficient Product Rebates; LED Linear Replacement Lamps; COM-Lighting; Office</c:v>
                </c:pt>
                <c:pt idx="66">
                  <c:v>BNI - Efficient Product Rebates; LED Lamps-Retrofit (dual baseline); COM-Lighting; Office</c:v>
                </c:pt>
                <c:pt idx="67">
                  <c:v>BNI- Direct Installation; LED Lamps-Retrofit (dual baseline)-BES; COM-Lighting; Office</c:v>
                </c:pt>
                <c:pt idx="68">
                  <c:v>BNI - Efficient Product Rebates; Fluorescent T5 and HPT8 Fixtures (4 FT) lamps-Retrofit (dual baseline); COM-Lighting; Other Commercial</c:v>
                </c:pt>
                <c:pt idx="69">
                  <c:v>BNI - Efficient Product Rebates; LED Lamps-End of Life; COM-Lighting; Other Commercial</c:v>
                </c:pt>
                <c:pt idx="70">
                  <c:v>BNI- Direct Installation; LED Lamps-End of Life-BES; COM-Lighting; Other Commercial</c:v>
                </c:pt>
                <c:pt idx="71">
                  <c:v>BNI- Direct Installation; LED Lamps-Retrofit (dual baseline)-BES; COM-Lighting; Other Commercial</c:v>
                </c:pt>
                <c:pt idx="72">
                  <c:v>BNI - Efficient Product Rebates; LED Linear Replacement Lamps; COM-Lighting; Other Commercial</c:v>
                </c:pt>
                <c:pt idx="73">
                  <c:v>BNI - Efficient Product Rebates; LED Lamps-Retrofit (dual baseline); COM-Lighting; Other Commercial</c:v>
                </c:pt>
                <c:pt idx="74">
                  <c:v>BNI - Efficient Product Rebates; LED Linear Replacement Lamps; COM-Lighting; School</c:v>
                </c:pt>
                <c:pt idx="75">
                  <c:v>BNI - Efficient Product Rebates; LED Lamps-Retrofit (dual baseline); COM-Lighting; School</c:v>
                </c:pt>
                <c:pt idx="76">
                  <c:v>BNI - Efficient Product Rebates; LED Lamps-End of Life; COM-Lighting; School</c:v>
                </c:pt>
                <c:pt idx="77">
                  <c:v>BNI - Efficient Product Rebates; LED Lamps-Retrofit (dual baseline); COM-Lighting; Retail</c:v>
                </c:pt>
                <c:pt idx="78">
                  <c:v>BNI- Direct Installation; LED Lamps-End of Life-BES; COM-Lighting; Retail</c:v>
                </c:pt>
                <c:pt idx="79">
                  <c:v>BNI- Direct Installation; LED Lamps-Retrofit (dual baseline)-BES; COM-Lighting; Retail</c:v>
                </c:pt>
                <c:pt idx="80">
                  <c:v>BNI - Efficient Product Rebates; LED Linear Replacement Lamps; COM-Lighting; Retail</c:v>
                </c:pt>
                <c:pt idx="81">
                  <c:v>BNI - Efficient Product Rebates; LED Lamps-End of Life; COM-Lighting; Retail</c:v>
                </c:pt>
                <c:pt idx="82">
                  <c:v>BNI- Direct Installation; Relamp/Reballast-Retrofit (dual baseline)-BES; COM-Lighting; Office</c:v>
                </c:pt>
                <c:pt idx="83">
                  <c:v>BNI - Efficient Product Rebates; Relamp/Reballast-Retrofit (dual baseline); COM-Lighting; Office</c:v>
                </c:pt>
                <c:pt idx="84">
                  <c:v>BNI - Efficient Product Rebates; LED Low Bay Fixture; COM-Lighting; Office</c:v>
                </c:pt>
                <c:pt idx="85">
                  <c:v>BNI - Efficient Product Rebates; LED High Bay Fixture; COM-Lighting; Other Commercial</c:v>
                </c:pt>
                <c:pt idx="86">
                  <c:v>BNI - Efficient Product Rebates; LED Low Bay Fixture; COM-Lighting; Other Commercial</c:v>
                </c:pt>
                <c:pt idx="87">
                  <c:v>BNI- Direct Installation; Relamp/Reballast-Retrofit (dual baseline)-BES; COM-Lighting; Other Commercial</c:v>
                </c:pt>
                <c:pt idx="88">
                  <c:v>BNI - Efficient Product Rebates; Relamp/Reballast-Retrofit (dual baseline); COM-Lighting; Other Commercial</c:v>
                </c:pt>
                <c:pt idx="89">
                  <c:v>BNI - Efficient Product Rebates; LED Low Bay Fixture; COM-Lighting; School</c:v>
                </c:pt>
                <c:pt idx="90">
                  <c:v>BNI - Efficient Product Rebates; Relamp/Reballast-Retrofit (dual baseline); COM-Lighting; School</c:v>
                </c:pt>
                <c:pt idx="91">
                  <c:v>BNI - Efficient Product Rebates; LED High Bay Fixture; COM-Lighting; School</c:v>
                </c:pt>
                <c:pt idx="92">
                  <c:v>BNI - Efficient Product Rebates; LED Low Bay Fixture; COM-Lighting; Retail</c:v>
                </c:pt>
                <c:pt idx="93">
                  <c:v>BNI- Direct Installation; Relamp/Reballast-Retrofit (dual baseline)-BES; COM-Lighting; Retail</c:v>
                </c:pt>
                <c:pt idx="94">
                  <c:v>BNI - Efficient Product Rebates; LED High Bay Fixture; COM-Lighting; Retail</c:v>
                </c:pt>
                <c:pt idx="95">
                  <c:v>BNI - Efficient Product Rebates; Relamp/Reballast-Retrofit (dual baseline); COM-Lighting; Retail</c:v>
                </c:pt>
                <c:pt idx="96">
                  <c:v>BNI - Efficient Product Rebates; LED Linear Replacement Lamps; IND; Industrial </c:v>
                </c:pt>
                <c:pt idx="97">
                  <c:v>BNI - Efficient Product Rebates; LED Lamps-End of Life; IND; Industrial </c:v>
                </c:pt>
                <c:pt idx="98">
                  <c:v>BNI - Efficient Product Rebates; T8 Dimmable Stairwell Lighting; IND; Industrial </c:v>
                </c:pt>
                <c:pt idx="99">
                  <c:v>BNI - Efficient Product Rebates; LED Lamps-Retrofit (dual baseline); IND; Industrial </c:v>
                </c:pt>
                <c:pt idx="100">
                  <c:v>Existing Residential; DHW Tank Wrap; RES-Water Heat; MURB</c:v>
                </c:pt>
                <c:pt idx="101">
                  <c:v>BNI - Efficient Product Rebates; ENERGY STAR® Ice Making Head; COM-Refrigeration; Retail</c:v>
                </c:pt>
                <c:pt idx="102">
                  <c:v>BNI - Efficient Product Rebates; Relamp/Reballast-Retrofit (dual baseline); IND; Industrial </c:v>
                </c:pt>
                <c:pt idx="103">
                  <c:v>BNI - Efficient Product Rebates; LED Low Bay Fixture; IND; Industrial </c:v>
                </c:pt>
                <c:pt idx="104">
                  <c:v>BNI - Efficient Product Rebates; LED High Bay Fixture; IND; Industrial </c:v>
                </c:pt>
                <c:pt idx="105">
                  <c:v>BNI - Efficient Product Rebates; LED Exterior Fixtures-End of Life replacement; COM-Lighting; Office</c:v>
                </c:pt>
                <c:pt idx="106">
                  <c:v>BNI - Efficient Product Rebates; LED Exterior Fixtures-End of Life replacement; COM-Lighting; Other Commercial</c:v>
                </c:pt>
                <c:pt idx="107">
                  <c:v>BNI - Efficient Product Rebates; LED Exterior Fixtures-End of Life replacement; COM-Lighting; Retail</c:v>
                </c:pt>
                <c:pt idx="108">
                  <c:v>BNI - Efficient Product Rebates; LED Exterior Fixtures-End of Life replacement; COM-Lighting; School</c:v>
                </c:pt>
                <c:pt idx="109">
                  <c:v>BNI - Efficient Product Rebates; LED Exterior Fixtures-End of Life replacement; IND; Industrial </c:v>
                </c:pt>
                <c:pt idx="110">
                  <c:v>BNI - Efficient Product Rebates; Single-Tank Conveyor Dishwasher (Low Temp); COM-Other; Retail</c:v>
                </c:pt>
                <c:pt idx="111">
                  <c:v>Existing Residential; Low Flow (1.25 GPM) showerhead; RES-Water Heat; RES-SF</c:v>
                </c:pt>
                <c:pt idx="112">
                  <c:v>Existing Residential; DHW Tank Wrap; RES-Water Heat; RES-SF</c:v>
                </c:pt>
                <c:pt idx="113">
                  <c:v>New Residential; EnerGuide 83 New Home; RES-Package; RES-NC</c:v>
                </c:pt>
                <c:pt idx="114">
                  <c:v>BNI - Efficient Product Rebates; Single Tank Door Dishwasher with Booster (High Temp); COM-Other; Retail</c:v>
                </c:pt>
                <c:pt idx="115">
                  <c:v>Existing Residential; 1W LED Nightlight; RES-Lighting; MURB</c:v>
                </c:pt>
                <c:pt idx="116">
                  <c:v>Existing Residential; 12 W LED; RES-Lighting; MURB</c:v>
                </c:pt>
                <c:pt idx="117">
                  <c:v>BNI - Efficient Product Rebates; ENERGY STAR® Remote Condensing Head/Split System Ice Maker; COM-Refrigeration; Retail</c:v>
                </c:pt>
                <c:pt idx="118">
                  <c:v>BNI - Efficient Product Rebates; Multi Tank Conveyor Dishwasher with Booster (High Temp); COM-Other; Retail</c:v>
                </c:pt>
                <c:pt idx="119">
                  <c:v>Existing Residential; 1W LED Nightlight; RES-Lighting; RES-SF</c:v>
                </c:pt>
                <c:pt idx="120">
                  <c:v>New Residential; EnerGuide 85 New Home; RES-Package; RES-NC</c:v>
                </c:pt>
                <c:pt idx="121">
                  <c:v>New Residential; EnerGuide 86 New Home; RES-Package; RES-NC</c:v>
                </c:pt>
                <c:pt idx="122">
                  <c:v>Existing Residential; Building Envelope Retrofits (Insulation, Draft Proofing, EnergyStar Windows and Doors); RES-HVAC/Shell; RES-SF</c:v>
                </c:pt>
                <c:pt idx="123">
                  <c:v>Residential - Efficient Product Rebates; Indoor Motion Sensor; RES-Lighting; RES-SF</c:v>
                </c:pt>
                <c:pt idx="124">
                  <c:v>New Residential; EnerGuide 87 New Home; RES-Package; RES-NC</c:v>
                </c:pt>
                <c:pt idx="125">
                  <c:v>New Residential; EnerGuide 88 New Home; RES-Package; RES-NC</c:v>
                </c:pt>
                <c:pt idx="126">
                  <c:v>New Residential; EnerGuide 88+ New Home; RES-Package; RES-NC</c:v>
                </c:pt>
                <c:pt idx="127">
                  <c:v>Existing Residential; Low Flow Faucet Aerator, 1.5 GPM; RES-Water Heat; MURB</c:v>
                </c:pt>
                <c:pt idx="128">
                  <c:v>BNI - Efficient Product Rebates; Under Counter Commercial Dishwasher (Low Temp); COM-Other; Retail</c:v>
                </c:pt>
                <c:pt idx="129">
                  <c:v>BNI - Efficient Product Rebates; Single Tank Conveyor Dishwasher with Booster (High Temp); COM-Other; Retail</c:v>
                </c:pt>
                <c:pt idx="130">
                  <c:v>BNI - Efficient Product Rebates; Under Counter Dishwasher with Booster (High Temp); COM-Other; Retail</c:v>
                </c:pt>
                <c:pt idx="131">
                  <c:v>Existing Residential; 5W Chandelier LED bulb; RES-Lighting; MURB</c:v>
                </c:pt>
                <c:pt idx="132">
                  <c:v>Residential - Efficient Product Rebates; ENERGY STAR® LED Lamps; RES-Lighting; RES-SF</c:v>
                </c:pt>
                <c:pt idx="133">
                  <c:v>Custom Incentives; Whole Building 40% Over Baseline; COM-Other; New Construction - BNI</c:v>
                </c:pt>
                <c:pt idx="134">
                  <c:v>Custom Incentives; Whole Building 20% Over Baseline; COM-Other; New Construction - BNI</c:v>
                </c:pt>
                <c:pt idx="135">
                  <c:v>Existing Residential; 8 W LED; RES-Lighting; MURB</c:v>
                </c:pt>
                <c:pt idx="136">
                  <c:v>Existing Residential; 10.5 W LED; RES-Lighting; RES-SF</c:v>
                </c:pt>
                <c:pt idx="137">
                  <c:v>Residential - Efficient Product Rebates; Outdoor Motion Sensor; RES-Lighting; RES-SF</c:v>
                </c:pt>
                <c:pt idx="138">
                  <c:v>Existing Residential; Certified Pellet Boiler or Furnace Supplemented by Baseboard Heat (Whole Home); RES-HVAC/Shell; RES-SF</c:v>
                </c:pt>
                <c:pt idx="139">
                  <c:v>Existing Residential; Certified Wood Boiler or Furnace; RES-HVAC/Shell; RES-SF</c:v>
                </c:pt>
                <c:pt idx="140">
                  <c:v>Existing Residential; 12 W LED; RES-Lighting; MURB</c:v>
                </c:pt>
                <c:pt idx="141">
                  <c:v>Existing Residential; Ground Source Heat Pump; RES-HVAC/Shell; RES-SF</c:v>
                </c:pt>
                <c:pt idx="142">
                  <c:v>Existing Residential; ENERGY STAR® Windows (300 ft2) (Replace Double Pane); RES-HVAC/Shell; RES-SF</c:v>
                </c:pt>
                <c:pt idx="143">
                  <c:v>Existing Residential; 11 W LED; RES-Lighting; RES-SF</c:v>
                </c:pt>
                <c:pt idx="144">
                  <c:v>Existing Residential; Solar DHW; RES-Water Heat; RES-SF</c:v>
                </c:pt>
                <c:pt idx="145">
                  <c:v>Residential - Efficient Product Rebates; Heavy Duty Outdoor Timer; RES-Plug Load; RES-SF</c:v>
                </c:pt>
                <c:pt idx="146">
                  <c:v>Existing Residential; ENERGY STAR® Windows (Replace Single Pane); RES-HVAC/Shell; RES-SF</c:v>
                </c:pt>
                <c:pt idx="147">
                  <c:v>Existing Residential; ENERGY STAR® Air Source Heat Pump; RES-HVAC/Shell; RES-SF</c:v>
                </c:pt>
                <c:pt idx="148">
                  <c:v>Existing Residential; Certified Pellet Stove; RES-HVAC/Shell; RES-SF</c:v>
                </c:pt>
                <c:pt idx="149">
                  <c:v>Existing Residential; Low Flow Faucet Aerator, 1.5 GPM; RES-Water Heat; RES-SF</c:v>
                </c:pt>
                <c:pt idx="150">
                  <c:v>Existing Residential; Certified Wood Stove; RES-HVAC/Shell; RES-SF</c:v>
                </c:pt>
                <c:pt idx="151">
                  <c:v>Residential - Efficient Product Rebates; Freezer Retirement; RES-Appliance; RES-SF</c:v>
                </c:pt>
                <c:pt idx="152">
                  <c:v>Residential - Efficient Product Rebates; Refrigerator Retirement; RES-Appliance; RES-SF</c:v>
                </c:pt>
                <c:pt idx="153">
                  <c:v>Existing Residential; Advanced Automatic Pellet Combo Boiler; RES-HVAC/Shell; RES-SF</c:v>
                </c:pt>
                <c:pt idx="154">
                  <c:v>Existing Residential; ENERGY STAR® Refrigerator (Replacement); RES-Appliance; MURB</c:v>
                </c:pt>
                <c:pt idx="155">
                  <c:v>New Residential; Solar DHW; RES-Water Heat; RES-NC</c:v>
                </c:pt>
                <c:pt idx="156">
                  <c:v>Existing Residential; Solar Space and Water Heat (Supplement Electricity); RES-Package; RES-SF</c:v>
                </c:pt>
                <c:pt idx="157">
                  <c:v>Existing Residential; ENERGY STAR® Door; RES-HVAC/Shell; RES-SF</c:v>
                </c:pt>
                <c:pt idx="158">
                  <c:v>New Residential; Solar Space and Water Heat (Supplement Electricity); RES-Package; RES-NC</c:v>
                </c:pt>
                <c:pt idx="159">
                  <c:v>New Residential; Solar Space Heating (Displacing Electricity); RES-HVAC/Shell; RES-NC</c:v>
                </c:pt>
                <c:pt idx="160">
                  <c:v>Residential - Efficient Product Rebates; Smartstrip; RES-Plug Load; RES-SF</c:v>
                </c:pt>
                <c:pt idx="161">
                  <c:v>BNI- Direct Installation; Night Covers for 3' Refrigerated Display Cases-BES; COM-Refrigeration; Retail</c:v>
                </c:pt>
                <c:pt idx="162">
                  <c:v>BNI - Efficient Product Rebates; Dairy Scroll Compressor; COM-Other; Other Commercial</c:v>
                </c:pt>
                <c:pt idx="163">
                  <c:v>BNI - Efficient Product Rebates; Night Covers for 3' Refrigerated Display Cases; COM-Refrigeration; Retail</c:v>
                </c:pt>
                <c:pt idx="164">
                  <c:v>BNI- Direct Installation; Night Covers for 3' Refrigerated Display Cases-BES; COM-Refrigeration; Other Commercial</c:v>
                </c:pt>
                <c:pt idx="165">
                  <c:v>BNI - Efficient Product Rebates; Variable Speed Drive Screw Compressors (10 - 40 hp); COM-Process; School</c:v>
                </c:pt>
                <c:pt idx="166">
                  <c:v>BNI - Efficient Product Rebates; Air Tanks for Load / No-Load Screw Compressors (10 – 40 hp); COM-Process; School</c:v>
                </c:pt>
                <c:pt idx="167">
                  <c:v>BNI - Efficient Product Rebates; Integrated Dual Enthalpy Economizer Controls; COM-HVAC; School</c:v>
                </c:pt>
                <c:pt idx="168">
                  <c:v>BNI - Efficient Product Rebates; Variable Speed Drive for Kitchen exhaust fans (Demand Controlled Ventilation) ; COM-Motors; Retail</c:v>
                </c:pt>
                <c:pt idx="169">
                  <c:v>BNI - Efficient Product Rebates; Integrated Dual Enthalpy Economizer Controls; COM-HVAC; Retail</c:v>
                </c:pt>
                <c:pt idx="170">
                  <c:v>BNI - Efficient Product Rebates; Half Size Commercial Hot Food Holding Cabinet; COM-Other; Retail</c:v>
                </c:pt>
                <c:pt idx="171">
                  <c:v>BNI - Efficient Product Rebates; Night Covers for 3' Refrigerated Display Cases; COM-Refrigeration; Other Commercial</c:v>
                </c:pt>
                <c:pt idx="172">
                  <c:v>Residential - Efficient Product Rebates; Power bar with integrated timer; RES-Plug Load; RES-SF</c:v>
                </c:pt>
                <c:pt idx="173">
                  <c:v>BNI - Efficient Product Rebates; Zero Energy Doors for Reach-In Coolers and Freezers; COM-Refrigeration; School</c:v>
                </c:pt>
                <c:pt idx="174">
                  <c:v>BNI - Efficient Product Rebates; Zero Energy Doors for Reach-In Coolers and Freezers; COM-Refrigeration; Other Commercial</c:v>
                </c:pt>
                <c:pt idx="175">
                  <c:v>BNI - Efficient Product Rebates; Zero Energy Doors for Reach-In Coolers and Freezers; COM-Refrigeration; Retail</c:v>
                </c:pt>
                <c:pt idx="176">
                  <c:v>BNI - Efficient Product Rebates; Night Covers for 3' Refrigerated Display Cases; COM-Refrigeration; School</c:v>
                </c:pt>
                <c:pt idx="177">
                  <c:v>BNI- Direct Installation; Electronically Commutated (Brushless) DC Motors for Refrigeration Applications-BES; COM-Refrigeration; Other Commercial</c:v>
                </c:pt>
                <c:pt idx="178">
                  <c:v>BNI- Direct Installation; Electronically Commutated (Brushless) DC Motors for Refrigeration Applications-BES; COM-Refrigeration; Retail</c:v>
                </c:pt>
                <c:pt idx="179">
                  <c:v>BNI - Efficient Product Rebates; Three Quarter Size Commercial Hot Food Holding Cabinet; COM-Other; Retail</c:v>
                </c:pt>
                <c:pt idx="180">
                  <c:v>Existing Residential; Solar Space Heating (Displacing Electricity); RES-HVAC/Shell; RES-SF</c:v>
                </c:pt>
                <c:pt idx="181">
                  <c:v>BNI - Efficient Product Rebates; Variable Speed Drive for Kitchen exhaust fans (Demand Controlled Ventilation) ; COM-Motors; Other Commercial</c:v>
                </c:pt>
                <c:pt idx="182">
                  <c:v>BNI - Efficient Product Rebates; Standard Capacity Commercial Electric Fryers; COM-Other; Retail</c:v>
                </c:pt>
                <c:pt idx="183">
                  <c:v>BNI - Efficient Product Rebates; HVAC Hotel Occupancy Sensor; COM-HVAC; Other Commercial</c:v>
                </c:pt>
                <c:pt idx="184">
                  <c:v>BNI- Direct Installation; Evaporator Fan Motor Controls for Walk-In Freezers and Coolers-BES; COM-Refrigeration; Other Commercial</c:v>
                </c:pt>
                <c:pt idx="185">
                  <c:v>BNI- Direct Installation; Evaporator Fan Motor Controls for Walk-In Freezers and Coolers-BES; COM-Refrigeration; Retail</c:v>
                </c:pt>
                <c:pt idx="186">
                  <c:v>BNI - Efficient Product Rebates; Electronically Commutated (Brushless) DC Motors for Refrigeration Applications; COM-Refrigeration; School</c:v>
                </c:pt>
                <c:pt idx="187">
                  <c:v>BNI - Efficient Product Rebates; Electronically Commutated (Brushless) DC Motors for Refrigeration Applications; COM-Refrigeration; Other Commercial</c:v>
                </c:pt>
                <c:pt idx="188">
                  <c:v>BNI - Efficient Product Rebates; Electronically Commutated (Brushless) DC Motors for Refrigeration Applications; COM-Refrigeration; Retail</c:v>
                </c:pt>
                <c:pt idx="189">
                  <c:v>BNI - Efficient Product Rebates; Evaporator Fan Motor Controls for Walk-In Freezers and Coolers; COM-Refrigeration; School</c:v>
                </c:pt>
                <c:pt idx="190">
                  <c:v>BNI - Efficient Product Rebates; Electronically Commutated (Brushless) DC Motors for Refrigeration Applications; IND; Industrial </c:v>
                </c:pt>
                <c:pt idx="191">
                  <c:v>BNI - Efficient Product Rebates; Evaporator Fan Motor Controls for Walk-In Freezers and Coolers; COM-Refrigeration; Other Commercial</c:v>
                </c:pt>
                <c:pt idx="192">
                  <c:v>BNI - Efficient Product Rebates; Evaporator Fan Motor Controls for Walk-In Freezers and Coolers; COM-Refrigeration; Retail</c:v>
                </c:pt>
                <c:pt idx="193">
                  <c:v>BNI - Efficient Product Rebates; Cycling Refrigerated Air Dryers (≤ 300 CFM capacity); COM-Process; School</c:v>
                </c:pt>
                <c:pt idx="194">
                  <c:v>Residential - Efficient Product Rebates; Advanced Power Strip (load sensing or remote control/wireless APS); RES-Plug Load; RES-SF</c:v>
                </c:pt>
                <c:pt idx="195">
                  <c:v>BNI - Efficient Product Rebates; Strip Curtains for 3' Open Refrigerated Display Cases; COM-Refrigeration; School</c:v>
                </c:pt>
                <c:pt idx="196">
                  <c:v>BNI - Efficient Product Rebates; Strip Curtains for 3' Open Refrigerated Display Cases; COM-Refrigeration; Other Commercial</c:v>
                </c:pt>
                <c:pt idx="197">
                  <c:v>BNI - Efficient Product Rebates; Strip Curtains for 3' Open Refrigerated Display Cases; COM-Refrigeration; Retail</c:v>
                </c:pt>
                <c:pt idx="198">
                  <c:v>BNI - Efficient Product Rebates; Integrated Dual Enthalpy Economizer Controls; COM-HVAC; Office</c:v>
                </c:pt>
                <c:pt idx="199">
                  <c:v>BNI - Efficient Product Rebates; Integrated Dual Enthalpy Economizer Controls; COM-HVAC; Other Commercial</c:v>
                </c:pt>
                <c:pt idx="200">
                  <c:v>BNI - Efficient Product Rebates; Variable Speed Drive Screw Compressors (10 - 40 hp); IND; Industrial </c:v>
                </c:pt>
                <c:pt idx="201">
                  <c:v>BNI - Efficient Product Rebates; Air Tanks for Load / No-Load Screw Compressors (10 – 40 hp); IND; Industrial </c:v>
                </c:pt>
                <c:pt idx="202">
                  <c:v>BNI - Efficient Product Rebates; ENERGY STAR® Commercial Electric Convection Oven; COM-Other; Retail</c:v>
                </c:pt>
                <c:pt idx="203">
                  <c:v>BNI - Efficient Product Rebates; Intelligent (Electronic) Defrost Control For Freezer Display Cases; COM-Refrigeration; School</c:v>
                </c:pt>
                <c:pt idx="204">
                  <c:v>BNI - Efficient Product Rebates; Commercial Electric Griddle; COM-Other; Retail</c:v>
                </c:pt>
                <c:pt idx="205">
                  <c:v>BNI - Efficient Product Rebates; Intelligent (Electronic) Defrost Control For Freezer Display Cases; COM-Refrigeration; Other Commercial</c:v>
                </c:pt>
                <c:pt idx="206">
                  <c:v>BNI - Efficient Product Rebates; Intelligent (Electronic) Defrost Control For Freezer Display Cases; COM-Refrigeration; Retail</c:v>
                </c:pt>
                <c:pt idx="207">
                  <c:v>BNI - Efficient Product Rebates; Refrigerated Vending Machine Controller; COM-Refrigeration; Office</c:v>
                </c:pt>
                <c:pt idx="208">
                  <c:v>BNI - Efficient Product Rebates; Refrigerated Vending Machine Controller; COM-Refrigeration; Other Commercial</c:v>
                </c:pt>
                <c:pt idx="209">
                  <c:v>BNI - Efficient Product Rebates; Refrigerated Vending Machine Controller; COM-Refrigeration; Retail</c:v>
                </c:pt>
                <c:pt idx="210">
                  <c:v>BNI - Efficient Product Rebates; Intelligent (Electronic) Defrost Control For Walk-In Freezers; COM-Refrigeration; School</c:v>
                </c:pt>
                <c:pt idx="211">
                  <c:v>BNI - Efficient Product Rebates; Intelligent (Electronic) Defrost Control For Walk-In Freezers; COM-Refrigeration; Other Commercial</c:v>
                </c:pt>
                <c:pt idx="212">
                  <c:v>BNI - Efficient Product Rebates; Intelligent (Electronic) Defrost Control For Walk-In Freezers; COM-Refrigeration; Retail</c:v>
                </c:pt>
                <c:pt idx="213">
                  <c:v>BNI - Efficient Product Rebates; Heat Reclaimer Unit; COM-Other; Other Commercial</c:v>
                </c:pt>
                <c:pt idx="214">
                  <c:v>BNI- Direct Installation; Humidity-Based Door Heater Controls for Reach-In Coolers and Freezers-BES; COM-Refrigeration; Other Commercial</c:v>
                </c:pt>
                <c:pt idx="215">
                  <c:v>BNI- Direct Installation; Humidity-Based Door Heater Controls for Reach-In Coolers and Freezers-BES; COM-Refrigeration; Retail</c:v>
                </c:pt>
                <c:pt idx="216">
                  <c:v>BNI - Efficient Product Rebates; Double Heat Pad; COM-Other; Other Commercial</c:v>
                </c:pt>
                <c:pt idx="217">
                  <c:v>BNI - Efficient Product Rebates; Variable Frequency Drives; COM-Motors; Retail</c:v>
                </c:pt>
                <c:pt idx="218">
                  <c:v>BNI - Efficient Product Rebates; Variable Speed Drive Screw Compressors (10 - 40 hp); COM-Process; Other Commercial</c:v>
                </c:pt>
                <c:pt idx="219">
                  <c:v>BNI - Efficient Product Rebates; Variable Frequency Drives; COM-Motors; School</c:v>
                </c:pt>
                <c:pt idx="220">
                  <c:v>BNI - Efficient Product Rebates; Zero-Energy Livestock Waterers; COM-Other; Other Commercial</c:v>
                </c:pt>
                <c:pt idx="221">
                  <c:v>BNI - Efficient Product Rebates; Air Tanks for Load / No-Load Screw Compressors (10 – 40 hp); COM-Process; Other Commercial</c:v>
                </c:pt>
                <c:pt idx="222">
                  <c:v>BNI - Efficient Product Rebates; Variable Frequency Drives; COM-Motors; Office</c:v>
                </c:pt>
                <c:pt idx="223">
                  <c:v>BNI - Efficient Product Rebates; Air-Entraining Air Nozzles (up to 14CFM at 100 psi); COM-Process; School</c:v>
                </c:pt>
                <c:pt idx="224">
                  <c:v>BNI - Efficient Product Rebates; Variable Frequency Drives; COM-Motors; Other Commercial</c:v>
                </c:pt>
                <c:pt idx="225">
                  <c:v>BNI - Efficient Product Rebates; No-Loss Drains (Timed drains are not eligible); COM-Process; School</c:v>
                </c:pt>
                <c:pt idx="226">
                  <c:v>Existing Residential; Advanced Power Strip (load sensing or remote control/wireless APS); RES-Plug Load; MURB</c:v>
                </c:pt>
                <c:pt idx="227">
                  <c:v>BNI - Efficient Product Rebates; Full Size Commercial Hot Food Holding Cabinet; COM-Other; Retail</c:v>
                </c:pt>
                <c:pt idx="228">
                  <c:v>BNI - Efficient Product Rebates; Cycling Refrigerated Air Dryers (≤ 300 CFM capacity); IND; Industrial </c:v>
                </c:pt>
                <c:pt idx="229">
                  <c:v>Existing Residential; Embertec Power Strip; RES-Plug Load; RES-SF</c:v>
                </c:pt>
                <c:pt idx="230">
                  <c:v>Residential - Efficient Product Rebates; Dehumidifier (Retirement); RES-Appliance; RES-SF</c:v>
                </c:pt>
                <c:pt idx="231">
                  <c:v>BNI - Efficient Product Rebates; Single Heat Pad; COM-Other; Other Commercial</c:v>
                </c:pt>
                <c:pt idx="232">
                  <c:v>BNI - Efficient Product Rebates; Humidity-Based Door Heater Controls for Reach-In Coolers and Freezers; COM-Refrigeration; School</c:v>
                </c:pt>
                <c:pt idx="233">
                  <c:v>BNI - Efficient Product Rebates; Humidity-Based Door Heater Controls for Reach-In Coolers and Freezers; COM-Refrigeration; Other Commercial</c:v>
                </c:pt>
                <c:pt idx="234">
                  <c:v>BNI - Efficient Product Rebates; Humidity-Based Door Heater Controls for Reach-In Coolers and Freezers; COM-Refrigeration; Retail</c:v>
                </c:pt>
                <c:pt idx="235">
                  <c:v>BNI - Efficient Product Rebates; Cycling Refrigerated Air Dryers (≤ 300 CFM capacity); COM-Process; Other Commercial</c:v>
                </c:pt>
                <c:pt idx="236">
                  <c:v>BNI - Efficient Product Rebates; VSD for Milk Vacuum Pump; COM-Other; Other Commercial</c:v>
                </c:pt>
                <c:pt idx="237">
                  <c:v>BNI - Efficient Product Rebates; ENERGY STAR®, CEE Tier 2 or CEE Tier 3 Commercial Clothes Washer; COM-Other; Other Commercial</c:v>
                </c:pt>
              </c:strCache>
            </c:strRef>
          </c:cat>
          <c:val>
            <c:numRef>
              <c:f>'TRC Figure'!$D$1:$D$238</c:f>
              <c:numCache>
                <c:formatCode>0.0%</c:formatCode>
                <c:ptCount val="238"/>
                <c:pt idx="0">
                  <c:v>4.5861089251435398</c:v>
                </c:pt>
                <c:pt idx="1">
                  <c:v>3.1866442440433622</c:v>
                </c:pt>
                <c:pt idx="2">
                  <c:v>3.1866442440433622</c:v>
                </c:pt>
                <c:pt idx="3">
                  <c:v>3.1866442440433622</c:v>
                </c:pt>
                <c:pt idx="4">
                  <c:v>2.2744104935979039</c:v>
                </c:pt>
                <c:pt idx="5">
                  <c:v>1.9923918712611461</c:v>
                </c:pt>
                <c:pt idx="6">
                  <c:v>1.2250215724709745</c:v>
                </c:pt>
                <c:pt idx="7">
                  <c:v>1.2250215724709748</c:v>
                </c:pt>
                <c:pt idx="8">
                  <c:v>1.2250215724709748</c:v>
                </c:pt>
                <c:pt idx="9">
                  <c:v>1.2250215724709741</c:v>
                </c:pt>
                <c:pt idx="10">
                  <c:v>1.2197980852340091</c:v>
                </c:pt>
                <c:pt idx="11">
                  <c:v>1.2197980852340087</c:v>
                </c:pt>
                <c:pt idx="12">
                  <c:v>1.2197980852340087</c:v>
                </c:pt>
                <c:pt idx="13">
                  <c:v>1.2197980852340089</c:v>
                </c:pt>
                <c:pt idx="14">
                  <c:v>1.1987593318200451</c:v>
                </c:pt>
                <c:pt idx="15">
                  <c:v>1.1987593318200449</c:v>
                </c:pt>
                <c:pt idx="16">
                  <c:v>1.1987593318200449</c:v>
                </c:pt>
                <c:pt idx="17">
                  <c:v>1.1987593318200447</c:v>
                </c:pt>
                <c:pt idx="18">
                  <c:v>1.1892455167643214</c:v>
                </c:pt>
                <c:pt idx="19">
                  <c:v>1.1892455167643219</c:v>
                </c:pt>
                <c:pt idx="20">
                  <c:v>1.1892455167643214</c:v>
                </c:pt>
                <c:pt idx="21">
                  <c:v>1.1892455167643219</c:v>
                </c:pt>
                <c:pt idx="22">
                  <c:v>1.2346371080936145</c:v>
                </c:pt>
                <c:pt idx="23">
                  <c:v>0.71277583546523704</c:v>
                </c:pt>
                <c:pt idx="24">
                  <c:v>0.71277583546523704</c:v>
                </c:pt>
                <c:pt idx="25">
                  <c:v>0.64865052878572238</c:v>
                </c:pt>
                <c:pt idx="26">
                  <c:v>0.64865052878572227</c:v>
                </c:pt>
                <c:pt idx="27">
                  <c:v>0.64865052878572249</c:v>
                </c:pt>
                <c:pt idx="28">
                  <c:v>0.58883603022432041</c:v>
                </c:pt>
                <c:pt idx="29">
                  <c:v>0.58883603022432041</c:v>
                </c:pt>
                <c:pt idx="30">
                  <c:v>0.56728937213221531</c:v>
                </c:pt>
                <c:pt idx="31">
                  <c:v>0.49390347884116831</c:v>
                </c:pt>
                <c:pt idx="32">
                  <c:v>0.46581271067122532</c:v>
                </c:pt>
                <c:pt idx="33">
                  <c:v>0.47030285003894146</c:v>
                </c:pt>
                <c:pt idx="34">
                  <c:v>0.47438315329571579</c:v>
                </c:pt>
                <c:pt idx="35">
                  <c:v>0.45667022164573157</c:v>
                </c:pt>
                <c:pt idx="36">
                  <c:v>0.46896505945330452</c:v>
                </c:pt>
                <c:pt idx="37">
                  <c:v>0.46896505945330441</c:v>
                </c:pt>
                <c:pt idx="38">
                  <c:v>0.46896505945330408</c:v>
                </c:pt>
                <c:pt idx="39">
                  <c:v>0.41794367727732951</c:v>
                </c:pt>
                <c:pt idx="40">
                  <c:v>0.40801314487638046</c:v>
                </c:pt>
                <c:pt idx="41">
                  <c:v>0.40801314487638041</c:v>
                </c:pt>
                <c:pt idx="42">
                  <c:v>0.40801314487638052</c:v>
                </c:pt>
                <c:pt idx="43">
                  <c:v>0.40465928299847476</c:v>
                </c:pt>
                <c:pt idx="44">
                  <c:v>0.40465928299847487</c:v>
                </c:pt>
                <c:pt idx="45">
                  <c:v>0.40465928299847481</c:v>
                </c:pt>
                <c:pt idx="46">
                  <c:v>0.43472086730880294</c:v>
                </c:pt>
                <c:pt idx="47">
                  <c:v>0.40054257912510727</c:v>
                </c:pt>
                <c:pt idx="48">
                  <c:v>0.39899565696396988</c:v>
                </c:pt>
                <c:pt idx="49">
                  <c:v>0.39899565696396982</c:v>
                </c:pt>
                <c:pt idx="50">
                  <c:v>0.39899565696396971</c:v>
                </c:pt>
                <c:pt idx="51">
                  <c:v>0.42926791244996948</c:v>
                </c:pt>
                <c:pt idx="52">
                  <c:v>0.42514130330014072</c:v>
                </c:pt>
                <c:pt idx="53">
                  <c:v>0.37917612056812583</c:v>
                </c:pt>
                <c:pt idx="54">
                  <c:v>0.37917612056812583</c:v>
                </c:pt>
                <c:pt idx="55">
                  <c:v>0.37917612056812583</c:v>
                </c:pt>
                <c:pt idx="56">
                  <c:v>0.37917612056812583</c:v>
                </c:pt>
                <c:pt idx="57">
                  <c:v>0.37917612056812583</c:v>
                </c:pt>
                <c:pt idx="58">
                  <c:v>0.37917612056812589</c:v>
                </c:pt>
                <c:pt idx="59">
                  <c:v>0.37917612056812589</c:v>
                </c:pt>
                <c:pt idx="60">
                  <c:v>0.37917612056812589</c:v>
                </c:pt>
                <c:pt idx="61">
                  <c:v>0.37917612056812589</c:v>
                </c:pt>
                <c:pt idx="62">
                  <c:v>0.37917612056812589</c:v>
                </c:pt>
                <c:pt idx="63">
                  <c:v>0.3790891947555704</c:v>
                </c:pt>
                <c:pt idx="64">
                  <c:v>0.37908919475557001</c:v>
                </c:pt>
                <c:pt idx="65">
                  <c:v>0.37908919475557018</c:v>
                </c:pt>
                <c:pt idx="66">
                  <c:v>0.37908919475557046</c:v>
                </c:pt>
                <c:pt idx="67">
                  <c:v>0.37908919475557046</c:v>
                </c:pt>
                <c:pt idx="68">
                  <c:v>0.37451469984598762</c:v>
                </c:pt>
                <c:pt idx="69">
                  <c:v>0.37451469984598751</c:v>
                </c:pt>
                <c:pt idx="70">
                  <c:v>0.37451469984598751</c:v>
                </c:pt>
                <c:pt idx="71">
                  <c:v>0.3745146998459879</c:v>
                </c:pt>
                <c:pt idx="72">
                  <c:v>0.37451469984598773</c:v>
                </c:pt>
                <c:pt idx="73">
                  <c:v>0.37451469984598773</c:v>
                </c:pt>
                <c:pt idx="74">
                  <c:v>0.36959385476060935</c:v>
                </c:pt>
                <c:pt idx="75">
                  <c:v>0.36959385476060941</c:v>
                </c:pt>
                <c:pt idx="76">
                  <c:v>0.36959385476060896</c:v>
                </c:pt>
                <c:pt idx="77">
                  <c:v>0.36587387271206179</c:v>
                </c:pt>
                <c:pt idx="78">
                  <c:v>0.36587387271206179</c:v>
                </c:pt>
                <c:pt idx="79">
                  <c:v>0.36587387271206195</c:v>
                </c:pt>
                <c:pt idx="80">
                  <c:v>0.36587387271206184</c:v>
                </c:pt>
                <c:pt idx="81">
                  <c:v>0.36587387271206173</c:v>
                </c:pt>
                <c:pt idx="82">
                  <c:v>0.34498160624919411</c:v>
                </c:pt>
                <c:pt idx="83">
                  <c:v>0.34498160624919411</c:v>
                </c:pt>
                <c:pt idx="84">
                  <c:v>0.34498160624919411</c:v>
                </c:pt>
                <c:pt idx="85">
                  <c:v>0.34089952813916174</c:v>
                </c:pt>
                <c:pt idx="86">
                  <c:v>0.34089952813916158</c:v>
                </c:pt>
                <c:pt idx="87">
                  <c:v>0.34089952813916169</c:v>
                </c:pt>
                <c:pt idx="88">
                  <c:v>0.34089952813916169</c:v>
                </c:pt>
                <c:pt idx="89">
                  <c:v>0.33650621989511281</c:v>
                </c:pt>
                <c:pt idx="90">
                  <c:v>0.33650621989511242</c:v>
                </c:pt>
                <c:pt idx="91">
                  <c:v>0.33650621989511265</c:v>
                </c:pt>
                <c:pt idx="92">
                  <c:v>0.33318354808967293</c:v>
                </c:pt>
                <c:pt idx="93">
                  <c:v>0.33318354808967315</c:v>
                </c:pt>
                <c:pt idx="94">
                  <c:v>0.33318354808967304</c:v>
                </c:pt>
                <c:pt idx="95">
                  <c:v>0.33318354808967326</c:v>
                </c:pt>
                <c:pt idx="96">
                  <c:v>0.33963532158215359</c:v>
                </c:pt>
                <c:pt idx="97">
                  <c:v>0.33963532158215359</c:v>
                </c:pt>
                <c:pt idx="98">
                  <c:v>0.33963532158215365</c:v>
                </c:pt>
                <c:pt idx="99">
                  <c:v>0.3396353215821537</c:v>
                </c:pt>
                <c:pt idx="100">
                  <c:v>0.35022151647503219</c:v>
                </c:pt>
                <c:pt idx="101">
                  <c:v>0.33577031010181413</c:v>
                </c:pt>
                <c:pt idx="102">
                  <c:v>0.30971091756829955</c:v>
                </c:pt>
                <c:pt idx="103">
                  <c:v>0.30971091756829949</c:v>
                </c:pt>
                <c:pt idx="104">
                  <c:v>0.30971091756829938</c:v>
                </c:pt>
                <c:pt idx="105">
                  <c:v>0.31614264138282328</c:v>
                </c:pt>
                <c:pt idx="106">
                  <c:v>0.31614264138282328</c:v>
                </c:pt>
                <c:pt idx="107">
                  <c:v>0.31614264138282328</c:v>
                </c:pt>
                <c:pt idx="108">
                  <c:v>0.31614264138282328</c:v>
                </c:pt>
                <c:pt idx="109">
                  <c:v>0.3153617667311443</c:v>
                </c:pt>
                <c:pt idx="110">
                  <c:v>0.29323668571160399</c:v>
                </c:pt>
                <c:pt idx="111">
                  <c:v>0.28589018460920423</c:v>
                </c:pt>
                <c:pt idx="112">
                  <c:v>0.29652690056293624</c:v>
                </c:pt>
                <c:pt idx="113">
                  <c:v>0.25293585704655464</c:v>
                </c:pt>
                <c:pt idx="114">
                  <c:v>0.23208747887355</c:v>
                </c:pt>
                <c:pt idx="115">
                  <c:v>0.23633290944561505</c:v>
                </c:pt>
                <c:pt idx="116">
                  <c:v>0.23291172218002998</c:v>
                </c:pt>
                <c:pt idx="117">
                  <c:v>0.22652429799630475</c:v>
                </c:pt>
                <c:pt idx="118">
                  <c:v>0.20485172617018638</c:v>
                </c:pt>
                <c:pt idx="119">
                  <c:v>0.19126154200463513</c:v>
                </c:pt>
                <c:pt idx="120">
                  <c:v>0.18066846931896768</c:v>
                </c:pt>
                <c:pt idx="121">
                  <c:v>0.1580849106540968</c:v>
                </c:pt>
                <c:pt idx="122">
                  <c:v>0.1591749457505694</c:v>
                </c:pt>
                <c:pt idx="123">
                  <c:v>0.15467706004248297</c:v>
                </c:pt>
                <c:pt idx="124">
                  <c:v>0.14050222062921097</c:v>
                </c:pt>
                <c:pt idx="125">
                  <c:v>0.12646792852327712</c:v>
                </c:pt>
                <c:pt idx="126">
                  <c:v>0.1149708441120702</c:v>
                </c:pt>
                <c:pt idx="127">
                  <c:v>0.10730163737185326</c:v>
                </c:pt>
                <c:pt idx="128">
                  <c:v>9.6474676151997077E-2</c:v>
                </c:pt>
                <c:pt idx="129">
                  <c:v>9.5865839559562807E-2</c:v>
                </c:pt>
                <c:pt idx="130">
                  <c:v>7.4357847662596663E-2</c:v>
                </c:pt>
                <c:pt idx="131">
                  <c:v>7.3200826970866495E-2</c:v>
                </c:pt>
                <c:pt idx="132">
                  <c:v>6.8000879783409213E-2</c:v>
                </c:pt>
                <c:pt idx="133">
                  <c:v>6.4185100037410375E-2</c:v>
                </c:pt>
                <c:pt idx="134">
                  <c:v>6.4185100037410334E-2</c:v>
                </c:pt>
                <c:pt idx="135">
                  <c:v>5.9123744861084231E-2</c:v>
                </c:pt>
                <c:pt idx="136">
                  <c:v>5.1838968588585985E-2</c:v>
                </c:pt>
                <c:pt idx="137">
                  <c:v>4.8778054921906532E-2</c:v>
                </c:pt>
                <c:pt idx="138">
                  <c:v>4.2349131737892044E-2</c:v>
                </c:pt>
                <c:pt idx="139">
                  <c:v>4.2229484089545334E-2</c:v>
                </c:pt>
                <c:pt idx="140">
                  <c:v>4.2663058664002079E-2</c:v>
                </c:pt>
                <c:pt idx="141">
                  <c:v>4.1592524732810048E-2</c:v>
                </c:pt>
                <c:pt idx="142">
                  <c:v>3.5419561810447898E-2</c:v>
                </c:pt>
                <c:pt idx="143">
                  <c:v>3.2372358888143091E-2</c:v>
                </c:pt>
                <c:pt idx="144">
                  <c:v>2.269134034636074E-2</c:v>
                </c:pt>
                <c:pt idx="145">
                  <c:v>2.0197163391363428E-2</c:v>
                </c:pt>
                <c:pt idx="146">
                  <c:v>1.0995385600190028E-2</c:v>
                </c:pt>
                <c:pt idx="147">
                  <c:v>9.9937871302036227E-3</c:v>
                </c:pt>
                <c:pt idx="148">
                  <c:v>6.9803030630826209E-3</c:v>
                </c:pt>
                <c:pt idx="149">
                  <c:v>6.7882553982817166E-3</c:v>
                </c:pt>
                <c:pt idx="150">
                  <c:v>5.9883687773777568E-3</c:v>
                </c:pt>
                <c:pt idx="151">
                  <c:v>2.9582742054995001E-3</c:v>
                </c:pt>
                <c:pt idx="152">
                  <c:v>2.5504839818850122E-3</c:v>
                </c:pt>
                <c:pt idx="153">
                  <c:v>1.4202359326484788E-3</c:v>
                </c:pt>
                <c:pt idx="154">
                  <c:v>1.4606820980495011E-3</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-9.5829051758464165E-2</c:v>
                </c:pt>
              </c:numCache>
            </c:numRef>
          </c:val>
        </c:ser>
        <c:dLbls>
          <c:showLegendKey val="0"/>
          <c:showVal val="1"/>
          <c:showCatName val="0"/>
          <c:showSerName val="0"/>
          <c:showPercent val="0"/>
          <c:showBubbleSize val="0"/>
        </c:dLbls>
        <c:gapWidth val="182"/>
        <c:axId val="242475776"/>
        <c:axId val="242476928"/>
      </c:barChart>
      <c:catAx>
        <c:axId val="242475776"/>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t"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242476928"/>
        <c:crosses val="autoZero"/>
        <c:auto val="0"/>
        <c:lblAlgn val="ctr"/>
        <c:lblOffset val="100"/>
        <c:noMultiLvlLbl val="0"/>
      </c:catAx>
      <c:valAx>
        <c:axId val="242476928"/>
        <c:scaling>
          <c:orientation val="minMax"/>
          <c:max val="3.2"/>
          <c:min val="-0.1"/>
        </c:scaling>
        <c:delete val="0"/>
        <c:axPos val="b"/>
        <c:majorGridlines>
          <c:spPr>
            <a:ln w="9525" cap="flat" cmpd="sng" algn="ctr">
              <a:solidFill>
                <a:schemeClr val="tx1">
                  <a:lumMod val="15000"/>
                  <a:lumOff val="85000"/>
                </a:schemeClr>
              </a:solidFill>
              <a:round/>
              <a:headEnd w="lg" len="lg"/>
            </a:ln>
            <a:effectLst/>
          </c:spPr>
        </c:majorGridlines>
        <c:minorGridlines>
          <c:spPr>
            <a:ln w="9525" cap="flat" cmpd="sng" algn="ctr">
              <a:solidFill>
                <a:schemeClr val="tx1">
                  <a:lumMod val="5000"/>
                  <a:lumOff val="95000"/>
                </a:schemeClr>
              </a:solidFill>
              <a:round/>
            </a:ln>
            <a:effectLst/>
          </c:spPr>
        </c:minorGridlines>
        <c:numFmt formatCode="0.0%" sourceLinked="1"/>
        <c:majorTickMark val="none"/>
        <c:minorTickMark val="cross"/>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2475776"/>
        <c:crossesAt val="1"/>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dLbl>
              <c:idx val="0"/>
              <c:layout>
                <c:manualLayout>
                  <c:x val="8.5470123817270607E-2"/>
                  <c:y val="-7.0512856103803812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7.4074107308301301E-2"/>
                  <c:y val="8.333337539540450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'TRC Figure'!$V$3:$V$4</c:f>
              <c:strCache>
                <c:ptCount val="2"/>
                <c:pt idx="0">
                  <c:v>No change to TRC</c:v>
                </c:pt>
                <c:pt idx="1">
                  <c:v>Total measures</c:v>
                </c:pt>
              </c:strCache>
            </c:strRef>
          </c:cat>
          <c:val>
            <c:numRef>
              <c:f>'TRC Figure'!$W$3:$W$4</c:f>
              <c:numCache>
                <c:formatCode>General</c:formatCode>
                <c:ptCount val="2"/>
                <c:pt idx="0">
                  <c:v>82</c:v>
                </c:pt>
                <c:pt idx="1">
                  <c:v>156</c:v>
                </c:pt>
              </c:numCache>
            </c:numRef>
          </c:val>
        </c:ser>
        <c:dLbls>
          <c:showLegendKey val="0"/>
          <c:showVal val="0"/>
          <c:showCatName val="0"/>
          <c:showSerName val="0"/>
          <c:showPercent val="0"/>
          <c:showBubbleSize val="0"/>
          <c:showLeaderLines val="0"/>
        </c:dLbls>
        <c:firstSliceAng val="0"/>
        <c:holeSize val="75"/>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i="1"/>
              <a:t>Total</a:t>
            </a:r>
            <a:r>
              <a:rPr lang="en-US" i="1" baseline="0"/>
              <a:t> count of  TRC change occurances summarized by  categorized magnitude of change </a:t>
            </a:r>
            <a:endParaRPr lang="en-US" i="1"/>
          </a:p>
        </c:rich>
      </c:tx>
      <c:overlay val="0"/>
      <c:spPr>
        <a:noFill/>
        <a:ln>
          <a:noFill/>
        </a:ln>
        <a:effectLst/>
      </c:sp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'TRC Figure'!$BC$3:$BC$14</c:f>
              <c:strCache>
                <c:ptCount val="12"/>
                <c:pt idx="0">
                  <c:v>&gt; -10% and &lt; 0%</c:v>
                </c:pt>
                <c:pt idx="1">
                  <c:v>0%</c:v>
                </c:pt>
                <c:pt idx="2">
                  <c:v>&gt; 0% and 10%</c:v>
                </c:pt>
                <c:pt idx="3">
                  <c:v>&gt; 10% and 20%</c:v>
                </c:pt>
                <c:pt idx="4">
                  <c:v>&gt; 20% and 30%</c:v>
                </c:pt>
                <c:pt idx="5">
                  <c:v>&gt; 30% and 40%</c:v>
                </c:pt>
                <c:pt idx="6">
                  <c:v>&gt; 40% and 50%</c:v>
                </c:pt>
                <c:pt idx="7">
                  <c:v>&gt; 50% and 60%</c:v>
                </c:pt>
                <c:pt idx="8">
                  <c:v>&gt; 60% and 75%</c:v>
                </c:pt>
                <c:pt idx="9">
                  <c:v>&gt; 115% and 125%</c:v>
                </c:pt>
                <c:pt idx="10">
                  <c:v>&gt; 175% and 230%</c:v>
                </c:pt>
                <c:pt idx="11">
                  <c:v>&gt; 275%</c:v>
                </c:pt>
              </c:strCache>
            </c:strRef>
          </c:cat>
          <c:val>
            <c:numRef>
              <c:f>'TRC Figure'!$BD$3:$BD$14</c:f>
              <c:numCache>
                <c:formatCode>General</c:formatCode>
                <c:ptCount val="12"/>
                <c:pt idx="0">
                  <c:v>1</c:v>
                </c:pt>
                <c:pt idx="1">
                  <c:v>82</c:v>
                </c:pt>
                <c:pt idx="2">
                  <c:v>27</c:v>
                </c:pt>
                <c:pt idx="3">
                  <c:v>9</c:v>
                </c:pt>
                <c:pt idx="4">
                  <c:v>9</c:v>
                </c:pt>
                <c:pt idx="5">
                  <c:v>62</c:v>
                </c:pt>
                <c:pt idx="6">
                  <c:v>17</c:v>
                </c:pt>
                <c:pt idx="7">
                  <c:v>3</c:v>
                </c:pt>
                <c:pt idx="8">
                  <c:v>5</c:v>
                </c:pt>
                <c:pt idx="9">
                  <c:v>17</c:v>
                </c:pt>
                <c:pt idx="10">
                  <c:v>2</c:v>
                </c:pt>
                <c:pt idx="11">
                  <c:v>4</c:v>
                </c:pt>
              </c:numCache>
            </c:numRef>
          </c:val>
        </c:ser>
        <c:dLbls>
          <c:showLegendKey val="0"/>
          <c:showVal val="0"/>
          <c:showCatName val="0"/>
          <c:showSerName val="0"/>
          <c:showPercent val="0"/>
          <c:showBubbleSize val="0"/>
        </c:dLbls>
        <c:gapWidth val="219"/>
        <c:overlap val="-27"/>
        <c:axId val="242559616"/>
        <c:axId val="242581888"/>
      </c:barChart>
      <c:catAx>
        <c:axId val="24255961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2581888"/>
        <c:crosses val="autoZero"/>
        <c:auto val="1"/>
        <c:lblAlgn val="ctr"/>
        <c:lblOffset val="100"/>
        <c:noMultiLvlLbl val="0"/>
      </c:catAx>
      <c:valAx>
        <c:axId val="2425818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25596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dLbl>
              <c:idx val="0"/>
              <c:layout>
                <c:manualLayout>
                  <c:x val="8.5470123817270607E-2"/>
                  <c:y val="-7.0512856103803812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7.4074107308301301E-2"/>
                  <c:y val="8.333337539540450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'TRC Figure'!$V$3:$V$4</c:f>
              <c:strCache>
                <c:ptCount val="2"/>
                <c:pt idx="0">
                  <c:v>No change to TRC</c:v>
                </c:pt>
                <c:pt idx="1">
                  <c:v>Total measures</c:v>
                </c:pt>
              </c:strCache>
            </c:strRef>
          </c:cat>
          <c:val>
            <c:numRef>
              <c:f>'TRC Figure'!$W$3:$W$4</c:f>
              <c:numCache>
                <c:formatCode>General</c:formatCode>
                <c:ptCount val="2"/>
                <c:pt idx="0">
                  <c:v>82</c:v>
                </c:pt>
                <c:pt idx="1">
                  <c:v>156</c:v>
                </c:pt>
              </c:numCache>
            </c:numRef>
          </c:val>
        </c:ser>
        <c:dLbls>
          <c:showLegendKey val="0"/>
          <c:showVal val="0"/>
          <c:showCatName val="0"/>
          <c:showSerName val="0"/>
          <c:showPercent val="0"/>
          <c:showBubbleSize val="0"/>
          <c:showLeaderLines val="0"/>
        </c:dLbls>
        <c:firstSliceAng val="0"/>
        <c:holeSize val="75"/>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TRC Test Impact Due</a:t>
            </a:r>
            <a:r>
              <a:rPr lang="en-US" baseline="0"/>
              <a:t> to NEB Addition (% change)</a:t>
            </a:r>
          </a:p>
        </c:rich>
      </c:tx>
      <c:layout>
        <c:manualLayout>
          <c:xMode val="edge"/>
          <c:yMode val="edge"/>
          <c:x val="0.35643705900343081"/>
          <c:y val="0"/>
        </c:manualLayout>
      </c:layout>
      <c:overlay val="0"/>
      <c:spPr>
        <a:noFill/>
        <a:ln>
          <a:noFill/>
        </a:ln>
        <a:effectLst/>
      </c:spPr>
    </c:title>
    <c:autoTitleDeleted val="0"/>
    <c:plotArea>
      <c:layout>
        <c:manualLayout>
          <c:layoutTarget val="inner"/>
          <c:xMode val="edge"/>
          <c:yMode val="edge"/>
          <c:x val="0.49371445362936411"/>
          <c:y val="1.3618768178585572E-2"/>
          <c:w val="0.7541723688091736"/>
          <c:h val="0.97956280326007938"/>
        </c:manualLayout>
      </c:layout>
      <c:barChart>
        <c:barDir val="bar"/>
        <c:grouping val="clustered"/>
        <c:varyColors val="0"/>
        <c:ser>
          <c:idx val="0"/>
          <c:order val="0"/>
          <c:spPr>
            <a:solidFill>
              <a:schemeClr val="accent1"/>
            </a:solidFill>
            <a:ln>
              <a:noFill/>
            </a:ln>
            <a:effectLst/>
          </c:spPr>
          <c:invertIfNegative val="0"/>
          <c:dLbls>
            <c:dLbl>
              <c:idx val="119"/>
              <c:layout>
                <c:manualLayout>
                  <c:x val="1.3484898873050409E-4"/>
                  <c:y val="1.6203003242746741E-4"/>
                </c:manualLayout>
              </c:layout>
              <c:showLegendKey val="0"/>
              <c:showVal val="1"/>
              <c:showCatName val="0"/>
              <c:showSerName val="0"/>
              <c:showPercent val="0"/>
              <c:showBubbleSize val="0"/>
              <c:extLst>
                <c:ext xmlns:c15="http://schemas.microsoft.com/office/drawing/2012/chart" uri="{CE6537A1-D6FC-4f65-9D91-7224C49458BB}"/>
              </c:extLst>
            </c:dLbl>
            <c:dLbl>
              <c:idx val="237"/>
              <c:layout>
                <c:manualLayout>
                  <c:x val="-4.1422219666770815E-2"/>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overflow" horzOverflow="overflow" vert="horz" wrap="square" lIns="0" tIns="19050" rIns="0" bIns="19050" anchor="t"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0"/>
              </c:ext>
            </c:extLst>
          </c:dLbls>
          <c:cat>
            <c:strRef>
              <c:f>'TRC Figure'!$A$1:$A$238</c:f>
              <c:strCache>
                <c:ptCount val="238"/>
                <c:pt idx="0">
                  <c:v>Residential - Efficient Product Rebates; Room A/C Retirement; RES-HVAC/Shell; RES-SF</c:v>
                </c:pt>
                <c:pt idx="1">
                  <c:v>BNI- Direct Installation; Faucet Aerator; COM-Other; Office</c:v>
                </c:pt>
                <c:pt idx="2">
                  <c:v>BNI- Direct Installation; Faucet Aerator; COM-Other; Other Commercial</c:v>
                </c:pt>
                <c:pt idx="3">
                  <c:v>BNI- Direct Installation; Faucet Aerator; COM-Other; Retail</c:v>
                </c:pt>
                <c:pt idx="4">
                  <c:v>Existing Residential; DHW Pipe Insulation; RES-Water Heat; MURB</c:v>
                </c:pt>
                <c:pt idx="5">
                  <c:v>BNI- Direct Installation; Low Flow Showerheads; COM-Other; Other Commercial</c:v>
                </c:pt>
                <c:pt idx="6">
                  <c:v>BNI- Direct Installation; Ground Source Heat Pump; COM-HVAC; School</c:v>
                </c:pt>
                <c:pt idx="7">
                  <c:v>BNI- Direct Installation; Ground/Water Source Heat Pumps; COM-HVAC; School</c:v>
                </c:pt>
                <c:pt idx="8">
                  <c:v>BNI- Direct Installation; High-Efficiency Air Source Heat Pumps; COM-HVAC; School</c:v>
                </c:pt>
                <c:pt idx="9">
                  <c:v>BNI- Direct Installation; High-Efficiency Air Source Heat Pumps; COM-HVAC; School</c:v>
                </c:pt>
                <c:pt idx="10">
                  <c:v>BNI- Direct Installation; Ground Source Heat Pump; COM-HVAC; Retail</c:v>
                </c:pt>
                <c:pt idx="11">
                  <c:v>BNI- Direct Installation; Ground/Water Source Heat Pumps; COM-HVAC; Retail</c:v>
                </c:pt>
                <c:pt idx="12">
                  <c:v>BNI- Direct Installation; High-Efficiency Air Source Heat Pumps; COM-HVAC; Retail</c:v>
                </c:pt>
                <c:pt idx="13">
                  <c:v>BNI- Direct Installation; High-Efficiency Air Source Heat Pumps; COM-HVAC; Retail</c:v>
                </c:pt>
                <c:pt idx="14">
                  <c:v>BNI- Direct Installation; High-Efficiency Air Source Heat Pumps; COM-HVAC; Other Commercial</c:v>
                </c:pt>
                <c:pt idx="15">
                  <c:v>BNI- Direct Installation; High-Efficiency Air Source Heat Pumps; COM-HVAC; Other Commercial</c:v>
                </c:pt>
                <c:pt idx="16">
                  <c:v>BNI- Direct Installation; Ground/Water Source Heat Pumps; COM-HVAC; Other Commercial</c:v>
                </c:pt>
                <c:pt idx="17">
                  <c:v>BNI- Direct Installation; Ground Source Heat Pump; COM-HVAC; Other Commercial</c:v>
                </c:pt>
                <c:pt idx="18">
                  <c:v>BNI- Direct Installation; Ground Source Heat Pump; COM-HVAC; Office</c:v>
                </c:pt>
                <c:pt idx="19">
                  <c:v>BNI- Direct Installation; Ground/Water Source Heat Pumps; COM-HVAC; Office</c:v>
                </c:pt>
                <c:pt idx="20">
                  <c:v>BNI- Direct Installation; High-Efficiency Air Source Heat Pumps; COM-HVAC; Office</c:v>
                </c:pt>
                <c:pt idx="21">
                  <c:v>BNI- Direct Installation; High-Efficiency Air Source Heat Pumps; COM-HVAC; Office</c:v>
                </c:pt>
                <c:pt idx="22">
                  <c:v>BNI - Efficient Product Rebates; ENERGY STAR® Self Contained Ice Maker; COM-Refrigeration; Retail</c:v>
                </c:pt>
                <c:pt idx="23">
                  <c:v>BNI- Direct Installation; DHW Tank Wrap; COM-Other; Office</c:v>
                </c:pt>
                <c:pt idx="24">
                  <c:v>BNI- Direct Installation; DHW Tank Wrap; COM-Other; Retail</c:v>
                </c:pt>
                <c:pt idx="25">
                  <c:v>BNI - Efficient Product Rebates; Solid Door Commercial Freezer; COM-Refrigeration; Retail</c:v>
                </c:pt>
                <c:pt idx="26">
                  <c:v>BNI - Efficient Product Rebates; Glass Door Commercial Refrigerator; COM-Refrigeration; Retail</c:v>
                </c:pt>
                <c:pt idx="27">
                  <c:v>BNI - Efficient Product Rebates; Solid Door Commercial Refrigerator; COM-Refrigeration; Retail</c:v>
                </c:pt>
                <c:pt idx="28">
                  <c:v>BNI- Direct Installation; DHW Pipe Insulation; COM-Other; Office</c:v>
                </c:pt>
                <c:pt idx="29">
                  <c:v>BNI- Direct Installation; DHW Pipe Insulation; COM-Other; Retail</c:v>
                </c:pt>
                <c:pt idx="30">
                  <c:v>Existing Residential; DHW Pipe Insulation; RES-Water Heat; RES-SF</c:v>
                </c:pt>
                <c:pt idx="31">
                  <c:v>BNI - Efficient Product Rebates; Single-Tank Door Type Dishwasher (Low Temp); COM-Other; Retail</c:v>
                </c:pt>
                <c:pt idx="32">
                  <c:v>BNI - Efficient Product Rebates; Multi-Tank Conveyor Commercial Dish Washer (Low Temp); COM-Other; Retail</c:v>
                </c:pt>
                <c:pt idx="33">
                  <c:v>Custom Incentives; Custom Efficiency; IND; Industrial </c:v>
                </c:pt>
                <c:pt idx="34">
                  <c:v>BNI - Efficient Product Rebates; Lighting Controls - Occupancy Sensors; IND; Industrial </c:v>
                </c:pt>
                <c:pt idx="35">
                  <c:v>Custom Incentives; Custom Efficiency; COM-Other; COM</c:v>
                </c:pt>
                <c:pt idx="36">
                  <c:v>BNI - Efficient Product Rebates; Daylighting Controls; COM-Lighting; School</c:v>
                </c:pt>
                <c:pt idx="37">
                  <c:v>BNI - Efficient Product Rebates; T8 Dimmable Stairwell Lighting; COM-Lighting; School</c:v>
                </c:pt>
                <c:pt idx="38">
                  <c:v>BNI - Efficient Product Rebates; Lighting Controls - Occupancy Sensors; COM-Lighting; School</c:v>
                </c:pt>
                <c:pt idx="39">
                  <c:v>Residential - Efficient Product Rebates; Hardwired Dimmer Switch; RES-Lighting; RES-SF</c:v>
                </c:pt>
                <c:pt idx="40">
                  <c:v>BNI - Efficient Product Rebates; T8 Dimmable Stairwell Lighting; COM-Lighting; Office</c:v>
                </c:pt>
                <c:pt idx="41">
                  <c:v>BNI - Efficient Product Rebates; Daylighting Controls; COM-Lighting; Office</c:v>
                </c:pt>
                <c:pt idx="42">
                  <c:v>BNI - Efficient Product Rebates; Lighting Controls - Occupancy Sensors; COM-Lighting; Office</c:v>
                </c:pt>
                <c:pt idx="43">
                  <c:v>BNI - Efficient Product Rebates; Daylighting Controls; COM-Lighting; Other Commercial</c:v>
                </c:pt>
                <c:pt idx="44">
                  <c:v>BNI - Efficient Product Rebates; T8 Dimmable Stairwell Lighting; COM-Lighting; Other Commercial</c:v>
                </c:pt>
                <c:pt idx="45">
                  <c:v>BNI - Efficient Product Rebates; Lighting Controls - Occupancy Sensors; COM-Lighting; Other Commercial</c:v>
                </c:pt>
                <c:pt idx="46">
                  <c:v>BNI - Efficient Product Rebates; LED Refrigeration Strip Lighting-End of Life replacement; COM-Lighting; Other Commercial</c:v>
                </c:pt>
                <c:pt idx="47">
                  <c:v>Existing Residential; Low Flow (1.25 GPM) showerhead; RES-Water Heat; MURB</c:v>
                </c:pt>
                <c:pt idx="48">
                  <c:v>BNI - Efficient Product Rebates; Lighting Controls - Occupancy Sensors; COM-Lighting; Retail</c:v>
                </c:pt>
                <c:pt idx="49">
                  <c:v>BNI - Efficient Product Rebates; T8 Dimmable Stairwell Lighting; COM-Lighting; Retail</c:v>
                </c:pt>
                <c:pt idx="50">
                  <c:v>BNI - Efficient Product Rebates; Daylighting Controls; COM-Lighting; Retail</c:v>
                </c:pt>
                <c:pt idx="51">
                  <c:v>BNI - Efficient Product Rebates; LED Refrigeration Strip Lighting-End of Life replacement; COM-Lighting; School</c:v>
                </c:pt>
                <c:pt idx="52">
                  <c:v>BNI - Efficient Product Rebates; LED Refrigeration Strip Lighting-End of Life replacement; COM-Lighting; Retail</c:v>
                </c:pt>
                <c:pt idx="53">
                  <c:v>BNI - Efficient Product Rebates; Photoluminescent Exit Sign; IND; Industrial </c:v>
                </c:pt>
                <c:pt idx="54">
                  <c:v>BNI - Efficient Product Rebates; Photoluminescent Exit Sign; COM-Lighting; Office</c:v>
                </c:pt>
                <c:pt idx="55">
                  <c:v>BNI - Efficient Product Rebates; Photoluminescent Exit Sign; COM-Lighting; Other Commercial</c:v>
                </c:pt>
                <c:pt idx="56">
                  <c:v>BNI - Efficient Product Rebates; Photoluminescent Exit Sign; COM-Lighting; Retail</c:v>
                </c:pt>
                <c:pt idx="57">
                  <c:v>BNI - Efficient Product Rebates; Photoluminescent Exit Sign; COM-Lighting; School</c:v>
                </c:pt>
                <c:pt idx="58">
                  <c:v>BNI - Efficient Product Rebates; LED Exit Sign-End of Life replacement; IND; Industrial </c:v>
                </c:pt>
                <c:pt idx="59">
                  <c:v>BNI - Efficient Product Rebates; LED Exit Sign-End of Life replacement; COM-Lighting; Office</c:v>
                </c:pt>
                <c:pt idx="60">
                  <c:v>BNI - Efficient Product Rebates; LED Exit Sign-End of Life replacement; COM-Lighting; Other Commercial</c:v>
                </c:pt>
                <c:pt idx="61">
                  <c:v>BNI - Efficient Product Rebates; LED Exit Sign-End of Life replacement; COM-Lighting; Retail</c:v>
                </c:pt>
                <c:pt idx="62">
                  <c:v>BNI - Efficient Product Rebates; LED Exit Sign-End of Life replacement; COM-Lighting; School</c:v>
                </c:pt>
                <c:pt idx="63">
                  <c:v>BNI - Efficient Product Rebates; LED Lamps-End of Life; COM-Lighting; Office</c:v>
                </c:pt>
                <c:pt idx="64">
                  <c:v>BNI- Direct Installation; LED Lamps-End of Life-BES; COM-Lighting; Office</c:v>
                </c:pt>
                <c:pt idx="65">
                  <c:v>BNI - Efficient Product Rebates; LED Linear Replacement Lamps; COM-Lighting; Office</c:v>
                </c:pt>
                <c:pt idx="66">
                  <c:v>BNI - Efficient Product Rebates; LED Lamps-Retrofit (dual baseline); COM-Lighting; Office</c:v>
                </c:pt>
                <c:pt idx="67">
                  <c:v>BNI- Direct Installation; LED Lamps-Retrofit (dual baseline)-BES; COM-Lighting; Office</c:v>
                </c:pt>
                <c:pt idx="68">
                  <c:v>BNI - Efficient Product Rebates; Fluorescent T5 and HPT8 Fixtures (4 FT) lamps-Retrofit (dual baseline); COM-Lighting; Other Commercial</c:v>
                </c:pt>
                <c:pt idx="69">
                  <c:v>BNI - Efficient Product Rebates; LED Lamps-End of Life; COM-Lighting; Other Commercial</c:v>
                </c:pt>
                <c:pt idx="70">
                  <c:v>BNI- Direct Installation; LED Lamps-End of Life-BES; COM-Lighting; Other Commercial</c:v>
                </c:pt>
                <c:pt idx="71">
                  <c:v>BNI- Direct Installation; LED Lamps-Retrofit (dual baseline)-BES; COM-Lighting; Other Commercial</c:v>
                </c:pt>
                <c:pt idx="72">
                  <c:v>BNI - Efficient Product Rebates; LED Linear Replacement Lamps; COM-Lighting; Other Commercial</c:v>
                </c:pt>
                <c:pt idx="73">
                  <c:v>BNI - Efficient Product Rebates; LED Lamps-Retrofit (dual baseline); COM-Lighting; Other Commercial</c:v>
                </c:pt>
                <c:pt idx="74">
                  <c:v>BNI - Efficient Product Rebates; LED Linear Replacement Lamps; COM-Lighting; School</c:v>
                </c:pt>
                <c:pt idx="75">
                  <c:v>BNI - Efficient Product Rebates; LED Lamps-Retrofit (dual baseline); COM-Lighting; School</c:v>
                </c:pt>
                <c:pt idx="76">
                  <c:v>BNI - Efficient Product Rebates; LED Lamps-End of Life; COM-Lighting; School</c:v>
                </c:pt>
                <c:pt idx="77">
                  <c:v>BNI - Efficient Product Rebates; LED Lamps-Retrofit (dual baseline); COM-Lighting; Retail</c:v>
                </c:pt>
                <c:pt idx="78">
                  <c:v>BNI- Direct Installation; LED Lamps-End of Life-BES; COM-Lighting; Retail</c:v>
                </c:pt>
                <c:pt idx="79">
                  <c:v>BNI- Direct Installation; LED Lamps-Retrofit (dual baseline)-BES; COM-Lighting; Retail</c:v>
                </c:pt>
                <c:pt idx="80">
                  <c:v>BNI - Efficient Product Rebates; LED Linear Replacement Lamps; COM-Lighting; Retail</c:v>
                </c:pt>
                <c:pt idx="81">
                  <c:v>BNI - Efficient Product Rebates; LED Lamps-End of Life; COM-Lighting; Retail</c:v>
                </c:pt>
                <c:pt idx="82">
                  <c:v>BNI- Direct Installation; Relamp/Reballast-Retrofit (dual baseline)-BES; COM-Lighting; Office</c:v>
                </c:pt>
                <c:pt idx="83">
                  <c:v>BNI - Efficient Product Rebates; Relamp/Reballast-Retrofit (dual baseline); COM-Lighting; Office</c:v>
                </c:pt>
                <c:pt idx="84">
                  <c:v>BNI - Efficient Product Rebates; LED Low Bay Fixture; COM-Lighting; Office</c:v>
                </c:pt>
                <c:pt idx="85">
                  <c:v>BNI - Efficient Product Rebates; LED High Bay Fixture; COM-Lighting; Other Commercial</c:v>
                </c:pt>
                <c:pt idx="86">
                  <c:v>BNI - Efficient Product Rebates; LED Low Bay Fixture; COM-Lighting; Other Commercial</c:v>
                </c:pt>
                <c:pt idx="87">
                  <c:v>BNI- Direct Installation; Relamp/Reballast-Retrofit (dual baseline)-BES; COM-Lighting; Other Commercial</c:v>
                </c:pt>
                <c:pt idx="88">
                  <c:v>BNI - Efficient Product Rebates; Relamp/Reballast-Retrofit (dual baseline); COM-Lighting; Other Commercial</c:v>
                </c:pt>
                <c:pt idx="89">
                  <c:v>BNI - Efficient Product Rebates; LED Low Bay Fixture; COM-Lighting; School</c:v>
                </c:pt>
                <c:pt idx="90">
                  <c:v>BNI - Efficient Product Rebates; Relamp/Reballast-Retrofit (dual baseline); COM-Lighting; School</c:v>
                </c:pt>
                <c:pt idx="91">
                  <c:v>BNI - Efficient Product Rebates; LED High Bay Fixture; COM-Lighting; School</c:v>
                </c:pt>
                <c:pt idx="92">
                  <c:v>BNI - Efficient Product Rebates; LED Low Bay Fixture; COM-Lighting; Retail</c:v>
                </c:pt>
                <c:pt idx="93">
                  <c:v>BNI- Direct Installation; Relamp/Reballast-Retrofit (dual baseline)-BES; COM-Lighting; Retail</c:v>
                </c:pt>
                <c:pt idx="94">
                  <c:v>BNI - Efficient Product Rebates; LED High Bay Fixture; COM-Lighting; Retail</c:v>
                </c:pt>
                <c:pt idx="95">
                  <c:v>BNI - Efficient Product Rebates; Relamp/Reballast-Retrofit (dual baseline); COM-Lighting; Retail</c:v>
                </c:pt>
                <c:pt idx="96">
                  <c:v>BNI - Efficient Product Rebates; LED Linear Replacement Lamps; IND; Industrial </c:v>
                </c:pt>
                <c:pt idx="97">
                  <c:v>BNI - Efficient Product Rebates; LED Lamps-End of Life; IND; Industrial </c:v>
                </c:pt>
                <c:pt idx="98">
                  <c:v>BNI - Efficient Product Rebates; T8 Dimmable Stairwell Lighting; IND; Industrial </c:v>
                </c:pt>
                <c:pt idx="99">
                  <c:v>BNI - Efficient Product Rebates; LED Lamps-Retrofit (dual baseline); IND; Industrial </c:v>
                </c:pt>
                <c:pt idx="100">
                  <c:v>Existing Residential; DHW Tank Wrap; RES-Water Heat; MURB</c:v>
                </c:pt>
                <c:pt idx="101">
                  <c:v>BNI - Efficient Product Rebates; ENERGY STAR® Ice Making Head; COM-Refrigeration; Retail</c:v>
                </c:pt>
                <c:pt idx="102">
                  <c:v>BNI - Efficient Product Rebates; Relamp/Reballast-Retrofit (dual baseline); IND; Industrial </c:v>
                </c:pt>
                <c:pt idx="103">
                  <c:v>BNI - Efficient Product Rebates; LED Low Bay Fixture; IND; Industrial </c:v>
                </c:pt>
                <c:pt idx="104">
                  <c:v>BNI - Efficient Product Rebates; LED High Bay Fixture; IND; Industrial </c:v>
                </c:pt>
                <c:pt idx="105">
                  <c:v>BNI - Efficient Product Rebates; LED Exterior Fixtures-End of Life replacement; COM-Lighting; Office</c:v>
                </c:pt>
                <c:pt idx="106">
                  <c:v>BNI - Efficient Product Rebates; LED Exterior Fixtures-End of Life replacement; COM-Lighting; Other Commercial</c:v>
                </c:pt>
                <c:pt idx="107">
                  <c:v>BNI - Efficient Product Rebates; LED Exterior Fixtures-End of Life replacement; COM-Lighting; Retail</c:v>
                </c:pt>
                <c:pt idx="108">
                  <c:v>BNI - Efficient Product Rebates; LED Exterior Fixtures-End of Life replacement; COM-Lighting; School</c:v>
                </c:pt>
                <c:pt idx="109">
                  <c:v>BNI - Efficient Product Rebates; LED Exterior Fixtures-End of Life replacement; IND; Industrial </c:v>
                </c:pt>
                <c:pt idx="110">
                  <c:v>BNI - Efficient Product Rebates; Single-Tank Conveyor Dishwasher (Low Temp); COM-Other; Retail</c:v>
                </c:pt>
                <c:pt idx="111">
                  <c:v>Existing Residential; Low Flow (1.25 GPM) showerhead; RES-Water Heat; RES-SF</c:v>
                </c:pt>
                <c:pt idx="112">
                  <c:v>Existing Residential; DHW Tank Wrap; RES-Water Heat; RES-SF</c:v>
                </c:pt>
                <c:pt idx="113">
                  <c:v>New Residential; EnerGuide 83 New Home; RES-Package; RES-NC</c:v>
                </c:pt>
                <c:pt idx="114">
                  <c:v>BNI - Efficient Product Rebates; Single Tank Door Dishwasher with Booster (High Temp); COM-Other; Retail</c:v>
                </c:pt>
                <c:pt idx="115">
                  <c:v>Existing Residential; 1W LED Nightlight; RES-Lighting; MURB</c:v>
                </c:pt>
                <c:pt idx="116">
                  <c:v>Existing Residential; 12 W LED; RES-Lighting; MURB</c:v>
                </c:pt>
                <c:pt idx="117">
                  <c:v>BNI - Efficient Product Rebates; ENERGY STAR® Remote Condensing Head/Split System Ice Maker; COM-Refrigeration; Retail</c:v>
                </c:pt>
                <c:pt idx="118">
                  <c:v>BNI - Efficient Product Rebates; Multi Tank Conveyor Dishwasher with Booster (High Temp); COM-Other; Retail</c:v>
                </c:pt>
                <c:pt idx="119">
                  <c:v>Existing Residential; 1W LED Nightlight; RES-Lighting; RES-SF</c:v>
                </c:pt>
                <c:pt idx="120">
                  <c:v>New Residential; EnerGuide 85 New Home; RES-Package; RES-NC</c:v>
                </c:pt>
                <c:pt idx="121">
                  <c:v>New Residential; EnerGuide 86 New Home; RES-Package; RES-NC</c:v>
                </c:pt>
                <c:pt idx="122">
                  <c:v>Existing Residential; Building Envelope Retrofits (Insulation, Draft Proofing, EnergyStar Windows and Doors); RES-HVAC/Shell; RES-SF</c:v>
                </c:pt>
                <c:pt idx="123">
                  <c:v>Residential - Efficient Product Rebates; Indoor Motion Sensor; RES-Lighting; RES-SF</c:v>
                </c:pt>
                <c:pt idx="124">
                  <c:v>New Residential; EnerGuide 87 New Home; RES-Package; RES-NC</c:v>
                </c:pt>
                <c:pt idx="125">
                  <c:v>New Residential; EnerGuide 88 New Home; RES-Package; RES-NC</c:v>
                </c:pt>
                <c:pt idx="126">
                  <c:v>New Residential; EnerGuide 88+ New Home; RES-Package; RES-NC</c:v>
                </c:pt>
                <c:pt idx="127">
                  <c:v>Existing Residential; Low Flow Faucet Aerator, 1.5 GPM; RES-Water Heat; MURB</c:v>
                </c:pt>
                <c:pt idx="128">
                  <c:v>BNI - Efficient Product Rebates; Under Counter Commercial Dishwasher (Low Temp); COM-Other; Retail</c:v>
                </c:pt>
                <c:pt idx="129">
                  <c:v>BNI - Efficient Product Rebates; Single Tank Conveyor Dishwasher with Booster (High Temp); COM-Other; Retail</c:v>
                </c:pt>
                <c:pt idx="130">
                  <c:v>BNI - Efficient Product Rebates; Under Counter Dishwasher with Booster (High Temp); COM-Other; Retail</c:v>
                </c:pt>
                <c:pt idx="131">
                  <c:v>Existing Residential; 5W Chandelier LED bulb; RES-Lighting; MURB</c:v>
                </c:pt>
                <c:pt idx="132">
                  <c:v>Residential - Efficient Product Rebates; ENERGY STAR® LED Lamps; RES-Lighting; RES-SF</c:v>
                </c:pt>
                <c:pt idx="133">
                  <c:v>Custom Incentives; Whole Building 40% Over Baseline; COM-Other; New Construction - BNI</c:v>
                </c:pt>
                <c:pt idx="134">
                  <c:v>Custom Incentives; Whole Building 20% Over Baseline; COM-Other; New Construction - BNI</c:v>
                </c:pt>
                <c:pt idx="135">
                  <c:v>Existing Residential; 8 W LED; RES-Lighting; MURB</c:v>
                </c:pt>
                <c:pt idx="136">
                  <c:v>Existing Residential; 10.5 W LED; RES-Lighting; RES-SF</c:v>
                </c:pt>
                <c:pt idx="137">
                  <c:v>Residential - Efficient Product Rebates; Outdoor Motion Sensor; RES-Lighting; RES-SF</c:v>
                </c:pt>
                <c:pt idx="138">
                  <c:v>Existing Residential; Certified Pellet Boiler or Furnace Supplemented by Baseboard Heat (Whole Home); RES-HVAC/Shell; RES-SF</c:v>
                </c:pt>
                <c:pt idx="139">
                  <c:v>Existing Residential; Certified Wood Boiler or Furnace; RES-HVAC/Shell; RES-SF</c:v>
                </c:pt>
                <c:pt idx="140">
                  <c:v>Existing Residential; 12 W LED; RES-Lighting; MURB</c:v>
                </c:pt>
                <c:pt idx="141">
                  <c:v>Existing Residential; Ground Source Heat Pump; RES-HVAC/Shell; RES-SF</c:v>
                </c:pt>
                <c:pt idx="142">
                  <c:v>Existing Residential; ENERGY STAR® Windows (300 ft2) (Replace Double Pane); RES-HVAC/Shell; RES-SF</c:v>
                </c:pt>
                <c:pt idx="143">
                  <c:v>Existing Residential; 11 W LED; RES-Lighting; RES-SF</c:v>
                </c:pt>
                <c:pt idx="144">
                  <c:v>Existing Residential; Solar DHW; RES-Water Heat; RES-SF</c:v>
                </c:pt>
                <c:pt idx="145">
                  <c:v>Residential - Efficient Product Rebates; Heavy Duty Outdoor Timer; RES-Plug Load; RES-SF</c:v>
                </c:pt>
                <c:pt idx="146">
                  <c:v>Existing Residential; ENERGY STAR® Windows (Replace Single Pane); RES-HVAC/Shell; RES-SF</c:v>
                </c:pt>
                <c:pt idx="147">
                  <c:v>Existing Residential; ENERGY STAR® Air Source Heat Pump; RES-HVAC/Shell; RES-SF</c:v>
                </c:pt>
                <c:pt idx="148">
                  <c:v>Existing Residential; Certified Pellet Stove; RES-HVAC/Shell; RES-SF</c:v>
                </c:pt>
                <c:pt idx="149">
                  <c:v>Existing Residential; Low Flow Faucet Aerator, 1.5 GPM; RES-Water Heat; RES-SF</c:v>
                </c:pt>
                <c:pt idx="150">
                  <c:v>Existing Residential; Certified Wood Stove; RES-HVAC/Shell; RES-SF</c:v>
                </c:pt>
                <c:pt idx="151">
                  <c:v>Residential - Efficient Product Rebates; Freezer Retirement; RES-Appliance; RES-SF</c:v>
                </c:pt>
                <c:pt idx="152">
                  <c:v>Residential - Efficient Product Rebates; Refrigerator Retirement; RES-Appliance; RES-SF</c:v>
                </c:pt>
                <c:pt idx="153">
                  <c:v>Existing Residential; Advanced Automatic Pellet Combo Boiler; RES-HVAC/Shell; RES-SF</c:v>
                </c:pt>
                <c:pt idx="154">
                  <c:v>Existing Residential; ENERGY STAR® Refrigerator (Replacement); RES-Appliance; MURB</c:v>
                </c:pt>
                <c:pt idx="155">
                  <c:v>New Residential; Solar DHW; RES-Water Heat; RES-NC</c:v>
                </c:pt>
                <c:pt idx="156">
                  <c:v>Existing Residential; Solar Space and Water Heat (Supplement Electricity); RES-Package; RES-SF</c:v>
                </c:pt>
                <c:pt idx="157">
                  <c:v>Existing Residential; ENERGY STAR® Door; RES-HVAC/Shell; RES-SF</c:v>
                </c:pt>
                <c:pt idx="158">
                  <c:v>New Residential; Solar Space and Water Heat (Supplement Electricity); RES-Package; RES-NC</c:v>
                </c:pt>
                <c:pt idx="159">
                  <c:v>New Residential; Solar Space Heating (Displacing Electricity); RES-HVAC/Shell; RES-NC</c:v>
                </c:pt>
                <c:pt idx="160">
                  <c:v>Residential - Efficient Product Rebates; Smartstrip; RES-Plug Load; RES-SF</c:v>
                </c:pt>
                <c:pt idx="161">
                  <c:v>BNI- Direct Installation; Night Covers for 3' Refrigerated Display Cases-BES; COM-Refrigeration; Retail</c:v>
                </c:pt>
                <c:pt idx="162">
                  <c:v>BNI - Efficient Product Rebates; Dairy Scroll Compressor; COM-Other; Other Commercial</c:v>
                </c:pt>
                <c:pt idx="163">
                  <c:v>BNI - Efficient Product Rebates; Night Covers for 3' Refrigerated Display Cases; COM-Refrigeration; Retail</c:v>
                </c:pt>
                <c:pt idx="164">
                  <c:v>BNI- Direct Installation; Night Covers for 3' Refrigerated Display Cases-BES; COM-Refrigeration; Other Commercial</c:v>
                </c:pt>
                <c:pt idx="165">
                  <c:v>BNI - Efficient Product Rebates; Variable Speed Drive Screw Compressors (10 - 40 hp); COM-Process; School</c:v>
                </c:pt>
                <c:pt idx="166">
                  <c:v>BNI - Efficient Product Rebates; Air Tanks for Load / No-Load Screw Compressors (10 – 40 hp); COM-Process; School</c:v>
                </c:pt>
                <c:pt idx="167">
                  <c:v>BNI - Efficient Product Rebates; Integrated Dual Enthalpy Economizer Controls; COM-HVAC; School</c:v>
                </c:pt>
                <c:pt idx="168">
                  <c:v>BNI - Efficient Product Rebates; Variable Speed Drive for Kitchen exhaust fans (Demand Controlled Ventilation) ; COM-Motors; Retail</c:v>
                </c:pt>
                <c:pt idx="169">
                  <c:v>BNI - Efficient Product Rebates; Integrated Dual Enthalpy Economizer Controls; COM-HVAC; Retail</c:v>
                </c:pt>
                <c:pt idx="170">
                  <c:v>BNI - Efficient Product Rebates; Half Size Commercial Hot Food Holding Cabinet; COM-Other; Retail</c:v>
                </c:pt>
                <c:pt idx="171">
                  <c:v>BNI - Efficient Product Rebates; Night Covers for 3' Refrigerated Display Cases; COM-Refrigeration; Other Commercial</c:v>
                </c:pt>
                <c:pt idx="172">
                  <c:v>Residential - Efficient Product Rebates; Power bar with integrated timer; RES-Plug Load; RES-SF</c:v>
                </c:pt>
                <c:pt idx="173">
                  <c:v>BNI - Efficient Product Rebates; Zero Energy Doors for Reach-In Coolers and Freezers; COM-Refrigeration; School</c:v>
                </c:pt>
                <c:pt idx="174">
                  <c:v>BNI - Efficient Product Rebates; Zero Energy Doors for Reach-In Coolers and Freezers; COM-Refrigeration; Other Commercial</c:v>
                </c:pt>
                <c:pt idx="175">
                  <c:v>BNI - Efficient Product Rebates; Zero Energy Doors for Reach-In Coolers and Freezers; COM-Refrigeration; Retail</c:v>
                </c:pt>
                <c:pt idx="176">
                  <c:v>BNI - Efficient Product Rebates; Night Covers for 3' Refrigerated Display Cases; COM-Refrigeration; School</c:v>
                </c:pt>
                <c:pt idx="177">
                  <c:v>BNI- Direct Installation; Electronically Commutated (Brushless) DC Motors for Refrigeration Applications-BES; COM-Refrigeration; Other Commercial</c:v>
                </c:pt>
                <c:pt idx="178">
                  <c:v>BNI- Direct Installation; Electronically Commutated (Brushless) DC Motors for Refrigeration Applications-BES; COM-Refrigeration; Retail</c:v>
                </c:pt>
                <c:pt idx="179">
                  <c:v>BNI - Efficient Product Rebates; Three Quarter Size Commercial Hot Food Holding Cabinet; COM-Other; Retail</c:v>
                </c:pt>
                <c:pt idx="180">
                  <c:v>Existing Residential; Solar Space Heating (Displacing Electricity); RES-HVAC/Shell; RES-SF</c:v>
                </c:pt>
                <c:pt idx="181">
                  <c:v>BNI - Efficient Product Rebates; Variable Speed Drive for Kitchen exhaust fans (Demand Controlled Ventilation) ; COM-Motors; Other Commercial</c:v>
                </c:pt>
                <c:pt idx="182">
                  <c:v>BNI - Efficient Product Rebates; Standard Capacity Commercial Electric Fryers; COM-Other; Retail</c:v>
                </c:pt>
                <c:pt idx="183">
                  <c:v>BNI - Efficient Product Rebates; HVAC Hotel Occupancy Sensor; COM-HVAC; Other Commercial</c:v>
                </c:pt>
                <c:pt idx="184">
                  <c:v>BNI- Direct Installation; Evaporator Fan Motor Controls for Walk-In Freezers and Coolers-BES; COM-Refrigeration; Other Commercial</c:v>
                </c:pt>
                <c:pt idx="185">
                  <c:v>BNI- Direct Installation; Evaporator Fan Motor Controls for Walk-In Freezers and Coolers-BES; COM-Refrigeration; Retail</c:v>
                </c:pt>
                <c:pt idx="186">
                  <c:v>BNI - Efficient Product Rebates; Electronically Commutated (Brushless) DC Motors for Refrigeration Applications; COM-Refrigeration; School</c:v>
                </c:pt>
                <c:pt idx="187">
                  <c:v>BNI - Efficient Product Rebates; Electronically Commutated (Brushless) DC Motors for Refrigeration Applications; COM-Refrigeration; Other Commercial</c:v>
                </c:pt>
                <c:pt idx="188">
                  <c:v>BNI - Efficient Product Rebates; Electronically Commutated (Brushless) DC Motors for Refrigeration Applications; COM-Refrigeration; Retail</c:v>
                </c:pt>
                <c:pt idx="189">
                  <c:v>BNI - Efficient Product Rebates; Evaporator Fan Motor Controls for Walk-In Freezers and Coolers; COM-Refrigeration; School</c:v>
                </c:pt>
                <c:pt idx="190">
                  <c:v>BNI - Efficient Product Rebates; Electronically Commutated (Brushless) DC Motors for Refrigeration Applications; IND; Industrial </c:v>
                </c:pt>
                <c:pt idx="191">
                  <c:v>BNI - Efficient Product Rebates; Evaporator Fan Motor Controls for Walk-In Freezers and Coolers; COM-Refrigeration; Other Commercial</c:v>
                </c:pt>
                <c:pt idx="192">
                  <c:v>BNI - Efficient Product Rebates; Evaporator Fan Motor Controls for Walk-In Freezers and Coolers; COM-Refrigeration; Retail</c:v>
                </c:pt>
                <c:pt idx="193">
                  <c:v>BNI - Efficient Product Rebates; Cycling Refrigerated Air Dryers (≤ 300 CFM capacity); COM-Process; School</c:v>
                </c:pt>
                <c:pt idx="194">
                  <c:v>Residential - Efficient Product Rebates; Advanced Power Strip (load sensing or remote control/wireless APS); RES-Plug Load; RES-SF</c:v>
                </c:pt>
                <c:pt idx="195">
                  <c:v>BNI - Efficient Product Rebates; Strip Curtains for 3' Open Refrigerated Display Cases; COM-Refrigeration; School</c:v>
                </c:pt>
                <c:pt idx="196">
                  <c:v>BNI - Efficient Product Rebates; Strip Curtains for 3' Open Refrigerated Display Cases; COM-Refrigeration; Other Commercial</c:v>
                </c:pt>
                <c:pt idx="197">
                  <c:v>BNI - Efficient Product Rebates; Strip Curtains for 3' Open Refrigerated Display Cases; COM-Refrigeration; Retail</c:v>
                </c:pt>
                <c:pt idx="198">
                  <c:v>BNI - Efficient Product Rebates; Integrated Dual Enthalpy Economizer Controls; COM-HVAC; Office</c:v>
                </c:pt>
                <c:pt idx="199">
                  <c:v>BNI - Efficient Product Rebates; Integrated Dual Enthalpy Economizer Controls; COM-HVAC; Other Commercial</c:v>
                </c:pt>
                <c:pt idx="200">
                  <c:v>BNI - Efficient Product Rebates; Variable Speed Drive Screw Compressors (10 - 40 hp); IND; Industrial </c:v>
                </c:pt>
                <c:pt idx="201">
                  <c:v>BNI - Efficient Product Rebates; Air Tanks for Load / No-Load Screw Compressors (10 – 40 hp); IND; Industrial </c:v>
                </c:pt>
                <c:pt idx="202">
                  <c:v>BNI - Efficient Product Rebates; ENERGY STAR® Commercial Electric Convection Oven; COM-Other; Retail</c:v>
                </c:pt>
                <c:pt idx="203">
                  <c:v>BNI - Efficient Product Rebates; Intelligent (Electronic) Defrost Control For Freezer Display Cases; COM-Refrigeration; School</c:v>
                </c:pt>
                <c:pt idx="204">
                  <c:v>BNI - Efficient Product Rebates; Commercial Electric Griddle; COM-Other; Retail</c:v>
                </c:pt>
                <c:pt idx="205">
                  <c:v>BNI - Efficient Product Rebates; Intelligent (Electronic) Defrost Control For Freezer Display Cases; COM-Refrigeration; Other Commercial</c:v>
                </c:pt>
                <c:pt idx="206">
                  <c:v>BNI - Efficient Product Rebates; Intelligent (Electronic) Defrost Control For Freezer Display Cases; COM-Refrigeration; Retail</c:v>
                </c:pt>
                <c:pt idx="207">
                  <c:v>BNI - Efficient Product Rebates; Refrigerated Vending Machine Controller; COM-Refrigeration; Office</c:v>
                </c:pt>
                <c:pt idx="208">
                  <c:v>BNI - Efficient Product Rebates; Refrigerated Vending Machine Controller; COM-Refrigeration; Other Commercial</c:v>
                </c:pt>
                <c:pt idx="209">
                  <c:v>BNI - Efficient Product Rebates; Refrigerated Vending Machine Controller; COM-Refrigeration; Retail</c:v>
                </c:pt>
                <c:pt idx="210">
                  <c:v>BNI - Efficient Product Rebates; Intelligent (Electronic) Defrost Control For Walk-In Freezers; COM-Refrigeration; School</c:v>
                </c:pt>
                <c:pt idx="211">
                  <c:v>BNI - Efficient Product Rebates; Intelligent (Electronic) Defrost Control For Walk-In Freezers; COM-Refrigeration; Other Commercial</c:v>
                </c:pt>
                <c:pt idx="212">
                  <c:v>BNI - Efficient Product Rebates; Intelligent (Electronic) Defrost Control For Walk-In Freezers; COM-Refrigeration; Retail</c:v>
                </c:pt>
                <c:pt idx="213">
                  <c:v>BNI - Efficient Product Rebates; Heat Reclaimer Unit; COM-Other; Other Commercial</c:v>
                </c:pt>
                <c:pt idx="214">
                  <c:v>BNI- Direct Installation; Humidity-Based Door Heater Controls for Reach-In Coolers and Freezers-BES; COM-Refrigeration; Other Commercial</c:v>
                </c:pt>
                <c:pt idx="215">
                  <c:v>BNI- Direct Installation; Humidity-Based Door Heater Controls for Reach-In Coolers and Freezers-BES; COM-Refrigeration; Retail</c:v>
                </c:pt>
                <c:pt idx="216">
                  <c:v>BNI - Efficient Product Rebates; Double Heat Pad; COM-Other; Other Commercial</c:v>
                </c:pt>
                <c:pt idx="217">
                  <c:v>BNI - Efficient Product Rebates; Variable Frequency Drives; COM-Motors; Retail</c:v>
                </c:pt>
                <c:pt idx="218">
                  <c:v>BNI - Efficient Product Rebates; Variable Speed Drive Screw Compressors (10 - 40 hp); COM-Process; Other Commercial</c:v>
                </c:pt>
                <c:pt idx="219">
                  <c:v>BNI - Efficient Product Rebates; Variable Frequency Drives; COM-Motors; School</c:v>
                </c:pt>
                <c:pt idx="220">
                  <c:v>BNI - Efficient Product Rebates; Zero-Energy Livestock Waterers; COM-Other; Other Commercial</c:v>
                </c:pt>
                <c:pt idx="221">
                  <c:v>BNI - Efficient Product Rebates; Air Tanks for Load / No-Load Screw Compressors (10 – 40 hp); COM-Process; Other Commercial</c:v>
                </c:pt>
                <c:pt idx="222">
                  <c:v>BNI - Efficient Product Rebates; Variable Frequency Drives; COM-Motors; Office</c:v>
                </c:pt>
                <c:pt idx="223">
                  <c:v>BNI - Efficient Product Rebates; Air-Entraining Air Nozzles (up to 14CFM at 100 psi); COM-Process; School</c:v>
                </c:pt>
                <c:pt idx="224">
                  <c:v>BNI - Efficient Product Rebates; Variable Frequency Drives; COM-Motors; Other Commercial</c:v>
                </c:pt>
                <c:pt idx="225">
                  <c:v>BNI - Efficient Product Rebates; No-Loss Drains (Timed drains are not eligible); COM-Process; School</c:v>
                </c:pt>
                <c:pt idx="226">
                  <c:v>Existing Residential; Advanced Power Strip (load sensing or remote control/wireless APS); RES-Plug Load; MURB</c:v>
                </c:pt>
                <c:pt idx="227">
                  <c:v>BNI - Efficient Product Rebates; Full Size Commercial Hot Food Holding Cabinet; COM-Other; Retail</c:v>
                </c:pt>
                <c:pt idx="228">
                  <c:v>BNI - Efficient Product Rebates; Cycling Refrigerated Air Dryers (≤ 300 CFM capacity); IND; Industrial </c:v>
                </c:pt>
                <c:pt idx="229">
                  <c:v>Existing Residential; Embertec Power Strip; RES-Plug Load; RES-SF</c:v>
                </c:pt>
                <c:pt idx="230">
                  <c:v>Residential - Efficient Product Rebates; Dehumidifier (Retirement); RES-Appliance; RES-SF</c:v>
                </c:pt>
                <c:pt idx="231">
                  <c:v>BNI - Efficient Product Rebates; Single Heat Pad; COM-Other; Other Commercial</c:v>
                </c:pt>
                <c:pt idx="232">
                  <c:v>BNI - Efficient Product Rebates; Humidity-Based Door Heater Controls for Reach-In Coolers and Freezers; COM-Refrigeration; School</c:v>
                </c:pt>
                <c:pt idx="233">
                  <c:v>BNI - Efficient Product Rebates; Humidity-Based Door Heater Controls for Reach-In Coolers and Freezers; COM-Refrigeration; Other Commercial</c:v>
                </c:pt>
                <c:pt idx="234">
                  <c:v>BNI - Efficient Product Rebates; Humidity-Based Door Heater Controls for Reach-In Coolers and Freezers; COM-Refrigeration; Retail</c:v>
                </c:pt>
                <c:pt idx="235">
                  <c:v>BNI - Efficient Product Rebates; Cycling Refrigerated Air Dryers (≤ 300 CFM capacity); COM-Process; Other Commercial</c:v>
                </c:pt>
                <c:pt idx="236">
                  <c:v>BNI - Efficient Product Rebates; VSD for Milk Vacuum Pump; COM-Other; Other Commercial</c:v>
                </c:pt>
                <c:pt idx="237">
                  <c:v>BNI - Efficient Product Rebates; ENERGY STAR®, CEE Tier 2 or CEE Tier 3 Commercial Clothes Washer; COM-Other; Other Commercial</c:v>
                </c:pt>
              </c:strCache>
            </c:strRef>
          </c:cat>
          <c:val>
            <c:numRef>
              <c:f>'TRC Figure'!$D$1:$D$238</c:f>
              <c:numCache>
                <c:formatCode>0.0%</c:formatCode>
                <c:ptCount val="238"/>
                <c:pt idx="0">
                  <c:v>4.5861089251435398</c:v>
                </c:pt>
                <c:pt idx="1">
                  <c:v>3.1866442440433622</c:v>
                </c:pt>
                <c:pt idx="2">
                  <c:v>3.1866442440433622</c:v>
                </c:pt>
                <c:pt idx="3">
                  <c:v>3.1866442440433622</c:v>
                </c:pt>
                <c:pt idx="4">
                  <c:v>2.2744104935979039</c:v>
                </c:pt>
                <c:pt idx="5">
                  <c:v>1.9923918712611461</c:v>
                </c:pt>
                <c:pt idx="6">
                  <c:v>1.2250215724709745</c:v>
                </c:pt>
                <c:pt idx="7">
                  <c:v>1.2250215724709748</c:v>
                </c:pt>
                <c:pt idx="8">
                  <c:v>1.2250215724709748</c:v>
                </c:pt>
                <c:pt idx="9">
                  <c:v>1.2250215724709741</c:v>
                </c:pt>
                <c:pt idx="10">
                  <c:v>1.2197980852340091</c:v>
                </c:pt>
                <c:pt idx="11">
                  <c:v>1.2197980852340087</c:v>
                </c:pt>
                <c:pt idx="12">
                  <c:v>1.2197980852340087</c:v>
                </c:pt>
                <c:pt idx="13">
                  <c:v>1.2197980852340089</c:v>
                </c:pt>
                <c:pt idx="14">
                  <c:v>1.1987593318200451</c:v>
                </c:pt>
                <c:pt idx="15">
                  <c:v>1.1987593318200449</c:v>
                </c:pt>
                <c:pt idx="16">
                  <c:v>1.1987593318200449</c:v>
                </c:pt>
                <c:pt idx="17">
                  <c:v>1.1987593318200447</c:v>
                </c:pt>
                <c:pt idx="18">
                  <c:v>1.1892455167643214</c:v>
                </c:pt>
                <c:pt idx="19">
                  <c:v>1.1892455167643219</c:v>
                </c:pt>
                <c:pt idx="20">
                  <c:v>1.1892455167643214</c:v>
                </c:pt>
                <c:pt idx="21">
                  <c:v>1.1892455167643219</c:v>
                </c:pt>
                <c:pt idx="22">
                  <c:v>1.2346371080936145</c:v>
                </c:pt>
                <c:pt idx="23">
                  <c:v>0.71277583546523704</c:v>
                </c:pt>
                <c:pt idx="24">
                  <c:v>0.71277583546523704</c:v>
                </c:pt>
                <c:pt idx="25">
                  <c:v>0.64865052878572238</c:v>
                </c:pt>
                <c:pt idx="26">
                  <c:v>0.64865052878572227</c:v>
                </c:pt>
                <c:pt idx="27">
                  <c:v>0.64865052878572249</c:v>
                </c:pt>
                <c:pt idx="28">
                  <c:v>0.58883603022432041</c:v>
                </c:pt>
                <c:pt idx="29">
                  <c:v>0.58883603022432041</c:v>
                </c:pt>
                <c:pt idx="30">
                  <c:v>0.56728937213221531</c:v>
                </c:pt>
                <c:pt idx="31">
                  <c:v>0.49390347884116831</c:v>
                </c:pt>
                <c:pt idx="32">
                  <c:v>0.46581271067122532</c:v>
                </c:pt>
                <c:pt idx="33">
                  <c:v>0.47030285003894146</c:v>
                </c:pt>
                <c:pt idx="34">
                  <c:v>0.47438315329571579</c:v>
                </c:pt>
                <c:pt idx="35">
                  <c:v>0.45667022164573157</c:v>
                </c:pt>
                <c:pt idx="36">
                  <c:v>0.46896505945330452</c:v>
                </c:pt>
                <c:pt idx="37">
                  <c:v>0.46896505945330441</c:v>
                </c:pt>
                <c:pt idx="38">
                  <c:v>0.46896505945330408</c:v>
                </c:pt>
                <c:pt idx="39">
                  <c:v>0.41794367727732951</c:v>
                </c:pt>
                <c:pt idx="40">
                  <c:v>0.40801314487638046</c:v>
                </c:pt>
                <c:pt idx="41">
                  <c:v>0.40801314487638041</c:v>
                </c:pt>
                <c:pt idx="42">
                  <c:v>0.40801314487638052</c:v>
                </c:pt>
                <c:pt idx="43">
                  <c:v>0.40465928299847476</c:v>
                </c:pt>
                <c:pt idx="44">
                  <c:v>0.40465928299847487</c:v>
                </c:pt>
                <c:pt idx="45">
                  <c:v>0.40465928299847481</c:v>
                </c:pt>
                <c:pt idx="46">
                  <c:v>0.43472086730880294</c:v>
                </c:pt>
                <c:pt idx="47">
                  <c:v>0.40054257912510727</c:v>
                </c:pt>
                <c:pt idx="48">
                  <c:v>0.39899565696396988</c:v>
                </c:pt>
                <c:pt idx="49">
                  <c:v>0.39899565696396982</c:v>
                </c:pt>
                <c:pt idx="50">
                  <c:v>0.39899565696396971</c:v>
                </c:pt>
                <c:pt idx="51">
                  <c:v>0.42926791244996948</c:v>
                </c:pt>
                <c:pt idx="52">
                  <c:v>0.42514130330014072</c:v>
                </c:pt>
                <c:pt idx="53">
                  <c:v>0.37917612056812583</c:v>
                </c:pt>
                <c:pt idx="54">
                  <c:v>0.37917612056812583</c:v>
                </c:pt>
                <c:pt idx="55">
                  <c:v>0.37917612056812583</c:v>
                </c:pt>
                <c:pt idx="56">
                  <c:v>0.37917612056812583</c:v>
                </c:pt>
                <c:pt idx="57">
                  <c:v>0.37917612056812583</c:v>
                </c:pt>
                <c:pt idx="58">
                  <c:v>0.37917612056812589</c:v>
                </c:pt>
                <c:pt idx="59">
                  <c:v>0.37917612056812589</c:v>
                </c:pt>
                <c:pt idx="60">
                  <c:v>0.37917612056812589</c:v>
                </c:pt>
                <c:pt idx="61">
                  <c:v>0.37917612056812589</c:v>
                </c:pt>
                <c:pt idx="62">
                  <c:v>0.37917612056812589</c:v>
                </c:pt>
                <c:pt idx="63">
                  <c:v>0.3790891947555704</c:v>
                </c:pt>
                <c:pt idx="64">
                  <c:v>0.37908919475557001</c:v>
                </c:pt>
                <c:pt idx="65">
                  <c:v>0.37908919475557018</c:v>
                </c:pt>
                <c:pt idx="66">
                  <c:v>0.37908919475557046</c:v>
                </c:pt>
                <c:pt idx="67">
                  <c:v>0.37908919475557046</c:v>
                </c:pt>
                <c:pt idx="68">
                  <c:v>0.37451469984598762</c:v>
                </c:pt>
                <c:pt idx="69">
                  <c:v>0.37451469984598751</c:v>
                </c:pt>
                <c:pt idx="70">
                  <c:v>0.37451469984598751</c:v>
                </c:pt>
                <c:pt idx="71">
                  <c:v>0.3745146998459879</c:v>
                </c:pt>
                <c:pt idx="72">
                  <c:v>0.37451469984598773</c:v>
                </c:pt>
                <c:pt idx="73">
                  <c:v>0.37451469984598773</c:v>
                </c:pt>
                <c:pt idx="74">
                  <c:v>0.36959385476060935</c:v>
                </c:pt>
                <c:pt idx="75">
                  <c:v>0.36959385476060941</c:v>
                </c:pt>
                <c:pt idx="76">
                  <c:v>0.36959385476060896</c:v>
                </c:pt>
                <c:pt idx="77">
                  <c:v>0.36587387271206179</c:v>
                </c:pt>
                <c:pt idx="78">
                  <c:v>0.36587387271206179</c:v>
                </c:pt>
                <c:pt idx="79">
                  <c:v>0.36587387271206195</c:v>
                </c:pt>
                <c:pt idx="80">
                  <c:v>0.36587387271206184</c:v>
                </c:pt>
                <c:pt idx="81">
                  <c:v>0.36587387271206173</c:v>
                </c:pt>
                <c:pt idx="82">
                  <c:v>0.34498160624919411</c:v>
                </c:pt>
                <c:pt idx="83">
                  <c:v>0.34498160624919411</c:v>
                </c:pt>
                <c:pt idx="84">
                  <c:v>0.34498160624919411</c:v>
                </c:pt>
                <c:pt idx="85">
                  <c:v>0.34089952813916174</c:v>
                </c:pt>
                <c:pt idx="86">
                  <c:v>0.34089952813916158</c:v>
                </c:pt>
                <c:pt idx="87">
                  <c:v>0.34089952813916169</c:v>
                </c:pt>
                <c:pt idx="88">
                  <c:v>0.34089952813916169</c:v>
                </c:pt>
                <c:pt idx="89">
                  <c:v>0.33650621989511281</c:v>
                </c:pt>
                <c:pt idx="90">
                  <c:v>0.33650621989511242</c:v>
                </c:pt>
                <c:pt idx="91">
                  <c:v>0.33650621989511265</c:v>
                </c:pt>
                <c:pt idx="92">
                  <c:v>0.33318354808967293</c:v>
                </c:pt>
                <c:pt idx="93">
                  <c:v>0.33318354808967315</c:v>
                </c:pt>
                <c:pt idx="94">
                  <c:v>0.33318354808967304</c:v>
                </c:pt>
                <c:pt idx="95">
                  <c:v>0.33318354808967326</c:v>
                </c:pt>
                <c:pt idx="96">
                  <c:v>0.33963532158215359</c:v>
                </c:pt>
                <c:pt idx="97">
                  <c:v>0.33963532158215359</c:v>
                </c:pt>
                <c:pt idx="98">
                  <c:v>0.33963532158215365</c:v>
                </c:pt>
                <c:pt idx="99">
                  <c:v>0.3396353215821537</c:v>
                </c:pt>
                <c:pt idx="100">
                  <c:v>0.35022151647503219</c:v>
                </c:pt>
                <c:pt idx="101">
                  <c:v>0.33577031010181413</c:v>
                </c:pt>
                <c:pt idx="102">
                  <c:v>0.30971091756829955</c:v>
                </c:pt>
                <c:pt idx="103">
                  <c:v>0.30971091756829949</c:v>
                </c:pt>
                <c:pt idx="104">
                  <c:v>0.30971091756829938</c:v>
                </c:pt>
                <c:pt idx="105">
                  <c:v>0.31614264138282328</c:v>
                </c:pt>
                <c:pt idx="106">
                  <c:v>0.31614264138282328</c:v>
                </c:pt>
                <c:pt idx="107">
                  <c:v>0.31614264138282328</c:v>
                </c:pt>
                <c:pt idx="108">
                  <c:v>0.31614264138282328</c:v>
                </c:pt>
                <c:pt idx="109">
                  <c:v>0.3153617667311443</c:v>
                </c:pt>
                <c:pt idx="110">
                  <c:v>0.29323668571160399</c:v>
                </c:pt>
                <c:pt idx="111">
                  <c:v>0.28589018460920423</c:v>
                </c:pt>
                <c:pt idx="112">
                  <c:v>0.29652690056293624</c:v>
                </c:pt>
                <c:pt idx="113">
                  <c:v>0.25293585704655464</c:v>
                </c:pt>
                <c:pt idx="114">
                  <c:v>0.23208747887355</c:v>
                </c:pt>
                <c:pt idx="115">
                  <c:v>0.23633290944561505</c:v>
                </c:pt>
                <c:pt idx="116">
                  <c:v>0.23291172218002998</c:v>
                </c:pt>
                <c:pt idx="117">
                  <c:v>0.22652429799630475</c:v>
                </c:pt>
                <c:pt idx="118">
                  <c:v>0.20485172617018638</c:v>
                </c:pt>
                <c:pt idx="119">
                  <c:v>0.19126154200463513</c:v>
                </c:pt>
                <c:pt idx="120">
                  <c:v>0.18066846931896768</c:v>
                </c:pt>
                <c:pt idx="121">
                  <c:v>0.1580849106540968</c:v>
                </c:pt>
                <c:pt idx="122">
                  <c:v>0.1591749457505694</c:v>
                </c:pt>
                <c:pt idx="123">
                  <c:v>0.15467706004248297</c:v>
                </c:pt>
                <c:pt idx="124">
                  <c:v>0.14050222062921097</c:v>
                </c:pt>
                <c:pt idx="125">
                  <c:v>0.12646792852327712</c:v>
                </c:pt>
                <c:pt idx="126">
                  <c:v>0.1149708441120702</c:v>
                </c:pt>
                <c:pt idx="127">
                  <c:v>0.10730163737185326</c:v>
                </c:pt>
                <c:pt idx="128">
                  <c:v>9.6474676151997077E-2</c:v>
                </c:pt>
                <c:pt idx="129">
                  <c:v>9.5865839559562807E-2</c:v>
                </c:pt>
                <c:pt idx="130">
                  <c:v>7.4357847662596663E-2</c:v>
                </c:pt>
                <c:pt idx="131">
                  <c:v>7.3200826970866495E-2</c:v>
                </c:pt>
                <c:pt idx="132">
                  <c:v>6.8000879783409213E-2</c:v>
                </c:pt>
                <c:pt idx="133">
                  <c:v>6.4185100037410375E-2</c:v>
                </c:pt>
                <c:pt idx="134">
                  <c:v>6.4185100037410334E-2</c:v>
                </c:pt>
                <c:pt idx="135">
                  <c:v>5.9123744861084231E-2</c:v>
                </c:pt>
                <c:pt idx="136">
                  <c:v>5.1838968588585985E-2</c:v>
                </c:pt>
                <c:pt idx="137">
                  <c:v>4.8778054921906532E-2</c:v>
                </c:pt>
                <c:pt idx="138">
                  <c:v>4.2349131737892044E-2</c:v>
                </c:pt>
                <c:pt idx="139">
                  <c:v>4.2229484089545334E-2</c:v>
                </c:pt>
                <c:pt idx="140">
                  <c:v>4.2663058664002079E-2</c:v>
                </c:pt>
                <c:pt idx="141">
                  <c:v>4.1592524732810048E-2</c:v>
                </c:pt>
                <c:pt idx="142">
                  <c:v>3.5419561810447898E-2</c:v>
                </c:pt>
                <c:pt idx="143">
                  <c:v>3.2372358888143091E-2</c:v>
                </c:pt>
                <c:pt idx="144">
                  <c:v>2.269134034636074E-2</c:v>
                </c:pt>
                <c:pt idx="145">
                  <c:v>2.0197163391363428E-2</c:v>
                </c:pt>
                <c:pt idx="146">
                  <c:v>1.0995385600190028E-2</c:v>
                </c:pt>
                <c:pt idx="147">
                  <c:v>9.9937871302036227E-3</c:v>
                </c:pt>
                <c:pt idx="148">
                  <c:v>6.9803030630826209E-3</c:v>
                </c:pt>
                <c:pt idx="149">
                  <c:v>6.7882553982817166E-3</c:v>
                </c:pt>
                <c:pt idx="150">
                  <c:v>5.9883687773777568E-3</c:v>
                </c:pt>
                <c:pt idx="151">
                  <c:v>2.9582742054995001E-3</c:v>
                </c:pt>
                <c:pt idx="152">
                  <c:v>2.5504839818850122E-3</c:v>
                </c:pt>
                <c:pt idx="153">
                  <c:v>1.4202359326484788E-3</c:v>
                </c:pt>
                <c:pt idx="154">
                  <c:v>1.4606820980495011E-3</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-9.5829051758464165E-2</c:v>
                </c:pt>
              </c:numCache>
            </c:numRef>
          </c:val>
        </c:ser>
        <c:dLbls>
          <c:showLegendKey val="0"/>
          <c:showVal val="1"/>
          <c:showCatName val="0"/>
          <c:showSerName val="0"/>
          <c:showPercent val="0"/>
          <c:showBubbleSize val="0"/>
        </c:dLbls>
        <c:gapWidth val="182"/>
        <c:axId val="242811648"/>
        <c:axId val="242814336"/>
      </c:barChart>
      <c:catAx>
        <c:axId val="24281164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t"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242814336"/>
        <c:crosses val="autoZero"/>
        <c:auto val="0"/>
        <c:lblAlgn val="ctr"/>
        <c:lblOffset val="100"/>
        <c:noMultiLvlLbl val="0"/>
      </c:catAx>
      <c:valAx>
        <c:axId val="242814336"/>
        <c:scaling>
          <c:orientation val="minMax"/>
          <c:max val="3.2"/>
          <c:min val="-0.1"/>
        </c:scaling>
        <c:delete val="0"/>
        <c:axPos val="b"/>
        <c:majorGridlines>
          <c:spPr>
            <a:ln w="9525" cap="flat" cmpd="sng" algn="ctr">
              <a:solidFill>
                <a:schemeClr val="tx1">
                  <a:lumMod val="15000"/>
                  <a:lumOff val="85000"/>
                </a:schemeClr>
              </a:solidFill>
              <a:round/>
              <a:headEnd w="lg" len="lg"/>
            </a:ln>
            <a:effectLst/>
          </c:spPr>
        </c:majorGridlines>
        <c:minorGridlines>
          <c:spPr>
            <a:ln w="9525" cap="flat" cmpd="sng" algn="ctr">
              <a:solidFill>
                <a:schemeClr val="tx1">
                  <a:lumMod val="5000"/>
                  <a:lumOff val="95000"/>
                </a:schemeClr>
              </a:solidFill>
              <a:round/>
            </a:ln>
            <a:effectLst/>
          </c:spPr>
        </c:minorGridlines>
        <c:numFmt formatCode="0.0%" sourceLinked="1"/>
        <c:majorTickMark val="none"/>
        <c:minorTickMark val="cross"/>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2811648"/>
        <c:crossesAt val="1"/>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dLbl>
              <c:idx val="0"/>
              <c:layout>
                <c:manualLayout>
                  <c:x val="8.5470123817270607E-2"/>
                  <c:y val="-7.0512856103803812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7.4074107308301301E-2"/>
                  <c:y val="8.333337539540450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'TRC Figure'!$V$3:$V$4</c:f>
              <c:strCache>
                <c:ptCount val="2"/>
                <c:pt idx="0">
                  <c:v>No change to TRC</c:v>
                </c:pt>
                <c:pt idx="1">
                  <c:v>Total measures</c:v>
                </c:pt>
              </c:strCache>
            </c:strRef>
          </c:cat>
          <c:val>
            <c:numRef>
              <c:f>'TRC Figure'!$W$3:$W$4</c:f>
              <c:numCache>
                <c:formatCode>General</c:formatCode>
                <c:ptCount val="2"/>
                <c:pt idx="0">
                  <c:v>82</c:v>
                </c:pt>
                <c:pt idx="1">
                  <c:v>156</c:v>
                </c:pt>
              </c:numCache>
            </c:numRef>
          </c:val>
        </c:ser>
        <c:dLbls>
          <c:showLegendKey val="0"/>
          <c:showVal val="0"/>
          <c:showCatName val="0"/>
          <c:showSerName val="0"/>
          <c:showPercent val="0"/>
          <c:showBubbleSize val="0"/>
          <c:showLeaderLines val="0"/>
        </c:dLbls>
        <c:firstSliceAng val="0"/>
        <c:holeSize val="75"/>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i="1"/>
              <a:t>Total</a:t>
            </a:r>
            <a:r>
              <a:rPr lang="en-US" i="1" baseline="0"/>
              <a:t> count of  TRC change occurances summarized by  categorized magnitude of change </a:t>
            </a:r>
            <a:endParaRPr lang="en-US" i="1"/>
          </a:p>
        </c:rich>
      </c:tx>
      <c:overlay val="0"/>
      <c:spPr>
        <a:noFill/>
        <a:ln>
          <a:noFill/>
        </a:ln>
        <a:effectLst/>
      </c:sp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'TRC Figure'!$BC$3:$BC$14</c:f>
              <c:strCache>
                <c:ptCount val="12"/>
                <c:pt idx="0">
                  <c:v>&gt; -10% and &lt; 0%</c:v>
                </c:pt>
                <c:pt idx="1">
                  <c:v>0%</c:v>
                </c:pt>
                <c:pt idx="2">
                  <c:v>&gt; 0% and 10%</c:v>
                </c:pt>
                <c:pt idx="3">
                  <c:v>&gt; 10% and 20%</c:v>
                </c:pt>
                <c:pt idx="4">
                  <c:v>&gt; 20% and 30%</c:v>
                </c:pt>
                <c:pt idx="5">
                  <c:v>&gt; 30% and 40%</c:v>
                </c:pt>
                <c:pt idx="6">
                  <c:v>&gt; 40% and 50%</c:v>
                </c:pt>
                <c:pt idx="7">
                  <c:v>&gt; 50% and 60%</c:v>
                </c:pt>
                <c:pt idx="8">
                  <c:v>&gt; 60% and 75%</c:v>
                </c:pt>
                <c:pt idx="9">
                  <c:v>&gt; 115% and 125%</c:v>
                </c:pt>
                <c:pt idx="10">
                  <c:v>&gt; 175% and 230%</c:v>
                </c:pt>
                <c:pt idx="11">
                  <c:v>&gt; 275%</c:v>
                </c:pt>
              </c:strCache>
            </c:strRef>
          </c:cat>
          <c:val>
            <c:numRef>
              <c:f>'TRC Figure'!$BD$3:$BD$14</c:f>
              <c:numCache>
                <c:formatCode>General</c:formatCode>
                <c:ptCount val="12"/>
                <c:pt idx="0">
                  <c:v>1</c:v>
                </c:pt>
                <c:pt idx="1">
                  <c:v>82</c:v>
                </c:pt>
                <c:pt idx="2">
                  <c:v>27</c:v>
                </c:pt>
                <c:pt idx="3">
                  <c:v>9</c:v>
                </c:pt>
                <c:pt idx="4">
                  <c:v>9</c:v>
                </c:pt>
                <c:pt idx="5">
                  <c:v>62</c:v>
                </c:pt>
                <c:pt idx="6">
                  <c:v>17</c:v>
                </c:pt>
                <c:pt idx="7">
                  <c:v>3</c:v>
                </c:pt>
                <c:pt idx="8">
                  <c:v>5</c:v>
                </c:pt>
                <c:pt idx="9">
                  <c:v>17</c:v>
                </c:pt>
                <c:pt idx="10">
                  <c:v>2</c:v>
                </c:pt>
                <c:pt idx="11">
                  <c:v>4</c:v>
                </c:pt>
              </c:numCache>
            </c:numRef>
          </c:val>
        </c:ser>
        <c:dLbls>
          <c:showLegendKey val="0"/>
          <c:showVal val="0"/>
          <c:showCatName val="0"/>
          <c:showSerName val="0"/>
          <c:showPercent val="0"/>
          <c:showBubbleSize val="0"/>
        </c:dLbls>
        <c:gapWidth val="219"/>
        <c:overlap val="-27"/>
        <c:axId val="243359104"/>
        <c:axId val="243377280"/>
      </c:barChart>
      <c:catAx>
        <c:axId val="2433591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3377280"/>
        <c:crosses val="autoZero"/>
        <c:auto val="1"/>
        <c:lblAlgn val="ctr"/>
        <c:lblOffset val="100"/>
        <c:noMultiLvlLbl val="0"/>
      </c:catAx>
      <c:valAx>
        <c:axId val="2433772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33591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360270</xdr:colOff>
      <xdr:row>5</xdr:row>
      <xdr:rowOff>47626</xdr:rowOff>
    </xdr:from>
    <xdr:to>
      <xdr:col>27</xdr:col>
      <xdr:colOff>142875</xdr:colOff>
      <xdr:row>127</xdr:row>
      <xdr:rowOff>104776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85725</xdr:colOff>
      <xdr:row>10</xdr:row>
      <xdr:rowOff>57150</xdr:rowOff>
    </xdr:from>
    <xdr:to>
      <xdr:col>24</xdr:col>
      <xdr:colOff>485774</xdr:colOff>
      <xdr:row>20</xdr:row>
      <xdr:rowOff>133349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0</xdr:colOff>
      <xdr:row>5</xdr:row>
      <xdr:rowOff>0</xdr:rowOff>
    </xdr:from>
    <xdr:to>
      <xdr:col>51</xdr:col>
      <xdr:colOff>388741</xdr:colOff>
      <xdr:row>189</xdr:row>
      <xdr:rowOff>171450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46</xdr:col>
      <xdr:colOff>443345</xdr:colOff>
      <xdr:row>9</xdr:row>
      <xdr:rowOff>173181</xdr:rowOff>
    </xdr:from>
    <xdr:to>
      <xdr:col>50</xdr:col>
      <xdr:colOff>237258</xdr:colOff>
      <xdr:row>20</xdr:row>
      <xdr:rowOff>58880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46</xdr:col>
      <xdr:colOff>209550</xdr:colOff>
      <xdr:row>7</xdr:row>
      <xdr:rowOff>28575</xdr:rowOff>
    </xdr:from>
    <xdr:to>
      <xdr:col>50</xdr:col>
      <xdr:colOff>365975</xdr:colOff>
      <xdr:row>9</xdr:row>
      <xdr:rowOff>124023</xdr:rowOff>
    </xdr:to>
    <xdr:sp macro="" textlink="">
      <xdr:nvSpPr>
        <xdr:cNvPr id="6" name="Rectangle 5"/>
        <xdr:cNvSpPr/>
      </xdr:nvSpPr>
      <xdr:spPr>
        <a:xfrm>
          <a:off x="37471350" y="1362075"/>
          <a:ext cx="2594825" cy="476448"/>
        </a:xfrm>
        <a:prstGeom prst="rect">
          <a:avLst/>
        </a:prstGeom>
        <a:solidFill>
          <a:schemeClr val="bg1">
            <a:lumMod val="50000"/>
            <a:alpha val="22000"/>
          </a:schemeClr>
        </a:solidFill>
        <a:ln>
          <a:solidFill>
            <a:schemeClr val="accent1">
              <a:shade val="50000"/>
              <a:alpha val="63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US" i="1" baseline="0">
              <a:solidFill>
                <a:sysClr val="windowText" lastClr="000000"/>
              </a:solidFill>
            </a:rPr>
            <a:t>Summary: measures with TRC change due to NEB addition.</a:t>
          </a:r>
          <a:endParaRPr lang="en-US" i="1">
            <a:solidFill>
              <a:sysClr val="windowText" lastClr="000000"/>
            </a:solidFill>
          </a:endParaRPr>
        </a:p>
      </xdr:txBody>
    </xdr:sp>
    <xdr:clientData/>
  </xdr:twoCellAnchor>
  <xdr:twoCellAnchor>
    <xdr:from>
      <xdr:col>52</xdr:col>
      <xdr:colOff>493059</xdr:colOff>
      <xdr:row>16</xdr:row>
      <xdr:rowOff>113179</xdr:rowOff>
    </xdr:from>
    <xdr:to>
      <xdr:col>65</xdr:col>
      <xdr:colOff>392206</xdr:colOff>
      <xdr:row>33</xdr:row>
      <xdr:rowOff>112059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0.51956</cdr:x>
      <cdr:y>0.21728</cdr:y>
    </cdr:from>
    <cdr:to>
      <cdr:x>0.75417</cdr:x>
      <cdr:y>0.22561</cdr:y>
    </cdr:to>
    <cdr:sp macro="" textlink="">
      <cdr:nvSpPr>
        <cdr:cNvPr id="4" name="Oval 3"/>
        <cdr:cNvSpPr/>
      </cdr:nvSpPr>
      <cdr:spPr>
        <a:xfrm xmlns:a="http://schemas.openxmlformats.org/drawingml/2006/main">
          <a:off x="6782431" y="5062326"/>
          <a:ext cx="3062624" cy="194074"/>
        </a:xfrm>
        <a:prstGeom xmlns:a="http://schemas.openxmlformats.org/drawingml/2006/main" prst="ellipse">
          <a:avLst/>
        </a:prstGeom>
        <a:noFill xmlns:a="http://schemas.openxmlformats.org/drawingml/2006/main"/>
        <a:effectLst xmlns:a="http://schemas.openxmlformats.org/drawingml/2006/main">
          <a:glow rad="533400">
            <a:srgbClr val="00B0F0">
              <a:alpha val="40000"/>
            </a:srgbClr>
          </a:glow>
          <a:softEdge rad="12700"/>
        </a:effec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b="1">
              <a:solidFill>
                <a:sysClr val="windowText" lastClr="000000"/>
              </a:solidFill>
            </a:rPr>
            <a:t>Median: 19.8%</a:t>
          </a:r>
        </a:p>
      </cdr:txBody>
    </cdr:sp>
  </cdr:relSizeAnchor>
  <cdr:relSizeAnchor xmlns:cdr="http://schemas.openxmlformats.org/drawingml/2006/chartDrawing">
    <cdr:from>
      <cdr:x>0.50571</cdr:x>
      <cdr:y>0.32452</cdr:y>
    </cdr:from>
    <cdr:to>
      <cdr:x>0.74168</cdr:x>
      <cdr:y>0.33285</cdr:y>
    </cdr:to>
    <cdr:sp macro="" textlink="">
      <cdr:nvSpPr>
        <cdr:cNvPr id="5" name="Oval 4"/>
        <cdr:cNvSpPr/>
      </cdr:nvSpPr>
      <cdr:spPr>
        <a:xfrm xmlns:a="http://schemas.openxmlformats.org/drawingml/2006/main">
          <a:off x="4825036" y="7560716"/>
          <a:ext cx="2251452" cy="194120"/>
        </a:xfrm>
        <a:prstGeom xmlns:a="http://schemas.openxmlformats.org/drawingml/2006/main" prst="ellipse">
          <a:avLst/>
        </a:prstGeom>
        <a:noFill xmlns:a="http://schemas.openxmlformats.org/drawingml/2006/main"/>
        <a:effectLst xmlns:a="http://schemas.openxmlformats.org/drawingml/2006/main">
          <a:glow rad="533400">
            <a:srgbClr val="FF0000">
              <a:alpha val="25000"/>
            </a:srgbClr>
          </a:glow>
          <a:softEdge rad="12700"/>
        </a:effec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b="1">
              <a:solidFill>
                <a:sysClr val="windowText" lastClr="000000"/>
              </a:solidFill>
            </a:rPr>
            <a:t>Average: 32.9%</a:t>
          </a:r>
        </a:p>
      </cdr:txBody>
    </cdr:sp>
  </cdr:relSizeAnchor>
  <cdr:relSizeAnchor xmlns:cdr="http://schemas.openxmlformats.org/drawingml/2006/chartDrawing">
    <cdr:from>
      <cdr:x>0.7058</cdr:x>
      <cdr:y>0.01758</cdr:y>
    </cdr:from>
    <cdr:to>
      <cdr:x>0.90247</cdr:x>
      <cdr:y>0.03803</cdr:y>
    </cdr:to>
    <cdr:sp macro="" textlink="">
      <cdr:nvSpPr>
        <cdr:cNvPr id="8" name="Rectangle 7"/>
        <cdr:cNvSpPr/>
      </cdr:nvSpPr>
      <cdr:spPr>
        <a:xfrm xmlns:a="http://schemas.openxmlformats.org/drawingml/2006/main">
          <a:off x="9312173" y="409473"/>
          <a:ext cx="2594826" cy="476447"/>
        </a:xfrm>
        <a:prstGeom xmlns:a="http://schemas.openxmlformats.org/drawingml/2006/main" prst="rect">
          <a:avLst/>
        </a:prstGeom>
        <a:solidFill xmlns:a="http://schemas.openxmlformats.org/drawingml/2006/main">
          <a:schemeClr val="bg1">
            <a:lumMod val="50000"/>
            <a:alpha val="22000"/>
          </a:schemeClr>
        </a:solidFill>
        <a:ln xmlns:a="http://schemas.openxmlformats.org/drawingml/2006/main">
          <a:solidFill>
            <a:schemeClr val="accent1">
              <a:shade val="50000"/>
              <a:alpha val="63000"/>
            </a:schemeClr>
          </a:solidFill>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n-US" i="1">
              <a:solidFill>
                <a:sysClr val="windowText" lastClr="000000"/>
              </a:solidFill>
            </a:rPr>
            <a:t>Measures</a:t>
          </a:r>
          <a:r>
            <a:rPr lang="en-US" i="1" baseline="0">
              <a:solidFill>
                <a:sysClr val="windowText" lastClr="000000"/>
              </a:solidFill>
            </a:rPr>
            <a:t> with no change are excluded from figure.</a:t>
          </a:r>
          <a:endParaRPr lang="en-US" i="1">
            <a:solidFill>
              <a:sysClr val="windowText" lastClr="000000"/>
            </a:solidFill>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0.23771</cdr:x>
      <cdr:y>0.35029</cdr:y>
    </cdr:from>
    <cdr:to>
      <cdr:x>0.52988</cdr:x>
      <cdr:y>0.80714</cdr:y>
    </cdr:to>
    <cdr:sp macro="" textlink="">
      <cdr:nvSpPr>
        <cdr:cNvPr id="2" name="TextBox 1"/>
        <cdr:cNvSpPr txBox="1"/>
      </cdr:nvSpPr>
      <cdr:spPr>
        <a:xfrm xmlns:a="http://schemas.openxmlformats.org/drawingml/2006/main" rot="8989238">
          <a:off x="529810" y="693991"/>
          <a:ext cx="651219" cy="905117"/>
        </a:xfrm>
        <a:prstGeom xmlns:a="http://schemas.openxmlformats.org/drawingml/2006/main" prst="rect">
          <a:avLst/>
        </a:prstGeom>
      </cdr:spPr>
      <cdr:txBody>
        <a:bodyPr xmlns:a="http://schemas.openxmlformats.org/drawingml/2006/main" spcFirstLastPara="1" wrap="square" numCol="1" rtlCol="0">
          <a:prstTxWarp prst="textArchUp">
            <a:avLst>
              <a:gd name="adj" fmla="val 18216438"/>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Change</a:t>
          </a:r>
          <a:r>
            <a:rPr lang="en-US" sz="1100" baseline="0"/>
            <a:t> to TRC</a:t>
          </a:r>
          <a:endParaRPr lang="en-US" sz="1100"/>
        </a:p>
      </cdr:txBody>
    </cdr:sp>
  </cdr:relSizeAnchor>
  <cdr:relSizeAnchor xmlns:cdr="http://schemas.openxmlformats.org/drawingml/2006/chartDrawing">
    <cdr:from>
      <cdr:x>0.3774</cdr:x>
      <cdr:y>0.18834</cdr:y>
    </cdr:from>
    <cdr:to>
      <cdr:x>0.76034</cdr:x>
      <cdr:y>0.67447</cdr:y>
    </cdr:to>
    <cdr:sp macro="" textlink="">
      <cdr:nvSpPr>
        <cdr:cNvPr id="3" name="TextBox 1"/>
        <cdr:cNvSpPr txBox="1"/>
      </cdr:nvSpPr>
      <cdr:spPr>
        <a:xfrm xmlns:a="http://schemas.openxmlformats.org/drawingml/2006/main" rot="19048176">
          <a:off x="841176" y="373139"/>
          <a:ext cx="853509" cy="963112"/>
        </a:xfrm>
        <a:prstGeom xmlns:a="http://schemas.openxmlformats.org/drawingml/2006/main" prst="rect">
          <a:avLst/>
        </a:prstGeom>
      </cdr:spPr>
      <cdr:txBody>
        <a:bodyPr xmlns:a="http://schemas.openxmlformats.org/drawingml/2006/main" spcFirstLastPara="1" wrap="square" numCol="1" rtlCol="0">
          <a:prstTxWarp prst="textArchUp">
            <a:avLst>
              <a:gd name="adj" fmla="val 18216438"/>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No Change to TRC</a:t>
          </a:r>
        </a:p>
      </cdr:txBody>
    </cdr:sp>
  </cdr:relSizeAnchor>
</c:userShapes>
</file>

<file path=xl/drawings/drawing4.xml><?xml version="1.0" encoding="utf-8"?>
<c:userShapes xmlns:c="http://schemas.openxmlformats.org/drawingml/2006/chart">
  <cdr:relSizeAnchor xmlns:cdr="http://schemas.openxmlformats.org/drawingml/2006/chartDrawing">
    <cdr:from>
      <cdr:x>0.23771</cdr:x>
      <cdr:y>0.35029</cdr:y>
    </cdr:from>
    <cdr:to>
      <cdr:x>0.52988</cdr:x>
      <cdr:y>0.80714</cdr:y>
    </cdr:to>
    <cdr:sp macro="" textlink="">
      <cdr:nvSpPr>
        <cdr:cNvPr id="2" name="TextBox 1"/>
        <cdr:cNvSpPr txBox="1"/>
      </cdr:nvSpPr>
      <cdr:spPr>
        <a:xfrm xmlns:a="http://schemas.openxmlformats.org/drawingml/2006/main" rot="8989238">
          <a:off x="529810" y="693991"/>
          <a:ext cx="651219" cy="905117"/>
        </a:xfrm>
        <a:prstGeom xmlns:a="http://schemas.openxmlformats.org/drawingml/2006/main" prst="rect">
          <a:avLst/>
        </a:prstGeom>
      </cdr:spPr>
      <cdr:txBody>
        <a:bodyPr xmlns:a="http://schemas.openxmlformats.org/drawingml/2006/main" spcFirstLastPara="1" wrap="square" numCol="1" rtlCol="0">
          <a:prstTxWarp prst="textArchUp">
            <a:avLst>
              <a:gd name="adj" fmla="val 18216438"/>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Change</a:t>
          </a:r>
          <a:r>
            <a:rPr lang="en-US" sz="1100" baseline="0"/>
            <a:t> to TRC</a:t>
          </a:r>
          <a:endParaRPr lang="en-US" sz="1100"/>
        </a:p>
      </cdr:txBody>
    </cdr:sp>
  </cdr:relSizeAnchor>
  <cdr:relSizeAnchor xmlns:cdr="http://schemas.openxmlformats.org/drawingml/2006/chartDrawing">
    <cdr:from>
      <cdr:x>0.3774</cdr:x>
      <cdr:y>0.18834</cdr:y>
    </cdr:from>
    <cdr:to>
      <cdr:x>0.76034</cdr:x>
      <cdr:y>0.67447</cdr:y>
    </cdr:to>
    <cdr:sp macro="" textlink="">
      <cdr:nvSpPr>
        <cdr:cNvPr id="3" name="TextBox 1"/>
        <cdr:cNvSpPr txBox="1"/>
      </cdr:nvSpPr>
      <cdr:spPr>
        <a:xfrm xmlns:a="http://schemas.openxmlformats.org/drawingml/2006/main" rot="19048176">
          <a:off x="841176" y="373139"/>
          <a:ext cx="853509" cy="963112"/>
        </a:xfrm>
        <a:prstGeom xmlns:a="http://schemas.openxmlformats.org/drawingml/2006/main" prst="rect">
          <a:avLst/>
        </a:prstGeom>
      </cdr:spPr>
      <cdr:txBody>
        <a:bodyPr xmlns:a="http://schemas.openxmlformats.org/drawingml/2006/main" spcFirstLastPara="1" wrap="square" numCol="1" rtlCol="0">
          <a:prstTxWarp prst="textArchUp">
            <a:avLst>
              <a:gd name="adj" fmla="val 18216438"/>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No Change to TRC</a:t>
          </a:r>
        </a:p>
      </cdr:txBody>
    </cdr:sp>
  </cdr:relSizeAnchor>
</c:userShapes>
</file>

<file path=xl/drawings/drawing5.xml><?xml version="1.0" encoding="utf-8"?>
<xdr:wsDr xmlns:xdr="http://schemas.openxmlformats.org/drawingml/2006/spreadsheetDrawing" xmlns:a="http://schemas.openxmlformats.org/drawingml/2006/main">
  <xdr:twoCellAnchor>
    <xdr:from>
      <xdr:col>3</xdr:col>
      <xdr:colOff>647702</xdr:colOff>
      <xdr:row>4</xdr:row>
      <xdr:rowOff>133350</xdr:rowOff>
    </xdr:from>
    <xdr:to>
      <xdr:col>4</xdr:col>
      <xdr:colOff>104776</xdr:colOff>
      <xdr:row>6</xdr:row>
      <xdr:rowOff>85725</xdr:rowOff>
    </xdr:to>
    <xdr:sp macro="" textlink="">
      <xdr:nvSpPr>
        <xdr:cNvPr id="2" name="Oval 1"/>
        <xdr:cNvSpPr/>
      </xdr:nvSpPr>
      <xdr:spPr>
        <a:xfrm>
          <a:off x="7162802" y="781050"/>
          <a:ext cx="657224" cy="342900"/>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619126</xdr:colOff>
      <xdr:row>7</xdr:row>
      <xdr:rowOff>152399</xdr:rowOff>
    </xdr:from>
    <xdr:to>
      <xdr:col>4</xdr:col>
      <xdr:colOff>123826</xdr:colOff>
      <xdr:row>9</xdr:row>
      <xdr:rowOff>47625</xdr:rowOff>
    </xdr:to>
    <xdr:sp macro="" textlink="">
      <xdr:nvSpPr>
        <xdr:cNvPr id="3" name="Oval 2"/>
        <xdr:cNvSpPr/>
      </xdr:nvSpPr>
      <xdr:spPr>
        <a:xfrm>
          <a:off x="7134226" y="1390649"/>
          <a:ext cx="704850" cy="285751"/>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628650</xdr:colOff>
      <xdr:row>20</xdr:row>
      <xdr:rowOff>142875</xdr:rowOff>
    </xdr:from>
    <xdr:to>
      <xdr:col>4</xdr:col>
      <xdr:colOff>238124</xdr:colOff>
      <xdr:row>23</xdr:row>
      <xdr:rowOff>38101</xdr:rowOff>
    </xdr:to>
    <xdr:sp macro="" textlink="">
      <xdr:nvSpPr>
        <xdr:cNvPr id="4" name="Oval 3"/>
        <xdr:cNvSpPr/>
      </xdr:nvSpPr>
      <xdr:spPr>
        <a:xfrm>
          <a:off x="7143750" y="3133725"/>
          <a:ext cx="809624" cy="485776"/>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447675</xdr:colOff>
      <xdr:row>56</xdr:row>
      <xdr:rowOff>133350</xdr:rowOff>
    </xdr:from>
    <xdr:to>
      <xdr:col>7</xdr:col>
      <xdr:colOff>180974</xdr:colOff>
      <xdr:row>58</xdr:row>
      <xdr:rowOff>95250</xdr:rowOff>
    </xdr:to>
    <xdr:sp macro="" textlink="">
      <xdr:nvSpPr>
        <xdr:cNvPr id="5" name="Oval 4"/>
        <xdr:cNvSpPr/>
      </xdr:nvSpPr>
      <xdr:spPr>
        <a:xfrm>
          <a:off x="10325100" y="6715125"/>
          <a:ext cx="809624" cy="342900"/>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695325</xdr:colOff>
      <xdr:row>11</xdr:row>
      <xdr:rowOff>152400</xdr:rowOff>
    </xdr:from>
    <xdr:to>
      <xdr:col>3</xdr:col>
      <xdr:colOff>100265</xdr:colOff>
      <xdr:row>13</xdr:row>
      <xdr:rowOff>60605</xdr:rowOff>
    </xdr:to>
    <xdr:pic>
      <xdr:nvPicPr>
        <xdr:cNvPr id="7" name="Picture 6"/>
        <xdr:cNvPicPr>
          <a:picLocks noChangeAspect="1"/>
        </xdr:cNvPicPr>
      </xdr:nvPicPr>
      <xdr:blipFill>
        <a:blip xmlns:r="http://schemas.openxmlformats.org/officeDocument/2006/relationships" r:embed="rId1"/>
        <a:stretch>
          <a:fillRect/>
        </a:stretch>
      </xdr:blipFill>
      <xdr:spPr>
        <a:xfrm>
          <a:off x="5895975" y="2162175"/>
          <a:ext cx="719390" cy="2987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21</xdr:col>
      <xdr:colOff>85725</xdr:colOff>
      <xdr:row>11</xdr:row>
      <xdr:rowOff>57150</xdr:rowOff>
    </xdr:from>
    <xdr:to>
      <xdr:col>24</xdr:col>
      <xdr:colOff>485774</xdr:colOff>
      <xdr:row>21</xdr:row>
      <xdr:rowOff>133349</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0</xdr:colOff>
      <xdr:row>6</xdr:row>
      <xdr:rowOff>0</xdr:rowOff>
    </xdr:from>
    <xdr:to>
      <xdr:col>51</xdr:col>
      <xdr:colOff>388741</xdr:colOff>
      <xdr:row>190</xdr:row>
      <xdr:rowOff>171450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46</xdr:col>
      <xdr:colOff>443345</xdr:colOff>
      <xdr:row>10</xdr:row>
      <xdr:rowOff>173181</xdr:rowOff>
    </xdr:from>
    <xdr:to>
      <xdr:col>50</xdr:col>
      <xdr:colOff>237258</xdr:colOff>
      <xdr:row>21</xdr:row>
      <xdr:rowOff>58880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46</xdr:col>
      <xdr:colOff>209550</xdr:colOff>
      <xdr:row>8</xdr:row>
      <xdr:rowOff>28575</xdr:rowOff>
    </xdr:from>
    <xdr:to>
      <xdr:col>50</xdr:col>
      <xdr:colOff>365975</xdr:colOff>
      <xdr:row>10</xdr:row>
      <xdr:rowOff>124023</xdr:rowOff>
    </xdr:to>
    <xdr:sp macro="" textlink="">
      <xdr:nvSpPr>
        <xdr:cNvPr id="6" name="Rectangle 5"/>
        <xdr:cNvSpPr/>
      </xdr:nvSpPr>
      <xdr:spPr>
        <a:xfrm>
          <a:off x="38557200" y="1362075"/>
          <a:ext cx="2594825" cy="476448"/>
        </a:xfrm>
        <a:prstGeom prst="rect">
          <a:avLst/>
        </a:prstGeom>
        <a:solidFill>
          <a:schemeClr val="bg1">
            <a:lumMod val="50000"/>
            <a:alpha val="22000"/>
          </a:schemeClr>
        </a:solidFill>
        <a:ln>
          <a:solidFill>
            <a:schemeClr val="accent1">
              <a:shade val="50000"/>
              <a:alpha val="63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US" i="1" baseline="0">
              <a:solidFill>
                <a:sysClr val="windowText" lastClr="000000"/>
              </a:solidFill>
            </a:rPr>
            <a:t>Summary: measures with TRC change due to NEB addition.</a:t>
          </a:r>
          <a:endParaRPr lang="en-US" i="1">
            <a:solidFill>
              <a:sysClr val="windowText" lastClr="000000"/>
            </a:solidFill>
          </a:endParaRPr>
        </a:p>
      </xdr:txBody>
    </xdr:sp>
    <xdr:clientData/>
  </xdr:twoCellAnchor>
  <xdr:twoCellAnchor>
    <xdr:from>
      <xdr:col>52</xdr:col>
      <xdr:colOff>493059</xdr:colOff>
      <xdr:row>17</xdr:row>
      <xdr:rowOff>113179</xdr:rowOff>
    </xdr:from>
    <xdr:to>
      <xdr:col>65</xdr:col>
      <xdr:colOff>392206</xdr:colOff>
      <xdr:row>34</xdr:row>
      <xdr:rowOff>112059</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0.23771</cdr:x>
      <cdr:y>0.35029</cdr:y>
    </cdr:from>
    <cdr:to>
      <cdr:x>0.52988</cdr:x>
      <cdr:y>0.80714</cdr:y>
    </cdr:to>
    <cdr:sp macro="" textlink="">
      <cdr:nvSpPr>
        <cdr:cNvPr id="2" name="TextBox 1"/>
        <cdr:cNvSpPr txBox="1"/>
      </cdr:nvSpPr>
      <cdr:spPr>
        <a:xfrm xmlns:a="http://schemas.openxmlformats.org/drawingml/2006/main" rot="8989238">
          <a:off x="529810" y="693991"/>
          <a:ext cx="651219" cy="905117"/>
        </a:xfrm>
        <a:prstGeom xmlns:a="http://schemas.openxmlformats.org/drawingml/2006/main" prst="rect">
          <a:avLst/>
        </a:prstGeom>
      </cdr:spPr>
      <cdr:txBody>
        <a:bodyPr xmlns:a="http://schemas.openxmlformats.org/drawingml/2006/main" spcFirstLastPara="1" wrap="square" numCol="1" rtlCol="0">
          <a:prstTxWarp prst="textArchUp">
            <a:avLst>
              <a:gd name="adj" fmla="val 18216438"/>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Change</a:t>
          </a:r>
          <a:r>
            <a:rPr lang="en-US" sz="1100" baseline="0"/>
            <a:t> to TRC</a:t>
          </a:r>
          <a:endParaRPr lang="en-US" sz="1100"/>
        </a:p>
      </cdr:txBody>
    </cdr:sp>
  </cdr:relSizeAnchor>
  <cdr:relSizeAnchor xmlns:cdr="http://schemas.openxmlformats.org/drawingml/2006/chartDrawing">
    <cdr:from>
      <cdr:x>0.3774</cdr:x>
      <cdr:y>0.18834</cdr:y>
    </cdr:from>
    <cdr:to>
      <cdr:x>0.76034</cdr:x>
      <cdr:y>0.67447</cdr:y>
    </cdr:to>
    <cdr:sp macro="" textlink="">
      <cdr:nvSpPr>
        <cdr:cNvPr id="3" name="TextBox 1"/>
        <cdr:cNvSpPr txBox="1"/>
      </cdr:nvSpPr>
      <cdr:spPr>
        <a:xfrm xmlns:a="http://schemas.openxmlformats.org/drawingml/2006/main" rot="19048176">
          <a:off x="841176" y="373139"/>
          <a:ext cx="853509" cy="963112"/>
        </a:xfrm>
        <a:prstGeom xmlns:a="http://schemas.openxmlformats.org/drawingml/2006/main" prst="rect">
          <a:avLst/>
        </a:prstGeom>
      </cdr:spPr>
      <cdr:txBody>
        <a:bodyPr xmlns:a="http://schemas.openxmlformats.org/drawingml/2006/main" spcFirstLastPara="1" wrap="square" numCol="1" rtlCol="0">
          <a:prstTxWarp prst="textArchUp">
            <a:avLst>
              <a:gd name="adj" fmla="val 18216438"/>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No Change to TRC</a:t>
          </a:r>
        </a:p>
      </cdr:txBody>
    </cdr:sp>
  </cdr:relSizeAnchor>
</c:userShapes>
</file>

<file path=xl/drawings/drawing8.xml><?xml version="1.0" encoding="utf-8"?>
<c:userShapes xmlns:c="http://schemas.openxmlformats.org/drawingml/2006/chart">
  <cdr:relSizeAnchor xmlns:cdr="http://schemas.openxmlformats.org/drawingml/2006/chartDrawing">
    <cdr:from>
      <cdr:x>0.5288</cdr:x>
      <cdr:y>0.50097</cdr:y>
    </cdr:from>
    <cdr:to>
      <cdr:x>0.76341</cdr:x>
      <cdr:y>0.5093</cdr:y>
    </cdr:to>
    <cdr:sp macro="" textlink="">
      <cdr:nvSpPr>
        <cdr:cNvPr id="4" name="Oval 3"/>
        <cdr:cNvSpPr/>
      </cdr:nvSpPr>
      <cdr:spPr>
        <a:xfrm xmlns:a="http://schemas.openxmlformats.org/drawingml/2006/main">
          <a:off x="6975051" y="17645986"/>
          <a:ext cx="3094586" cy="293412"/>
        </a:xfrm>
        <a:prstGeom xmlns:a="http://schemas.openxmlformats.org/drawingml/2006/main" prst="ellipse">
          <a:avLst/>
        </a:prstGeom>
        <a:noFill xmlns:a="http://schemas.openxmlformats.org/drawingml/2006/main"/>
        <a:effectLst xmlns:a="http://schemas.openxmlformats.org/drawingml/2006/main">
          <a:glow rad="533400">
            <a:srgbClr val="00B0F0">
              <a:alpha val="40000"/>
            </a:srgbClr>
          </a:glow>
          <a:softEdge rad="12700"/>
        </a:effec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b="1">
              <a:solidFill>
                <a:sysClr val="windowText" lastClr="000000"/>
              </a:solidFill>
            </a:rPr>
            <a:t>Median: 21.1%</a:t>
          </a:r>
        </a:p>
      </cdr:txBody>
    </cdr:sp>
  </cdr:relSizeAnchor>
  <cdr:relSizeAnchor xmlns:cdr="http://schemas.openxmlformats.org/drawingml/2006/chartDrawing">
    <cdr:from>
      <cdr:x>0.52449</cdr:x>
      <cdr:y>0.56844</cdr:y>
    </cdr:from>
    <cdr:to>
      <cdr:x>0.76046</cdr:x>
      <cdr:y>0.57677</cdr:y>
    </cdr:to>
    <cdr:sp macro="" textlink="">
      <cdr:nvSpPr>
        <cdr:cNvPr id="5" name="Oval 4"/>
        <cdr:cNvSpPr/>
      </cdr:nvSpPr>
      <cdr:spPr>
        <a:xfrm xmlns:a="http://schemas.openxmlformats.org/drawingml/2006/main">
          <a:off x="6918137" y="20022264"/>
          <a:ext cx="3112525" cy="293411"/>
        </a:xfrm>
        <a:prstGeom xmlns:a="http://schemas.openxmlformats.org/drawingml/2006/main" prst="ellipse">
          <a:avLst/>
        </a:prstGeom>
        <a:noFill xmlns:a="http://schemas.openxmlformats.org/drawingml/2006/main"/>
        <a:effectLst xmlns:a="http://schemas.openxmlformats.org/drawingml/2006/main">
          <a:glow rad="533400">
            <a:srgbClr val="FF0000">
              <a:alpha val="25000"/>
            </a:srgbClr>
          </a:glow>
          <a:softEdge rad="12700"/>
        </a:effec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b="1">
              <a:solidFill>
                <a:sysClr val="windowText" lastClr="000000"/>
              </a:solidFill>
            </a:rPr>
            <a:t>Average: 30.6%</a:t>
          </a:r>
        </a:p>
      </cdr:txBody>
    </cdr:sp>
  </cdr:relSizeAnchor>
</c:userShapes>
</file>

<file path=xl/drawings/drawing9.xml><?xml version="1.0" encoding="utf-8"?>
<c:userShapes xmlns:c="http://schemas.openxmlformats.org/drawingml/2006/chart">
  <cdr:relSizeAnchor xmlns:cdr="http://schemas.openxmlformats.org/drawingml/2006/chartDrawing">
    <cdr:from>
      <cdr:x>0.23771</cdr:x>
      <cdr:y>0.35029</cdr:y>
    </cdr:from>
    <cdr:to>
      <cdr:x>0.52988</cdr:x>
      <cdr:y>0.80714</cdr:y>
    </cdr:to>
    <cdr:sp macro="" textlink="">
      <cdr:nvSpPr>
        <cdr:cNvPr id="2" name="TextBox 1"/>
        <cdr:cNvSpPr txBox="1"/>
      </cdr:nvSpPr>
      <cdr:spPr>
        <a:xfrm xmlns:a="http://schemas.openxmlformats.org/drawingml/2006/main" rot="8989238">
          <a:off x="529810" y="693991"/>
          <a:ext cx="651219" cy="905117"/>
        </a:xfrm>
        <a:prstGeom xmlns:a="http://schemas.openxmlformats.org/drawingml/2006/main" prst="rect">
          <a:avLst/>
        </a:prstGeom>
      </cdr:spPr>
      <cdr:txBody>
        <a:bodyPr xmlns:a="http://schemas.openxmlformats.org/drawingml/2006/main" spcFirstLastPara="1" wrap="square" numCol="1" rtlCol="0">
          <a:prstTxWarp prst="textArchUp">
            <a:avLst>
              <a:gd name="adj" fmla="val 18216438"/>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Change</a:t>
          </a:r>
          <a:r>
            <a:rPr lang="en-US" sz="1100" baseline="0"/>
            <a:t> to TRC</a:t>
          </a:r>
          <a:endParaRPr lang="en-US" sz="1100"/>
        </a:p>
      </cdr:txBody>
    </cdr:sp>
  </cdr:relSizeAnchor>
  <cdr:relSizeAnchor xmlns:cdr="http://schemas.openxmlformats.org/drawingml/2006/chartDrawing">
    <cdr:from>
      <cdr:x>0.3774</cdr:x>
      <cdr:y>0.18834</cdr:y>
    </cdr:from>
    <cdr:to>
      <cdr:x>0.76034</cdr:x>
      <cdr:y>0.67447</cdr:y>
    </cdr:to>
    <cdr:sp macro="" textlink="">
      <cdr:nvSpPr>
        <cdr:cNvPr id="3" name="TextBox 1"/>
        <cdr:cNvSpPr txBox="1"/>
      </cdr:nvSpPr>
      <cdr:spPr>
        <a:xfrm xmlns:a="http://schemas.openxmlformats.org/drawingml/2006/main" rot="19048176">
          <a:off x="841176" y="373139"/>
          <a:ext cx="853509" cy="963112"/>
        </a:xfrm>
        <a:prstGeom xmlns:a="http://schemas.openxmlformats.org/drawingml/2006/main" prst="rect">
          <a:avLst/>
        </a:prstGeom>
      </cdr:spPr>
      <cdr:txBody>
        <a:bodyPr xmlns:a="http://schemas.openxmlformats.org/drawingml/2006/main" spcFirstLastPara="1" wrap="square" numCol="1" rtlCol="0">
          <a:prstTxWarp prst="textArchUp">
            <a:avLst>
              <a:gd name="adj" fmla="val 18216438"/>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No Change to TRC</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16-2018%20DSM%20Plan\RAM%20Versions\2015.02.26%20-%20Final%20RAM%20w8760\ELRAM%20Final.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Overview"/>
      <sheetName val="Scenario Dashboard"/>
      <sheetName val="Summary Parameters"/>
      <sheetName val="Program Accomplishments"/>
      <sheetName val="Avoided Costs"/>
      <sheetName val="Mea-In"/>
      <sheetName val="Output Summary Navigation"/>
      <sheetName val="Results Tables"/>
      <sheetName val="Summary Tables"/>
      <sheetName val="Totals by Category"/>
      <sheetName val="Tables-Graphs"/>
      <sheetName val="Supply Curves"/>
      <sheetName val="Codes &amp; Standards"/>
      <sheetName val="Measures Ranked"/>
      <sheetName val="GHG Carbon"/>
      <sheetName val="Tech Cost"/>
      <sheetName val="Incentives"/>
      <sheetName val="Admin Cost"/>
      <sheetName val="W&amp;A Time Vector"/>
      <sheetName val="NTG"/>
      <sheetName val="Impact Change-Non-Code"/>
      <sheetName val="Code Based Impact Change"/>
      <sheetName val="Mea-Avoid"/>
      <sheetName val="Bill Reduction"/>
      <sheetName val="Economic Screen"/>
      <sheetName val="Achieve and Units Distribution"/>
      <sheetName val="Calibrate"/>
      <sheetName val="Stocks"/>
      <sheetName val="Dual Base"/>
      <sheetName val="Re Engage"/>
      <sheetName val="Re-Participation Units"/>
      <sheetName val="RePart-Utility-Cost"/>
      <sheetName val="Costs-Benefits"/>
      <sheetName val="Financial Tests"/>
      <sheetName val="Tech Potential"/>
      <sheetName val="Tech C&amp;S Impacts"/>
      <sheetName val="Econ Potential"/>
      <sheetName val="Market Incremental Potential"/>
      <sheetName val="RePart-Utility"/>
      <sheetName val="Cumul Potential"/>
      <sheetName val="Special Cumul Potential"/>
      <sheetName val="Live-Unsorted Extra Tables"/>
      <sheetName val="Sorted Extra Tables"/>
    </sheetNames>
    <sheetDataSet>
      <sheetData sheetId="0"/>
      <sheetData sheetId="1">
        <row r="23">
          <cell r="W23">
            <v>1</v>
          </cell>
        </row>
        <row r="27">
          <cell r="M27">
            <v>0.25</v>
          </cell>
        </row>
        <row r="101">
          <cell r="B101">
            <v>0.75</v>
          </cell>
        </row>
        <row r="107">
          <cell r="B107">
            <v>0</v>
          </cell>
        </row>
        <row r="109">
          <cell r="B109">
            <v>0</v>
          </cell>
        </row>
      </sheetData>
      <sheetData sheetId="2">
        <row r="19">
          <cell r="C19">
            <v>6.8099999999999994E-2</v>
          </cell>
        </row>
      </sheetData>
      <sheetData sheetId="3"/>
      <sheetData sheetId="4"/>
      <sheetData sheetId="5">
        <row r="97">
          <cell r="AG97" t="str">
            <v>Existing Homes</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497">
          <cell r="G497">
            <v>0</v>
          </cell>
        </row>
      </sheetData>
      <sheetData sheetId="21">
        <row r="497">
          <cell r="G497" t="str">
            <v/>
          </cell>
        </row>
      </sheetData>
      <sheetData sheetId="22"/>
      <sheetData sheetId="23"/>
      <sheetData sheetId="24">
        <row r="497">
          <cell r="DN497" t="str">
            <v/>
          </cell>
        </row>
      </sheetData>
      <sheetData sheetId="25">
        <row r="87">
          <cell r="B87" t="str">
            <v>RET</v>
          </cell>
        </row>
      </sheetData>
      <sheetData sheetId="26">
        <row r="7">
          <cell r="G7">
            <v>1.0000000000000009E-2</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IU342"/>
  <sheetViews>
    <sheetView tabSelected="1" topLeftCell="B1" zoomScaleNormal="100" workbookViewId="0">
      <pane xSplit="1" topLeftCell="C1" activePane="topRight" state="frozen"/>
      <selection activeCell="B1" sqref="B1"/>
      <selection pane="topRight" activeCell="AY1" sqref="AY1:BA1048576"/>
    </sheetView>
  </sheetViews>
  <sheetFormatPr defaultColWidth="8.85546875" defaultRowHeight="15" customHeight="1"/>
  <cols>
    <col min="1" max="1" width="23.140625" style="306" hidden="1" customWidth="1"/>
    <col min="2" max="2" width="77.28515625" style="23" bestFit="1" customWidth="1"/>
    <col min="3" max="3" width="22.7109375" style="23" customWidth="1"/>
    <col min="4" max="4" width="22.140625" style="23" customWidth="1"/>
    <col min="5" max="5" width="8.5703125" style="23" customWidth="1"/>
    <col min="6" max="6" width="16.7109375" style="23" customWidth="1"/>
    <col min="7" max="7" width="15.85546875" style="23" hidden="1" customWidth="1"/>
    <col min="8" max="8" width="16" style="23" hidden="1" customWidth="1"/>
    <col min="9" max="10" width="16.42578125" style="23" hidden="1" customWidth="1"/>
    <col min="11" max="11" width="16.7109375" style="23" hidden="1" customWidth="1"/>
    <col min="12" max="14" width="16.42578125" style="23" hidden="1" customWidth="1"/>
    <col min="15" max="15" width="19.42578125" style="23" hidden="1" customWidth="1"/>
    <col min="16" max="16" width="16.42578125" style="23" hidden="1" customWidth="1"/>
    <col min="17" max="21" width="16.42578125" style="306" customWidth="1"/>
    <col min="22" max="22" width="16.28515625" style="23" hidden="1" customWidth="1"/>
    <col min="23" max="23" width="16.140625" style="23" hidden="1" customWidth="1"/>
    <col min="24" max="24" width="49.42578125" style="23" hidden="1" customWidth="1"/>
    <col min="25" max="25" width="23.7109375" style="23" hidden="1" customWidth="1"/>
    <col min="26" max="26" width="21.7109375" style="23" hidden="1" customWidth="1"/>
    <col min="27" max="27" width="17.5703125" style="23" hidden="1" customWidth="1"/>
    <col min="28" max="28" width="15.28515625" style="23" customWidth="1"/>
    <col min="29" max="29" width="23.28515625" style="287" customWidth="1"/>
    <col min="30" max="32" width="10.28515625" style="287" customWidth="1"/>
    <col min="33" max="33" width="12" style="287" customWidth="1"/>
    <col min="34" max="34" width="12.42578125" style="287" customWidth="1"/>
    <col min="35" max="39" width="10.85546875" style="287" customWidth="1"/>
    <col min="40" max="40" width="14.140625" style="287" customWidth="1"/>
    <col min="41" max="41" width="20.7109375" style="287" customWidth="1"/>
    <col min="42" max="42" width="43.140625" style="23" hidden="1" customWidth="1"/>
    <col min="43" max="43" width="16.140625" style="23" hidden="1" customWidth="1"/>
    <col min="44" max="44" width="23.28515625" style="506" customWidth="1"/>
    <col min="45" max="45" width="17.7109375" style="23" hidden="1" customWidth="1"/>
    <col min="46" max="46" width="14.5703125" style="23" hidden="1" customWidth="1"/>
    <col min="47" max="47" width="18.140625" style="23" hidden="1" customWidth="1"/>
    <col min="48" max="48" width="11.140625" style="23" hidden="1" customWidth="1"/>
    <col min="49" max="49" width="20.7109375" style="23" customWidth="1"/>
    <col min="50" max="50" width="18.28515625" style="23" customWidth="1"/>
    <col min="51" max="51" width="13.5703125" style="23" hidden="1" customWidth="1"/>
    <col min="52" max="52" width="22.5703125" style="23" hidden="1" customWidth="1"/>
    <col min="53" max="53" width="8.85546875" style="23" hidden="1" customWidth="1"/>
    <col min="54" max="54" width="11" style="23" customWidth="1"/>
    <col min="55" max="55" width="78.85546875" style="23" customWidth="1"/>
    <col min="56" max="56" width="13.85546875" style="23" customWidth="1"/>
    <col min="57" max="57" width="8.85546875" style="23" customWidth="1"/>
    <col min="58" max="58" width="12.7109375" style="23" customWidth="1"/>
    <col min="59" max="59" width="8.85546875" style="23" customWidth="1"/>
    <col min="60" max="60" width="12.85546875" style="23" bestFit="1" customWidth="1"/>
    <col min="61" max="61" width="18.140625" style="239" bestFit="1" customWidth="1"/>
    <col min="62" max="62" width="18.140625" style="239" customWidth="1"/>
    <col min="63" max="63" width="18.7109375" style="239" customWidth="1"/>
    <col min="64" max="64" width="17.28515625" style="239" customWidth="1"/>
    <col min="65" max="65" width="16.7109375" style="239" customWidth="1"/>
    <col min="66" max="66" width="18.140625" style="239" customWidth="1"/>
    <col min="67" max="67" width="9.28515625" style="239" customWidth="1"/>
    <col min="68" max="68" width="11.140625" style="239" customWidth="1"/>
    <col min="69" max="69" width="8.28515625" style="239" customWidth="1"/>
    <col min="70" max="70" width="17.42578125" style="239" customWidth="1"/>
    <col min="71" max="71" width="16.140625" style="239" customWidth="1"/>
    <col min="72" max="72" width="16" style="239" customWidth="1"/>
    <col min="73" max="73" width="17.85546875" style="239" customWidth="1"/>
    <col min="74" max="74" width="12.85546875" style="239" bestFit="1" customWidth="1"/>
    <col min="75" max="75" width="18.140625" style="239" bestFit="1" customWidth="1"/>
    <col min="76" max="76" width="18.140625" style="239" customWidth="1"/>
    <col min="77" max="77" width="18.7109375" style="239" customWidth="1"/>
    <col min="78" max="78" width="19.140625" style="239" customWidth="1"/>
    <col min="79" max="79" width="16.7109375" style="239" customWidth="1"/>
    <col min="80" max="80" width="18.140625" style="239" customWidth="1"/>
    <col min="81" max="85" width="14.28515625" style="239" customWidth="1"/>
    <col min="86" max="86" width="16" style="239" customWidth="1"/>
    <col min="87" max="87" width="17.85546875" style="239" customWidth="1"/>
    <col min="88" max="88" width="12.85546875" style="239" bestFit="1" customWidth="1"/>
    <col min="89" max="89" width="18.140625" style="239" bestFit="1" customWidth="1"/>
    <col min="90" max="90" width="18.140625" style="239" customWidth="1"/>
    <col min="91" max="91" width="18.7109375" style="239" customWidth="1"/>
    <col min="92" max="92" width="11.140625" style="239" customWidth="1"/>
    <col min="93" max="93" width="16.7109375" style="239" customWidth="1"/>
    <col min="94" max="94" width="18.140625" style="239" customWidth="1"/>
    <col min="95" max="96" width="8.85546875" style="239" customWidth="1"/>
    <col min="97" max="97" width="12.28515625" style="239" customWidth="1"/>
    <col min="98" max="98" width="23.28515625" style="239" customWidth="1"/>
    <col min="99" max="116" width="8.85546875" style="239" customWidth="1"/>
    <col min="117" max="16384" width="8.85546875" style="239"/>
  </cols>
  <sheetData>
    <row r="1" spans="1:255" ht="53.25" customHeight="1" thickBot="1">
      <c r="B1" s="528"/>
      <c r="C1" s="528"/>
      <c r="D1" s="528"/>
      <c r="E1" s="528"/>
      <c r="Q1" s="530" t="s">
        <v>470</v>
      </c>
      <c r="R1" s="531"/>
      <c r="S1" s="531"/>
      <c r="T1" s="531"/>
      <c r="U1" s="531"/>
      <c r="AB1" s="525" t="s">
        <v>471</v>
      </c>
      <c r="AC1" s="525"/>
      <c r="AD1" s="525"/>
      <c r="AE1" s="525"/>
      <c r="AF1" s="525"/>
      <c r="AG1" s="525"/>
      <c r="AH1" s="525"/>
      <c r="AI1" s="525"/>
      <c r="AJ1" s="525"/>
      <c r="AK1" s="525"/>
      <c r="AL1" s="525"/>
      <c r="AM1" s="525"/>
      <c r="AN1" s="525"/>
      <c r="AO1" s="525"/>
      <c r="AP1" s="525"/>
      <c r="AQ1" s="525"/>
      <c r="AR1" s="525"/>
      <c r="AS1" s="366"/>
      <c r="AT1" s="366"/>
      <c r="AU1" s="521" t="s">
        <v>503</v>
      </c>
      <c r="AV1" s="521"/>
      <c r="AW1" s="521"/>
      <c r="AX1" s="521"/>
      <c r="BH1" s="509" t="s">
        <v>472</v>
      </c>
      <c r="BI1" s="509"/>
      <c r="BJ1" s="509"/>
      <c r="BK1" s="509"/>
      <c r="BL1" s="509"/>
      <c r="BM1" s="509"/>
      <c r="BN1" s="509"/>
      <c r="BO1" s="509"/>
      <c r="BP1" s="509"/>
      <c r="BQ1" s="509"/>
      <c r="BR1" s="509"/>
      <c r="BS1" s="509"/>
      <c r="BT1" s="509"/>
      <c r="BU1" s="509"/>
      <c r="BV1" s="509"/>
      <c r="BW1" s="509"/>
      <c r="BX1" s="509"/>
      <c r="BY1" s="509"/>
      <c r="BZ1" s="509"/>
      <c r="CA1" s="509"/>
      <c r="CB1" s="509"/>
      <c r="CC1" s="509"/>
      <c r="CD1" s="509"/>
      <c r="CE1" s="509"/>
      <c r="CF1" s="509"/>
      <c r="CG1" s="509"/>
      <c r="CH1" s="509"/>
      <c r="CI1" s="509"/>
      <c r="CJ1" s="509"/>
      <c r="CK1" s="509"/>
      <c r="CL1" s="509"/>
      <c r="CM1" s="509"/>
      <c r="CN1" s="509"/>
      <c r="CO1" s="509"/>
      <c r="CP1" s="509"/>
    </row>
    <row r="2" spans="1:255" s="23" customFormat="1" ht="58.15" customHeight="1" thickBot="1">
      <c r="A2" s="306" t="s">
        <v>436</v>
      </c>
      <c r="B2" s="17" t="s">
        <v>0</v>
      </c>
      <c r="C2" s="18" t="s">
        <v>1</v>
      </c>
      <c r="D2" s="18" t="s">
        <v>2</v>
      </c>
      <c r="E2" s="19" t="s">
        <v>3</v>
      </c>
      <c r="F2" s="19" t="s">
        <v>4</v>
      </c>
      <c r="G2" s="19" t="s">
        <v>5</v>
      </c>
      <c r="H2" s="19" t="s">
        <v>6</v>
      </c>
      <c r="I2" s="19" t="s">
        <v>7</v>
      </c>
      <c r="J2" s="19" t="s">
        <v>8</v>
      </c>
      <c r="K2" s="19" t="s">
        <v>9</v>
      </c>
      <c r="L2" s="19" t="s">
        <v>10</v>
      </c>
      <c r="M2" s="19" t="s">
        <v>11</v>
      </c>
      <c r="N2" s="19" t="s">
        <v>12</v>
      </c>
      <c r="O2" s="19" t="s">
        <v>13</v>
      </c>
      <c r="P2" s="19" t="s">
        <v>14</v>
      </c>
      <c r="Q2" s="307" t="s">
        <v>431</v>
      </c>
      <c r="R2" s="307" t="s">
        <v>432</v>
      </c>
      <c r="S2" s="307" t="s">
        <v>433</v>
      </c>
      <c r="T2" s="307" t="s">
        <v>434</v>
      </c>
      <c r="U2" s="307" t="s">
        <v>435</v>
      </c>
      <c r="V2" s="19" t="s">
        <v>15</v>
      </c>
      <c r="W2" s="20" t="s">
        <v>16</v>
      </c>
      <c r="X2" s="218" t="s">
        <v>375</v>
      </c>
      <c r="Y2" s="476" t="s">
        <v>555</v>
      </c>
      <c r="Z2" s="123" t="s">
        <v>376</v>
      </c>
      <c r="AA2" s="256" t="s">
        <v>385</v>
      </c>
      <c r="AB2" s="290" t="s">
        <v>426</v>
      </c>
      <c r="AC2" s="291" t="s">
        <v>427</v>
      </c>
      <c r="AD2" s="335" t="s">
        <v>442</v>
      </c>
      <c r="AE2" s="335" t="s">
        <v>443</v>
      </c>
      <c r="AF2" s="335" t="s">
        <v>444</v>
      </c>
      <c r="AG2" s="335" t="s">
        <v>445</v>
      </c>
      <c r="AH2" s="335" t="s">
        <v>446</v>
      </c>
      <c r="AI2" s="335" t="s">
        <v>447</v>
      </c>
      <c r="AJ2" s="335" t="s">
        <v>473</v>
      </c>
      <c r="AK2" s="335" t="s">
        <v>448</v>
      </c>
      <c r="AL2" s="335" t="s">
        <v>449</v>
      </c>
      <c r="AM2" s="335" t="s">
        <v>451</v>
      </c>
      <c r="AN2" s="291" t="s">
        <v>452</v>
      </c>
      <c r="AO2" s="291" t="s">
        <v>291</v>
      </c>
      <c r="AP2" s="290" t="s">
        <v>339</v>
      </c>
      <c r="AQ2" s="151" t="s">
        <v>466</v>
      </c>
      <c r="AR2" s="291" t="s">
        <v>599</v>
      </c>
      <c r="AS2" s="123" t="s">
        <v>228</v>
      </c>
      <c r="AT2" s="123" t="s">
        <v>283</v>
      </c>
      <c r="AU2" s="422" t="s">
        <v>467</v>
      </c>
      <c r="AV2" s="151" t="s">
        <v>197</v>
      </c>
      <c r="AW2" s="424" t="s">
        <v>468</v>
      </c>
      <c r="AX2" s="424" t="s">
        <v>469</v>
      </c>
      <c r="AY2" s="151" t="s">
        <v>285</v>
      </c>
      <c r="AZ2" s="123"/>
      <c r="BA2" s="21"/>
      <c r="BB2" s="22"/>
      <c r="BC2" s="433"/>
      <c r="BD2" s="436" t="s">
        <v>17</v>
      </c>
      <c r="BE2" s="437" t="s">
        <v>18</v>
      </c>
      <c r="BF2" s="438" t="s">
        <v>19</v>
      </c>
      <c r="BG2" s="437" t="s">
        <v>20</v>
      </c>
      <c r="BH2" s="459" t="s">
        <v>496</v>
      </c>
      <c r="BI2" s="460" t="s">
        <v>488</v>
      </c>
      <c r="BJ2" s="460" t="s">
        <v>498</v>
      </c>
      <c r="BK2" s="459" t="s">
        <v>22</v>
      </c>
      <c r="BL2" s="459" t="s">
        <v>486</v>
      </c>
      <c r="BM2" s="461" t="s">
        <v>23</v>
      </c>
      <c r="BN2" s="462" t="s">
        <v>509</v>
      </c>
      <c r="BO2" s="462" t="s">
        <v>489</v>
      </c>
      <c r="BP2" s="459" t="s">
        <v>25</v>
      </c>
      <c r="BQ2" s="462" t="s">
        <v>26</v>
      </c>
      <c r="BR2" s="463" t="s">
        <v>17</v>
      </c>
      <c r="BS2" s="459" t="s">
        <v>18</v>
      </c>
      <c r="BT2" s="463" t="s">
        <v>19</v>
      </c>
      <c r="BU2" s="459" t="s">
        <v>20</v>
      </c>
      <c r="BV2" s="459" t="s">
        <v>497</v>
      </c>
      <c r="BW2" s="460" t="s">
        <v>488</v>
      </c>
      <c r="BX2" s="460" t="s">
        <v>498</v>
      </c>
      <c r="BY2" s="459" t="s">
        <v>22</v>
      </c>
      <c r="BZ2" s="459" t="s">
        <v>487</v>
      </c>
      <c r="CA2" s="461" t="s">
        <v>23</v>
      </c>
      <c r="CB2" s="462" t="s">
        <v>509</v>
      </c>
      <c r="CC2" s="462" t="s">
        <v>489</v>
      </c>
      <c r="CD2" s="459" t="s">
        <v>25</v>
      </c>
      <c r="CE2" s="462" t="s">
        <v>26</v>
      </c>
      <c r="CF2" s="463" t="s">
        <v>17</v>
      </c>
      <c r="CG2" s="459" t="s">
        <v>18</v>
      </c>
      <c r="CH2" s="463" t="s">
        <v>19</v>
      </c>
      <c r="CI2" s="459" t="s">
        <v>20</v>
      </c>
      <c r="CJ2" s="459" t="s">
        <v>496</v>
      </c>
      <c r="CK2" s="460" t="s">
        <v>488</v>
      </c>
      <c r="CL2" s="460" t="s">
        <v>499</v>
      </c>
      <c r="CM2" s="459" t="s">
        <v>22</v>
      </c>
      <c r="CN2" s="459" t="s">
        <v>487</v>
      </c>
      <c r="CO2" s="461" t="s">
        <v>23</v>
      </c>
      <c r="CP2" s="462" t="s">
        <v>509</v>
      </c>
      <c r="CQ2" s="3" t="s">
        <v>489</v>
      </c>
      <c r="CR2" s="1" t="s">
        <v>25</v>
      </c>
      <c r="CS2" s="4" t="s">
        <v>26</v>
      </c>
    </row>
    <row r="3" spans="1:255" s="23" customFormat="1" ht="37.5" customHeight="1" thickBot="1">
      <c r="A3" s="306"/>
      <c r="B3" s="24"/>
      <c r="C3" s="25"/>
      <c r="D3" s="25"/>
      <c r="E3" s="21"/>
      <c r="F3" s="21"/>
      <c r="G3" s="21"/>
      <c r="H3" s="21"/>
      <c r="I3" s="21"/>
      <c r="J3" s="21"/>
      <c r="K3" s="21"/>
      <c r="L3" s="21"/>
      <c r="M3" s="21"/>
      <c r="N3" s="21"/>
      <c r="O3" s="21"/>
      <c r="P3" s="21"/>
      <c r="Q3" s="308"/>
      <c r="R3" s="309">
        <v>6.8099999999999994E-2</v>
      </c>
      <c r="S3" s="308"/>
      <c r="T3" s="308"/>
      <c r="U3" s="308"/>
      <c r="V3" s="21"/>
      <c r="W3" s="26"/>
      <c r="X3" s="21"/>
      <c r="Y3" s="21"/>
      <c r="Z3" s="242">
        <v>1.26</v>
      </c>
      <c r="AA3" s="242" t="s">
        <v>384</v>
      </c>
      <c r="AB3" s="292"/>
      <c r="AC3" s="358">
        <v>2.7290000000000001</v>
      </c>
      <c r="AD3" s="532" t="s">
        <v>450</v>
      </c>
      <c r="AE3" s="532"/>
      <c r="AF3" s="532"/>
      <c r="AG3" s="532"/>
      <c r="AH3" s="532"/>
      <c r="AI3" s="532"/>
      <c r="AJ3" s="532"/>
      <c r="AK3" s="532"/>
      <c r="AL3" s="532"/>
      <c r="AM3" s="532"/>
      <c r="AN3" s="532"/>
      <c r="AO3" s="292"/>
      <c r="AP3" s="293"/>
      <c r="AQ3" s="21"/>
      <c r="AR3" s="499"/>
      <c r="AS3" s="518" t="s">
        <v>341</v>
      </c>
      <c r="AT3" s="519"/>
      <c r="AU3" s="423"/>
      <c r="AV3" s="223"/>
      <c r="AW3" s="425"/>
      <c r="AX3" s="425"/>
      <c r="AY3" s="223"/>
      <c r="AZ3" s="242"/>
      <c r="BA3" s="21"/>
      <c r="BB3" s="22"/>
      <c r="BC3" s="27"/>
      <c r="BD3" s="520" t="s">
        <v>463</v>
      </c>
      <c r="BE3" s="520"/>
      <c r="BF3" s="520"/>
      <c r="BG3" s="520"/>
      <c r="BH3" s="520"/>
      <c r="BI3" s="520"/>
      <c r="BJ3" s="520"/>
      <c r="BK3" s="520"/>
      <c r="BL3" s="520"/>
      <c r="BM3" s="520"/>
      <c r="BN3" s="520"/>
      <c r="BO3" s="520"/>
      <c r="BP3" s="520"/>
      <c r="BQ3" s="520"/>
      <c r="BR3" s="520" t="s">
        <v>464</v>
      </c>
      <c r="BS3" s="520"/>
      <c r="BT3" s="520"/>
      <c r="BU3" s="520"/>
      <c r="BV3" s="520"/>
      <c r="BW3" s="520"/>
      <c r="BX3" s="520"/>
      <c r="BY3" s="520"/>
      <c r="BZ3" s="520"/>
      <c r="CA3" s="520"/>
      <c r="CB3" s="520"/>
      <c r="CC3" s="520"/>
      <c r="CD3" s="520"/>
      <c r="CE3" s="520"/>
      <c r="CF3" s="520" t="s">
        <v>465</v>
      </c>
      <c r="CG3" s="520"/>
      <c r="CH3" s="520"/>
      <c r="CI3" s="520"/>
      <c r="CJ3" s="520"/>
      <c r="CK3" s="520"/>
      <c r="CL3" s="520"/>
      <c r="CM3" s="520"/>
      <c r="CN3" s="520"/>
      <c r="CO3" s="520"/>
      <c r="CP3" s="520"/>
      <c r="CQ3" s="520"/>
      <c r="CR3" s="520"/>
      <c r="CS3" s="520"/>
    </row>
    <row r="4" spans="1:255" s="23" customFormat="1" ht="49.5" customHeight="1" thickBot="1">
      <c r="A4" s="306"/>
      <c r="B4" s="24" t="s">
        <v>490</v>
      </c>
      <c r="C4" s="25"/>
      <c r="D4" s="25"/>
      <c r="E4" s="21"/>
      <c r="F4" s="21"/>
      <c r="G4" s="21"/>
      <c r="H4" s="21"/>
      <c r="I4" s="21"/>
      <c r="J4" s="21"/>
      <c r="K4" s="21"/>
      <c r="L4" s="21"/>
      <c r="M4" s="21"/>
      <c r="N4" s="21"/>
      <c r="O4" s="21"/>
      <c r="P4" s="21"/>
      <c r="Q4" s="308"/>
      <c r="R4" s="308"/>
      <c r="S4" s="308"/>
      <c r="T4" s="308"/>
      <c r="U4" s="308"/>
      <c r="V4" s="21"/>
      <c r="W4" s="26"/>
      <c r="X4" s="21"/>
      <c r="Y4" s="21"/>
      <c r="Z4" s="21"/>
      <c r="AA4" s="21"/>
      <c r="AB4" s="293"/>
      <c r="AC4" s="385" t="s">
        <v>418</v>
      </c>
      <c r="AD4" s="336"/>
      <c r="AE4" s="336"/>
      <c r="AF4" s="336"/>
      <c r="AG4" s="336"/>
      <c r="AH4" s="336"/>
      <c r="AI4" s="336"/>
      <c r="AJ4" s="336"/>
      <c r="AK4" s="336"/>
      <c r="AL4" s="336"/>
      <c r="AM4" s="336"/>
      <c r="AN4" s="336"/>
      <c r="AO4" s="292"/>
      <c r="AP4" s="293"/>
      <c r="AQ4" s="21"/>
      <c r="AR4" s="500"/>
      <c r="AS4" s="21"/>
      <c r="AT4" s="21"/>
      <c r="AU4" s="423"/>
      <c r="AV4" s="21"/>
      <c r="AW4" s="425"/>
      <c r="AX4" s="425"/>
      <c r="AY4" s="21"/>
      <c r="AZ4" s="21"/>
      <c r="BA4" s="232"/>
      <c r="BB4" s="22"/>
      <c r="BC4" s="233"/>
      <c r="BD4" s="234"/>
      <c r="BE4" s="235"/>
      <c r="BF4" s="236"/>
      <c r="BG4" s="235"/>
      <c r="BH4" s="464"/>
      <c r="BI4" s="235"/>
      <c r="BJ4" s="465"/>
      <c r="BK4" s="235"/>
      <c r="BL4" s="235"/>
      <c r="BM4" s="466"/>
      <c r="BN4" s="238"/>
      <c r="BO4" s="237"/>
      <c r="BP4" s="235"/>
      <c r="BQ4" s="238"/>
      <c r="BR4" s="236"/>
      <c r="BS4" s="235"/>
      <c r="BT4" s="236"/>
      <c r="BU4" s="235"/>
      <c r="BV4" s="464"/>
      <c r="BW4" s="345"/>
      <c r="BX4" s="467"/>
      <c r="BY4" s="235"/>
      <c r="BZ4" s="235"/>
      <c r="CA4" s="466"/>
      <c r="CB4" s="238"/>
      <c r="CC4" s="237"/>
      <c r="CD4" s="235"/>
      <c r="CE4" s="238"/>
      <c r="CF4" s="234"/>
      <c r="CG4" s="235"/>
      <c r="CH4" s="236"/>
      <c r="CI4" s="235"/>
      <c r="CJ4" s="464"/>
      <c r="CK4" s="345"/>
      <c r="CL4" s="345"/>
      <c r="CM4" s="235"/>
      <c r="CN4" s="235"/>
      <c r="CO4" s="466"/>
      <c r="CP4" s="238"/>
      <c r="CQ4" s="237"/>
      <c r="CR4" s="235"/>
      <c r="CS4" s="238"/>
      <c r="CT4" s="239"/>
      <c r="CU4" s="239"/>
      <c r="CV4" s="239"/>
      <c r="CW4" s="239"/>
      <c r="CX4" s="239"/>
      <c r="CY4" s="239"/>
      <c r="CZ4" s="239"/>
      <c r="DA4" s="239"/>
      <c r="DB4" s="239"/>
      <c r="DC4" s="239"/>
      <c r="DD4" s="239"/>
      <c r="DE4" s="239"/>
      <c r="DF4" s="239"/>
      <c r="DG4" s="239"/>
      <c r="DH4" s="239"/>
      <c r="DI4" s="239"/>
      <c r="DJ4" s="239"/>
      <c r="DK4" s="239"/>
      <c r="DL4" s="239"/>
      <c r="DM4" s="239"/>
      <c r="DN4" s="239"/>
      <c r="DO4" s="239"/>
      <c r="DP4" s="239"/>
      <c r="DQ4" s="239"/>
      <c r="DR4" s="239"/>
      <c r="DS4" s="239"/>
      <c r="DT4" s="239"/>
      <c r="DU4" s="239"/>
      <c r="DV4" s="239"/>
      <c r="DW4" s="239"/>
      <c r="DX4" s="239"/>
      <c r="DY4" s="239"/>
      <c r="DZ4" s="239"/>
      <c r="EA4" s="239"/>
      <c r="EB4" s="239"/>
      <c r="EC4" s="239"/>
      <c r="ED4" s="239"/>
      <c r="EE4" s="239"/>
      <c r="EF4" s="239"/>
      <c r="EG4" s="239"/>
      <c r="EH4" s="239"/>
      <c r="EI4" s="239"/>
      <c r="EJ4" s="239"/>
      <c r="EK4" s="239"/>
      <c r="EL4" s="239"/>
      <c r="EM4" s="239"/>
      <c r="EN4" s="239"/>
      <c r="EO4" s="239"/>
      <c r="EP4" s="239"/>
      <c r="EQ4" s="239"/>
      <c r="ER4" s="239"/>
      <c r="ES4" s="239"/>
      <c r="ET4" s="239"/>
      <c r="EU4" s="239"/>
      <c r="EV4" s="239"/>
      <c r="EW4" s="239"/>
      <c r="EX4" s="239"/>
      <c r="EY4" s="239"/>
      <c r="EZ4" s="239"/>
      <c r="FA4" s="239"/>
      <c r="FB4" s="239"/>
      <c r="FC4" s="239"/>
      <c r="FD4" s="239"/>
      <c r="FE4" s="239"/>
      <c r="FF4" s="239"/>
      <c r="FG4" s="239"/>
      <c r="FH4" s="239"/>
      <c r="FI4" s="239"/>
      <c r="FJ4" s="239"/>
      <c r="FK4" s="239"/>
      <c r="FL4" s="239"/>
      <c r="FM4" s="239"/>
      <c r="FN4" s="239"/>
      <c r="FO4" s="239"/>
      <c r="FP4" s="239"/>
      <c r="FQ4" s="239"/>
      <c r="FR4" s="239"/>
      <c r="FS4" s="239"/>
      <c r="FT4" s="239"/>
      <c r="FU4" s="239"/>
      <c r="FV4" s="239"/>
      <c r="FW4" s="239"/>
      <c r="FX4" s="239"/>
      <c r="FY4" s="239"/>
      <c r="FZ4" s="239"/>
      <c r="GA4" s="239"/>
      <c r="GB4" s="239"/>
      <c r="GC4" s="239"/>
      <c r="GD4" s="239"/>
      <c r="GE4" s="239"/>
      <c r="GF4" s="239"/>
      <c r="GG4" s="239"/>
      <c r="GH4" s="239"/>
      <c r="GI4" s="239"/>
      <c r="GJ4" s="239"/>
      <c r="GK4" s="239"/>
      <c r="GL4" s="239"/>
      <c r="GM4" s="239"/>
      <c r="GN4" s="239"/>
      <c r="GO4" s="239"/>
      <c r="GP4" s="239"/>
      <c r="GQ4" s="239"/>
      <c r="GR4" s="239"/>
      <c r="GS4" s="239"/>
      <c r="GT4" s="239"/>
      <c r="GU4" s="239"/>
      <c r="GV4" s="239"/>
      <c r="GW4" s="239"/>
      <c r="GX4" s="239"/>
      <c r="GY4" s="239"/>
      <c r="GZ4" s="239"/>
      <c r="HA4" s="239"/>
      <c r="HB4" s="239"/>
      <c r="HC4" s="239"/>
      <c r="HD4" s="239"/>
      <c r="HE4" s="239"/>
      <c r="HF4" s="239"/>
      <c r="HG4" s="239"/>
      <c r="HH4" s="239"/>
      <c r="HI4" s="239"/>
      <c r="HJ4" s="239"/>
      <c r="HK4" s="239"/>
      <c r="HL4" s="239"/>
      <c r="HM4" s="239"/>
      <c r="HN4" s="239"/>
      <c r="HO4" s="239"/>
      <c r="HP4" s="239"/>
      <c r="HQ4" s="239"/>
      <c r="HR4" s="239"/>
      <c r="HS4" s="239"/>
      <c r="HT4" s="239"/>
      <c r="HU4" s="239"/>
      <c r="HV4" s="239"/>
      <c r="HW4" s="239"/>
      <c r="HX4" s="239"/>
      <c r="HY4" s="239"/>
      <c r="HZ4" s="239"/>
      <c r="IA4" s="239"/>
      <c r="IB4" s="239"/>
      <c r="IC4" s="239"/>
      <c r="ID4" s="239"/>
      <c r="IE4" s="239"/>
      <c r="IF4" s="239"/>
      <c r="IG4" s="239"/>
      <c r="IH4" s="239"/>
      <c r="II4" s="239"/>
      <c r="IJ4" s="239"/>
      <c r="IK4" s="239"/>
      <c r="IL4" s="239"/>
      <c r="IM4" s="239"/>
      <c r="IN4" s="239"/>
      <c r="IO4" s="239"/>
      <c r="IP4" s="239"/>
      <c r="IQ4" s="239"/>
      <c r="IR4" s="239"/>
      <c r="IS4" s="239"/>
      <c r="IT4" s="239"/>
      <c r="IU4" s="239"/>
    </row>
    <row r="5" spans="1:255" s="34" customFormat="1" ht="15" customHeight="1">
      <c r="A5" s="377" t="str">
        <f t="shared" ref="A5:A36" si="0">CONCATENATE($B$4,"; ",B5,"; ",C5,"; ",D5)</f>
        <v>BNI - Efficient Product Rebates; Under Counter Commercial Dishwasher (Low Temp); COM-Other; Retail</v>
      </c>
      <c r="B5" s="42" t="s">
        <v>28</v>
      </c>
      <c r="C5" s="15" t="s">
        <v>29</v>
      </c>
      <c r="D5" s="15" t="s">
        <v>30</v>
      </c>
      <c r="E5" s="43">
        <v>20</v>
      </c>
      <c r="F5" s="44">
        <v>12739.152557286432</v>
      </c>
      <c r="G5" s="28">
        <v>1454.242549575903</v>
      </c>
      <c r="H5" s="29">
        <v>400</v>
      </c>
      <c r="I5" s="30">
        <v>0.5</v>
      </c>
      <c r="J5" s="29">
        <v>407.65288183316585</v>
      </c>
      <c r="K5" s="29">
        <v>607.65288183316579</v>
      </c>
      <c r="L5" s="29">
        <v>200</v>
      </c>
      <c r="M5" s="29">
        <v>807.65288183316579</v>
      </c>
      <c r="N5" s="29">
        <v>14595.547787967404</v>
      </c>
      <c r="O5" s="31">
        <v>0.82</v>
      </c>
      <c r="P5" s="31">
        <v>16.269016925903237</v>
      </c>
      <c r="Q5" s="310">
        <f t="shared" ref="Q5:Q36" si="1">N5*O5/(O5*H5+J5)</f>
        <v>16.269016925903237</v>
      </c>
      <c r="R5" s="311">
        <f>AB5</f>
        <v>0</v>
      </c>
      <c r="S5" s="311">
        <f t="shared" ref="S5:S36" si="2">-PV(RDR,E5,AC5)</f>
        <v>1408.1007461051511</v>
      </c>
      <c r="T5" s="310">
        <f t="shared" ref="T5:T36" si="3">(N5+SUM(R5:S5))*O5/(O5*H5+J5)</f>
        <v>17.838565065141111</v>
      </c>
      <c r="U5" s="315">
        <f t="shared" ref="U5:U26" si="4">(T5-Q5)/Q5</f>
        <v>9.6474676151997077E-2</v>
      </c>
      <c r="V5" s="32">
        <v>4.7699631439424572E-2</v>
      </c>
      <c r="W5" s="33">
        <v>0.41784837199982494</v>
      </c>
      <c r="X5" s="48" t="s">
        <v>31</v>
      </c>
      <c r="Y5" s="48" t="s">
        <v>587</v>
      </c>
      <c r="Z5" s="246" t="s">
        <v>31</v>
      </c>
      <c r="AA5" s="257">
        <f>12677/264.172</f>
        <v>47.987674696788453</v>
      </c>
      <c r="AB5" s="386">
        <v>0</v>
      </c>
      <c r="AC5" s="387">
        <f>(AA5*AC3)</f>
        <v>130.95836424753568</v>
      </c>
      <c r="AD5" s="360">
        <f t="shared" ref="AD5:AD17" si="5">AC5*0.01</f>
        <v>1.3095836424753569</v>
      </c>
      <c r="AE5" s="360">
        <f t="shared" ref="AE5:AE17" si="6">AC5*0</f>
        <v>0</v>
      </c>
      <c r="AF5" s="360">
        <f t="shared" ref="AF5:AF17" si="7">AD5*0</f>
        <v>0</v>
      </c>
      <c r="AG5" s="360">
        <f t="shared" ref="AG5:AG17" si="8">AE5*0</f>
        <v>0</v>
      </c>
      <c r="AH5" s="360">
        <f t="shared" ref="AH5:AH17" si="9">AF5*0</f>
        <v>0</v>
      </c>
      <c r="AI5" s="360">
        <f t="shared" ref="AI5:AI17" si="10">AC5*0.99</f>
        <v>129.64878060506032</v>
      </c>
      <c r="AJ5" s="360" t="s">
        <v>40</v>
      </c>
      <c r="AK5" s="360">
        <f t="shared" ref="AK5:AK17" si="11">AH5*0</f>
        <v>0</v>
      </c>
      <c r="AL5" s="360">
        <f t="shared" ref="AL5:AL17" si="12">AI5*0</f>
        <v>0</v>
      </c>
      <c r="AM5" s="360">
        <f t="shared" ref="AM5:AM17" si="13">AK5*0</f>
        <v>0</v>
      </c>
      <c r="AN5" s="360">
        <f t="shared" ref="AN5:AN36" si="14">SUM(AD5:AM5)</f>
        <v>130.95836424753568</v>
      </c>
      <c r="AO5" s="294" t="s">
        <v>598</v>
      </c>
      <c r="AP5" s="282" t="s">
        <v>500</v>
      </c>
      <c r="AQ5" s="136" t="s">
        <v>31</v>
      </c>
      <c r="AR5" s="294" t="s">
        <v>597</v>
      </c>
      <c r="AS5" s="142"/>
      <c r="AT5" s="142"/>
      <c r="AU5" s="32"/>
      <c r="AV5" t="s">
        <v>200</v>
      </c>
      <c r="AW5" s="131" t="s">
        <v>284</v>
      </c>
      <c r="AX5" s="131"/>
      <c r="AY5" s="131"/>
      <c r="AZ5" s="48"/>
      <c r="BA5" s="48"/>
      <c r="BB5" s="240"/>
      <c r="BC5" s="56" t="s">
        <v>28</v>
      </c>
      <c r="BD5" s="90">
        <v>14.696206424989533</v>
      </c>
      <c r="BE5" s="91">
        <v>128.73864522524966</v>
      </c>
      <c r="BF5" s="92">
        <v>14.696206424989533</v>
      </c>
      <c r="BG5" s="91">
        <v>128.73864522524966</v>
      </c>
      <c r="BH5" s="449">
        <v>147498.90466368367</v>
      </c>
      <c r="BI5" s="346">
        <f t="shared" ref="BI5:BI36" si="15">SUM(R5:S5)*O5*BL5</f>
        <v>14229.909060203157</v>
      </c>
      <c r="BJ5" s="347">
        <f>BH5+BI5</f>
        <v>161728.81372388682</v>
      </c>
      <c r="BK5" s="93">
        <v>9066.2456948359631</v>
      </c>
      <c r="BL5" s="94">
        <v>12.324080988093025</v>
      </c>
      <c r="BM5" s="93">
        <v>138432.65896884771</v>
      </c>
      <c r="BN5" s="95">
        <v>16.269016925903241</v>
      </c>
      <c r="BO5" s="94">
        <f>SUM(BH5:BI5)/BK5</f>
        <v>17.838565065141111</v>
      </c>
      <c r="BP5" s="93">
        <v>7488.7633283600553</v>
      </c>
      <c r="BQ5" s="95">
        <v>19.69602966421748</v>
      </c>
      <c r="BR5" s="92">
        <v>11.315623788678918</v>
      </c>
      <c r="BS5" s="91">
        <v>99.124769638241389</v>
      </c>
      <c r="BT5" s="92">
        <v>26.01183021366845</v>
      </c>
      <c r="BU5" s="91">
        <v>227.86341486349104</v>
      </c>
      <c r="BV5" s="449">
        <v>119850.41975627124</v>
      </c>
      <c r="BW5" s="346">
        <f t="shared" ref="BW5:BW36" si="16">SUM(R5:S5)*O5*BZ5</f>
        <v>10956.589259563774</v>
      </c>
      <c r="BX5" s="347">
        <f>BV5+BW5</f>
        <v>130807.00901583501</v>
      </c>
      <c r="BY5" s="93">
        <v>6980.7283928761699</v>
      </c>
      <c r="BZ5" s="94">
        <v>9.4891606697454431</v>
      </c>
      <c r="CA5" s="93">
        <v>112869.69136339506</v>
      </c>
      <c r="CB5" s="95">
        <v>17.168755609884283</v>
      </c>
      <c r="CC5" s="94">
        <f>SUM(BV5:BW5)/BY5</f>
        <v>18.738303749122153</v>
      </c>
      <c r="CD5" s="93">
        <v>5766.1158271487529</v>
      </c>
      <c r="CE5" s="95">
        <v>20.785295222821642</v>
      </c>
      <c r="CF5" s="90">
        <v>11.308915436376983</v>
      </c>
      <c r="CG5" s="91">
        <v>99.066004528248371</v>
      </c>
      <c r="CH5" s="92">
        <v>37.320745650045438</v>
      </c>
      <c r="CI5" s="91">
        <v>326.92941939173943</v>
      </c>
      <c r="CJ5" s="449">
        <v>126797.73178761809</v>
      </c>
      <c r="CK5" s="346">
        <f t="shared" ref="CK5:CK36" si="17">SUM(R5:S5)*O5*CN5</f>
        <v>10950.093757225295</v>
      </c>
      <c r="CL5" s="346">
        <f>CJ5+CK5</f>
        <v>137747.82554484339</v>
      </c>
      <c r="CM5" s="93">
        <v>6976.5899391543007</v>
      </c>
      <c r="CN5" s="94">
        <v>9.4835351174991782</v>
      </c>
      <c r="CO5" s="93">
        <v>119821.14184846378</v>
      </c>
      <c r="CP5" s="95">
        <v>18.174743376559761</v>
      </c>
      <c r="CQ5" s="94">
        <f>SUM(CJ5:CK5)/CM5</f>
        <v>19.744291515797634</v>
      </c>
      <c r="CR5" s="93">
        <v>5762.6974441144066</v>
      </c>
      <c r="CS5" s="95">
        <v>22.003190869775736</v>
      </c>
      <c r="CT5" s="239"/>
      <c r="CU5" s="239"/>
      <c r="CV5" s="239"/>
      <c r="CW5" s="239"/>
      <c r="CX5" s="239"/>
      <c r="CY5" s="239"/>
      <c r="CZ5" s="239"/>
      <c r="DA5" s="239"/>
      <c r="DB5" s="239"/>
      <c r="DC5" s="239"/>
      <c r="DD5" s="239"/>
      <c r="DE5" s="239"/>
      <c r="DF5" s="239"/>
      <c r="DG5" s="239"/>
      <c r="DH5" s="239"/>
      <c r="DI5" s="239"/>
      <c r="DJ5" s="239"/>
      <c r="DK5" s="239"/>
      <c r="DL5" s="239"/>
      <c r="DM5" s="239"/>
      <c r="DN5" s="239"/>
      <c r="DO5" s="239"/>
      <c r="DP5" s="239"/>
      <c r="DQ5" s="239"/>
      <c r="DR5" s="239"/>
      <c r="DS5" s="239"/>
      <c r="DT5" s="239"/>
      <c r="DU5" s="239"/>
      <c r="DV5" s="239"/>
      <c r="DW5" s="239"/>
      <c r="DX5" s="239"/>
      <c r="DY5" s="239"/>
      <c r="DZ5" s="239"/>
      <c r="EA5" s="239"/>
      <c r="EB5" s="239"/>
      <c r="EC5" s="239"/>
      <c r="ED5" s="239"/>
      <c r="EE5" s="239"/>
      <c r="EF5" s="239"/>
      <c r="EG5" s="239"/>
      <c r="EH5" s="239"/>
      <c r="EI5" s="239"/>
      <c r="EJ5" s="239"/>
      <c r="EK5" s="239"/>
      <c r="EL5" s="239"/>
      <c r="EM5" s="239"/>
      <c r="EN5" s="239"/>
      <c r="EO5" s="239"/>
      <c r="EP5" s="239"/>
      <c r="EQ5" s="239"/>
      <c r="ER5" s="239"/>
      <c r="ES5" s="239"/>
      <c r="ET5" s="239"/>
      <c r="EU5" s="239"/>
      <c r="EV5" s="239"/>
      <c r="EW5" s="239"/>
      <c r="EX5" s="239"/>
      <c r="EY5" s="239"/>
      <c r="EZ5" s="239"/>
      <c r="FA5" s="239"/>
      <c r="FB5" s="239"/>
      <c r="FC5" s="239"/>
      <c r="FD5" s="239"/>
      <c r="FE5" s="239"/>
      <c r="FF5" s="239"/>
      <c r="FG5" s="239"/>
      <c r="FH5" s="239"/>
      <c r="FI5" s="239"/>
      <c r="FJ5" s="239"/>
      <c r="FK5" s="239"/>
      <c r="FL5" s="239"/>
      <c r="FM5" s="239"/>
      <c r="FN5" s="239"/>
      <c r="FO5" s="239"/>
      <c r="FP5" s="239"/>
      <c r="FQ5" s="239"/>
      <c r="FR5" s="239"/>
      <c r="FS5" s="239"/>
      <c r="FT5" s="239"/>
      <c r="FU5" s="239"/>
      <c r="FV5" s="239"/>
      <c r="FW5" s="239"/>
      <c r="FX5" s="239"/>
      <c r="FY5" s="239"/>
      <c r="FZ5" s="239"/>
      <c r="GA5" s="239"/>
      <c r="GB5" s="239"/>
      <c r="GC5" s="239"/>
      <c r="GD5" s="239"/>
      <c r="GE5" s="239"/>
      <c r="GF5" s="239"/>
      <c r="GG5" s="239"/>
      <c r="GH5" s="239"/>
      <c r="GI5" s="239"/>
      <c r="GJ5" s="239"/>
      <c r="GK5" s="239"/>
      <c r="GL5" s="239"/>
      <c r="GM5" s="239"/>
      <c r="GN5" s="239"/>
      <c r="GO5" s="239"/>
      <c r="GP5" s="239"/>
      <c r="GQ5" s="239"/>
      <c r="GR5" s="239"/>
      <c r="GS5" s="239"/>
      <c r="GT5" s="239"/>
      <c r="GU5" s="239"/>
      <c r="GV5" s="239"/>
      <c r="GW5" s="239"/>
      <c r="GX5" s="239"/>
      <c r="GY5" s="239"/>
      <c r="GZ5" s="239"/>
      <c r="HA5" s="239"/>
      <c r="HB5" s="239"/>
      <c r="HC5" s="239"/>
      <c r="HD5" s="239"/>
      <c r="HE5" s="239"/>
      <c r="HF5" s="239"/>
      <c r="HG5" s="239"/>
      <c r="HH5" s="239"/>
      <c r="HI5" s="239"/>
      <c r="HJ5" s="239"/>
      <c r="HK5" s="239"/>
      <c r="HL5" s="239"/>
      <c r="HM5" s="239"/>
      <c r="HN5" s="239"/>
      <c r="HO5" s="239"/>
      <c r="HP5" s="239"/>
      <c r="HQ5" s="239"/>
      <c r="HR5" s="239"/>
      <c r="HS5" s="239"/>
      <c r="HT5" s="239"/>
      <c r="HU5" s="239"/>
      <c r="HV5" s="239"/>
      <c r="HW5" s="239"/>
      <c r="HX5" s="239"/>
      <c r="HY5" s="239"/>
      <c r="HZ5" s="239"/>
      <c r="IA5" s="239"/>
      <c r="IB5" s="239"/>
      <c r="IC5" s="239"/>
      <c r="ID5" s="239"/>
      <c r="IE5" s="239"/>
      <c r="IF5" s="239"/>
      <c r="IG5" s="239"/>
      <c r="IH5" s="239"/>
      <c r="II5" s="239"/>
      <c r="IJ5" s="239"/>
      <c r="IK5" s="239"/>
      <c r="IL5" s="239"/>
      <c r="IM5" s="239"/>
      <c r="IN5" s="239"/>
      <c r="IO5" s="239"/>
      <c r="IP5" s="239"/>
      <c r="IQ5" s="239"/>
      <c r="IR5" s="239"/>
      <c r="IS5" s="239"/>
      <c r="IT5" s="239"/>
      <c r="IU5" s="239"/>
    </row>
    <row r="6" spans="1:255" s="34" customFormat="1" ht="15" customHeight="1">
      <c r="A6" s="377" t="str">
        <f t="shared" si="0"/>
        <v>BNI - Efficient Product Rebates; Single-Tank Door Type Dishwasher (Low Temp); COM-Other; Retail</v>
      </c>
      <c r="B6" s="42" t="s">
        <v>32</v>
      </c>
      <c r="C6" s="15" t="s">
        <v>29</v>
      </c>
      <c r="D6" s="15" t="s">
        <v>30</v>
      </c>
      <c r="E6" s="43">
        <v>20</v>
      </c>
      <c r="F6" s="44">
        <v>15826.561362675877</v>
      </c>
      <c r="G6" s="28">
        <v>1806.6868140230367</v>
      </c>
      <c r="H6" s="29">
        <v>1500</v>
      </c>
      <c r="I6" s="30">
        <v>0.66666666666666663</v>
      </c>
      <c r="J6" s="29">
        <v>506.44996360562806</v>
      </c>
      <c r="K6" s="29">
        <v>1506.449963605628</v>
      </c>
      <c r="L6" s="29">
        <v>500</v>
      </c>
      <c r="M6" s="29">
        <v>2006.449963605628</v>
      </c>
      <c r="N6" s="29">
        <v>18132.864933469249</v>
      </c>
      <c r="O6" s="31">
        <v>0.82</v>
      </c>
      <c r="P6" s="31">
        <v>8.5628434778335656</v>
      </c>
      <c r="Q6" s="310">
        <f t="shared" si="1"/>
        <v>8.5628434778335656</v>
      </c>
      <c r="R6" s="311">
        <f t="shared" ref="R6:R69" si="18">AB6</f>
        <v>0</v>
      </c>
      <c r="S6" s="311">
        <f t="shared" si="2"/>
        <v>8955.8850719974926</v>
      </c>
      <c r="T6" s="310">
        <f t="shared" si="3"/>
        <v>12.792061660307972</v>
      </c>
      <c r="U6" s="315">
        <f t="shared" si="4"/>
        <v>0.49390347884116831</v>
      </c>
      <c r="V6" s="32">
        <v>9.5184919142216301E-2</v>
      </c>
      <c r="W6" s="33">
        <v>0.83381909466153858</v>
      </c>
      <c r="X6" s="48" t="s">
        <v>31</v>
      </c>
      <c r="Y6" s="48" t="s">
        <v>587</v>
      </c>
      <c r="Z6" s="246" t="s">
        <v>31</v>
      </c>
      <c r="AA6" s="257">
        <f>80629/264.172</f>
        <v>305.2140272246869</v>
      </c>
      <c r="AB6" s="386">
        <v>0</v>
      </c>
      <c r="AC6" s="387">
        <f>(AA6*AC3)</f>
        <v>832.92908029617058</v>
      </c>
      <c r="AD6" s="360">
        <f t="shared" si="5"/>
        <v>8.3292908029617063</v>
      </c>
      <c r="AE6" s="360">
        <f t="shared" si="6"/>
        <v>0</v>
      </c>
      <c r="AF6" s="360">
        <f t="shared" si="7"/>
        <v>0</v>
      </c>
      <c r="AG6" s="360">
        <f t="shared" si="8"/>
        <v>0</v>
      </c>
      <c r="AH6" s="360">
        <f t="shared" si="9"/>
        <v>0</v>
      </c>
      <c r="AI6" s="360">
        <f t="shared" si="10"/>
        <v>824.59978949320885</v>
      </c>
      <c r="AJ6" s="360" t="s">
        <v>40</v>
      </c>
      <c r="AK6" s="360">
        <f t="shared" si="11"/>
        <v>0</v>
      </c>
      <c r="AL6" s="360">
        <f t="shared" si="12"/>
        <v>0</v>
      </c>
      <c r="AM6" s="360">
        <f t="shared" si="13"/>
        <v>0</v>
      </c>
      <c r="AN6" s="360">
        <f t="shared" si="14"/>
        <v>832.92908029617058</v>
      </c>
      <c r="AO6" s="294" t="s">
        <v>598</v>
      </c>
      <c r="AP6" s="282" t="s">
        <v>500</v>
      </c>
      <c r="AQ6" s="136" t="s">
        <v>31</v>
      </c>
      <c r="AR6" s="294" t="s">
        <v>597</v>
      </c>
      <c r="AS6" s="142"/>
      <c r="AT6" s="142"/>
      <c r="AU6" s="146"/>
      <c r="AV6" s="32"/>
      <c r="AW6" s="131" t="s">
        <v>284</v>
      </c>
      <c r="AX6" s="131"/>
      <c r="AY6" s="131"/>
      <c r="AZ6" s="48"/>
      <c r="BA6" s="48"/>
      <c r="BB6" s="241"/>
      <c r="BC6" s="56" t="s">
        <v>32</v>
      </c>
      <c r="BD6" s="52">
        <v>12.67445493850501</v>
      </c>
      <c r="BE6" s="53">
        <v>111.02811913264017</v>
      </c>
      <c r="BF6" s="54">
        <v>12.67445493850501</v>
      </c>
      <c r="BG6" s="53">
        <v>111.02811913264017</v>
      </c>
      <c r="BH6" s="450">
        <v>127207.536868824</v>
      </c>
      <c r="BI6" s="347">
        <f t="shared" si="15"/>
        <v>62828.244994328357</v>
      </c>
      <c r="BJ6" s="347">
        <f t="shared" ref="BJ6:BJ69" si="19">BH6+BI6</f>
        <v>190035.78186315234</v>
      </c>
      <c r="BK6" s="45">
        <v>14855.758743940984</v>
      </c>
      <c r="BL6" s="47">
        <v>8.5552472315954002</v>
      </c>
      <c r="BM6" s="45">
        <v>112351.77812488301</v>
      </c>
      <c r="BN6" s="55">
        <v>8.5628434778335638</v>
      </c>
      <c r="BO6" s="47">
        <f t="shared" ref="BO6:BO69" si="20">SUM(BH6:BI6)/BK6</f>
        <v>12.79206166030797</v>
      </c>
      <c r="BP6" s="45">
        <v>12888.05188067404</v>
      </c>
      <c r="BQ6" s="55">
        <v>9.870191247412258</v>
      </c>
      <c r="BR6" s="54">
        <v>10.148945922784838</v>
      </c>
      <c r="BS6" s="53">
        <v>88.904681302104919</v>
      </c>
      <c r="BT6" s="54">
        <v>22.823400861289848</v>
      </c>
      <c r="BU6" s="53">
        <v>199.9328004347451</v>
      </c>
      <c r="BV6" s="450">
        <v>107493.44902632789</v>
      </c>
      <c r="BW6" s="347">
        <f t="shared" si="16"/>
        <v>50309.103149971619</v>
      </c>
      <c r="BX6" s="347">
        <f t="shared" ref="BX6:BX69" si="21">BV6+BW6</f>
        <v>157802.5521762995</v>
      </c>
      <c r="BY6" s="45">
        <v>11895.603626800133</v>
      </c>
      <c r="BZ6" s="47">
        <v>6.8505306090707432</v>
      </c>
      <c r="CA6" s="45">
        <v>95597.845399527752</v>
      </c>
      <c r="CB6" s="55">
        <v>9.0364013797627827</v>
      </c>
      <c r="CC6" s="47">
        <f t="shared" ref="CC6:CC69" si="22">SUM(BV6:BW6)/BY6</f>
        <v>13.265619562237189</v>
      </c>
      <c r="CD6" s="45">
        <v>10319.981586713862</v>
      </c>
      <c r="CE6" s="55">
        <v>10.416050467058678</v>
      </c>
      <c r="CF6" s="52">
        <v>10.448812417488776</v>
      </c>
      <c r="CG6" s="53">
        <v>91.531509284800265</v>
      </c>
      <c r="CH6" s="54">
        <v>33.272213278778629</v>
      </c>
      <c r="CI6" s="53">
        <v>291.46430971954538</v>
      </c>
      <c r="CJ6" s="450">
        <v>117154.09155418766</v>
      </c>
      <c r="CK6" s="347">
        <f t="shared" si="17"/>
        <v>51795.564357673211</v>
      </c>
      <c r="CL6" s="347">
        <f t="shared" ref="CL6:CL69" si="23">CJ6+CK6</f>
        <v>168949.65591186087</v>
      </c>
      <c r="CM6" s="45">
        <v>12247.077857631115</v>
      </c>
      <c r="CN6" s="47">
        <v>7.0529402599086906</v>
      </c>
      <c r="CO6" s="45">
        <v>104907.01369655655</v>
      </c>
      <c r="CP6" s="55">
        <v>9.5658811772139849</v>
      </c>
      <c r="CQ6" s="47">
        <f t="shared" ref="CQ6:CQ69" si="24">SUM(CJ6:CK6)/CM6</f>
        <v>13.795099359688392</v>
      </c>
      <c r="CR6" s="45">
        <v>10624.901597852117</v>
      </c>
      <c r="CS6" s="55">
        <v>11.026369559777477</v>
      </c>
      <c r="CT6" s="239"/>
      <c r="CU6" s="239"/>
      <c r="CV6" s="239"/>
      <c r="CW6" s="239"/>
      <c r="CX6" s="239"/>
      <c r="CY6" s="239"/>
      <c r="CZ6" s="239"/>
      <c r="DA6" s="239"/>
      <c r="DB6" s="239"/>
      <c r="DC6" s="239"/>
      <c r="DD6" s="239"/>
      <c r="DE6" s="239"/>
      <c r="DF6" s="239"/>
      <c r="DG6" s="239"/>
      <c r="DH6" s="239"/>
      <c r="DI6" s="239"/>
      <c r="DJ6" s="239"/>
      <c r="DK6" s="239"/>
      <c r="DL6" s="239"/>
      <c r="DM6" s="239"/>
      <c r="DN6" s="239"/>
      <c r="DO6" s="239"/>
      <c r="DP6" s="239"/>
      <c r="DQ6" s="239"/>
      <c r="DR6" s="239"/>
      <c r="DS6" s="239"/>
      <c r="DT6" s="239"/>
      <c r="DU6" s="239"/>
      <c r="DV6" s="239"/>
      <c r="DW6" s="239"/>
      <c r="DX6" s="239"/>
      <c r="DY6" s="239"/>
      <c r="DZ6" s="239"/>
      <c r="EA6" s="239"/>
      <c r="EB6" s="239"/>
      <c r="EC6" s="239"/>
      <c r="ED6" s="239"/>
      <c r="EE6" s="239"/>
      <c r="EF6" s="239"/>
      <c r="EG6" s="239"/>
      <c r="EH6" s="239"/>
      <c r="EI6" s="239"/>
      <c r="EJ6" s="239"/>
      <c r="EK6" s="239"/>
      <c r="EL6" s="239"/>
      <c r="EM6" s="239"/>
      <c r="EN6" s="239"/>
      <c r="EO6" s="239"/>
      <c r="EP6" s="239"/>
      <c r="EQ6" s="239"/>
      <c r="ER6" s="239"/>
      <c r="ES6" s="239"/>
      <c r="ET6" s="239"/>
      <c r="EU6" s="239"/>
      <c r="EV6" s="239"/>
      <c r="EW6" s="239"/>
      <c r="EX6" s="239"/>
      <c r="EY6" s="239"/>
      <c r="EZ6" s="239"/>
      <c r="FA6" s="239"/>
      <c r="FB6" s="239"/>
      <c r="FC6" s="239"/>
      <c r="FD6" s="239"/>
      <c r="FE6" s="239"/>
      <c r="FF6" s="239"/>
      <c r="FG6" s="239"/>
      <c r="FH6" s="239"/>
      <c r="FI6" s="239"/>
      <c r="FJ6" s="239"/>
      <c r="FK6" s="239"/>
      <c r="FL6" s="239"/>
      <c r="FM6" s="239"/>
      <c r="FN6" s="239"/>
      <c r="FO6" s="239"/>
      <c r="FP6" s="239"/>
      <c r="FQ6" s="239"/>
      <c r="FR6" s="239"/>
      <c r="FS6" s="239"/>
      <c r="FT6" s="239"/>
      <c r="FU6" s="239"/>
      <c r="FV6" s="239"/>
      <c r="FW6" s="239"/>
      <c r="FX6" s="239"/>
      <c r="FY6" s="239"/>
      <c r="FZ6" s="239"/>
      <c r="GA6" s="239"/>
      <c r="GB6" s="239"/>
      <c r="GC6" s="239"/>
      <c r="GD6" s="239"/>
      <c r="GE6" s="239"/>
      <c r="GF6" s="239"/>
      <c r="GG6" s="239"/>
      <c r="GH6" s="239"/>
      <c r="GI6" s="239"/>
      <c r="GJ6" s="239"/>
      <c r="GK6" s="239"/>
      <c r="GL6" s="239"/>
      <c r="GM6" s="239"/>
      <c r="GN6" s="239"/>
      <c r="GO6" s="239"/>
      <c r="GP6" s="239"/>
      <c r="GQ6" s="239"/>
      <c r="GR6" s="239"/>
      <c r="GS6" s="239"/>
      <c r="GT6" s="239"/>
      <c r="GU6" s="239"/>
      <c r="GV6" s="239"/>
      <c r="GW6" s="239"/>
      <c r="GX6" s="239"/>
      <c r="GY6" s="239"/>
      <c r="GZ6" s="239"/>
      <c r="HA6" s="239"/>
      <c r="HB6" s="239"/>
      <c r="HC6" s="239"/>
      <c r="HD6" s="239"/>
      <c r="HE6" s="239"/>
      <c r="HF6" s="239"/>
      <c r="HG6" s="239"/>
      <c r="HH6" s="239"/>
      <c r="HI6" s="239"/>
      <c r="HJ6" s="239"/>
      <c r="HK6" s="239"/>
      <c r="HL6" s="239"/>
      <c r="HM6" s="239"/>
      <c r="HN6" s="239"/>
      <c r="HO6" s="239"/>
      <c r="HP6" s="239"/>
      <c r="HQ6" s="239"/>
      <c r="HR6" s="239"/>
      <c r="HS6" s="239"/>
      <c r="HT6" s="239"/>
      <c r="HU6" s="239"/>
      <c r="HV6" s="239"/>
      <c r="HW6" s="239"/>
      <c r="HX6" s="239"/>
      <c r="HY6" s="239"/>
      <c r="HZ6" s="239"/>
      <c r="IA6" s="239"/>
      <c r="IB6" s="239"/>
      <c r="IC6" s="239"/>
      <c r="ID6" s="239"/>
      <c r="IE6" s="239"/>
      <c r="IF6" s="239"/>
      <c r="IG6" s="239"/>
      <c r="IH6" s="239"/>
      <c r="II6" s="239"/>
      <c r="IJ6" s="239"/>
      <c r="IK6" s="239"/>
      <c r="IL6" s="239"/>
      <c r="IM6" s="239"/>
      <c r="IN6" s="239"/>
      <c r="IO6" s="239"/>
      <c r="IP6" s="239"/>
      <c r="IQ6" s="239"/>
      <c r="IR6" s="239"/>
      <c r="IS6" s="239"/>
      <c r="IT6" s="239"/>
      <c r="IU6" s="239"/>
    </row>
    <row r="7" spans="1:255" s="34" customFormat="1" ht="15" customHeight="1">
      <c r="A7" s="377" t="str">
        <f t="shared" si="0"/>
        <v>BNI - Efficient Product Rebates; Single-Tank Conveyor Dishwasher (Low Temp); COM-Other; Retail</v>
      </c>
      <c r="B7" s="42" t="s">
        <v>33</v>
      </c>
      <c r="C7" s="15" t="s">
        <v>29</v>
      </c>
      <c r="D7" s="15" t="s">
        <v>30</v>
      </c>
      <c r="E7" s="43">
        <v>20</v>
      </c>
      <c r="F7" s="44">
        <v>21524.186570118432</v>
      </c>
      <c r="G7" s="28">
        <v>2457.1012722014179</v>
      </c>
      <c r="H7" s="29">
        <v>1500</v>
      </c>
      <c r="I7" s="30">
        <v>0.53333333333333333</v>
      </c>
      <c r="J7" s="29">
        <v>688.7739702437899</v>
      </c>
      <c r="K7" s="29">
        <v>1488.7739702437898</v>
      </c>
      <c r="L7" s="29">
        <v>700</v>
      </c>
      <c r="M7" s="29">
        <v>2188.7739702437898</v>
      </c>
      <c r="N7" s="29">
        <v>24660.768624016579</v>
      </c>
      <c r="O7" s="31">
        <v>0.82</v>
      </c>
      <c r="P7" s="31">
        <v>10.538932977668187</v>
      </c>
      <c r="Q7" s="310">
        <f t="shared" si="1"/>
        <v>10.538932977668187</v>
      </c>
      <c r="R7" s="311">
        <f t="shared" si="18"/>
        <v>0</v>
      </c>
      <c r="S7" s="311">
        <f t="shared" si="2"/>
        <v>7231.4420584073332</v>
      </c>
      <c r="T7" s="310">
        <f t="shared" si="3"/>
        <v>13.629334754976332</v>
      </c>
      <c r="U7" s="315">
        <f t="shared" si="4"/>
        <v>0.29323668571160399</v>
      </c>
      <c r="V7" s="32">
        <v>6.9167490506267165E-2</v>
      </c>
      <c r="W7" s="33">
        <v>0.60590663766574671</v>
      </c>
      <c r="X7" s="48" t="s">
        <v>31</v>
      </c>
      <c r="Y7" s="48" t="s">
        <v>587</v>
      </c>
      <c r="Z7" s="246" t="s">
        <v>31</v>
      </c>
      <c r="AA7" s="257">
        <f>65104/264.172</f>
        <v>246.44549763033174</v>
      </c>
      <c r="AB7" s="386">
        <v>0</v>
      </c>
      <c r="AC7" s="387">
        <f>(AA7*AC3)</f>
        <v>672.5497630331754</v>
      </c>
      <c r="AD7" s="360">
        <f t="shared" si="5"/>
        <v>6.7254976303317537</v>
      </c>
      <c r="AE7" s="360">
        <f t="shared" si="6"/>
        <v>0</v>
      </c>
      <c r="AF7" s="360">
        <f t="shared" si="7"/>
        <v>0</v>
      </c>
      <c r="AG7" s="360">
        <f t="shared" si="8"/>
        <v>0</v>
      </c>
      <c r="AH7" s="360">
        <f t="shared" si="9"/>
        <v>0</v>
      </c>
      <c r="AI7" s="360">
        <f t="shared" si="10"/>
        <v>665.82426540284359</v>
      </c>
      <c r="AJ7" s="360" t="s">
        <v>40</v>
      </c>
      <c r="AK7" s="360">
        <f t="shared" si="11"/>
        <v>0</v>
      </c>
      <c r="AL7" s="360">
        <f t="shared" si="12"/>
        <v>0</v>
      </c>
      <c r="AM7" s="360">
        <f t="shared" si="13"/>
        <v>0</v>
      </c>
      <c r="AN7" s="360">
        <f t="shared" si="14"/>
        <v>672.5497630331754</v>
      </c>
      <c r="AO7" s="294" t="s">
        <v>598</v>
      </c>
      <c r="AP7" s="282" t="s">
        <v>500</v>
      </c>
      <c r="AQ7" s="136" t="s">
        <v>31</v>
      </c>
      <c r="AR7" s="294" t="s">
        <v>597</v>
      </c>
      <c r="AS7" s="142"/>
      <c r="AT7" s="142"/>
      <c r="AU7" s="146"/>
      <c r="AV7" s="32"/>
      <c r="AW7" s="131" t="s">
        <v>284</v>
      </c>
      <c r="AX7" s="131"/>
      <c r="AY7" s="131"/>
      <c r="AZ7" s="48"/>
      <c r="BA7" s="48"/>
      <c r="BB7" s="241"/>
      <c r="BC7" s="56" t="s">
        <v>33</v>
      </c>
      <c r="BD7" s="52">
        <v>12.980191488215187</v>
      </c>
      <c r="BE7" s="53">
        <v>113.70636874803766</v>
      </c>
      <c r="BF7" s="54">
        <v>12.980191488215187</v>
      </c>
      <c r="BG7" s="53">
        <v>113.70636874803766</v>
      </c>
      <c r="BH7" s="450">
        <v>130276.07067229753</v>
      </c>
      <c r="BI7" s="347">
        <f t="shared" si="15"/>
        <v>38201.723191475219</v>
      </c>
      <c r="BJ7" s="347">
        <f t="shared" si="19"/>
        <v>168477.79386377276</v>
      </c>
      <c r="BK7" s="45">
        <v>12361.409921512</v>
      </c>
      <c r="BL7" s="47">
        <v>6.4423481416841515</v>
      </c>
      <c r="BM7" s="45">
        <v>117914.66075078552</v>
      </c>
      <c r="BN7" s="55">
        <v>10.538932977668187</v>
      </c>
      <c r="BO7" s="47">
        <f t="shared" si="20"/>
        <v>13.629334754976332</v>
      </c>
      <c r="BP7" s="45">
        <v>9591.2002205878161</v>
      </c>
      <c r="BQ7" s="55">
        <v>13.582874684719416</v>
      </c>
      <c r="BR7" s="54">
        <v>10.499591834078776</v>
      </c>
      <c r="BS7" s="53">
        <v>91.97633654893076</v>
      </c>
      <c r="BT7" s="54">
        <v>23.479783322293965</v>
      </c>
      <c r="BU7" s="53">
        <v>205.68270529696844</v>
      </c>
      <c r="BV7" s="450">
        <v>111207.34588603476</v>
      </c>
      <c r="BW7" s="347">
        <f t="shared" si="16"/>
        <v>30901.123549149102</v>
      </c>
      <c r="BX7" s="347">
        <f t="shared" si="21"/>
        <v>142108.46943518386</v>
      </c>
      <c r="BY7" s="45">
        <v>9999.0634797217645</v>
      </c>
      <c r="BZ7" s="47">
        <v>5.2111731943347834</v>
      </c>
      <c r="CA7" s="45">
        <v>101208.282406313</v>
      </c>
      <c r="CB7" s="55">
        <v>11.121776165494374</v>
      </c>
      <c r="CC7" s="47">
        <f t="shared" si="22"/>
        <v>14.212177942802517</v>
      </c>
      <c r="CD7" s="45">
        <v>7758.2590061578076</v>
      </c>
      <c r="CE7" s="55">
        <v>14.334059458155288</v>
      </c>
      <c r="CF7" s="52">
        <v>10.84017907787943</v>
      </c>
      <c r="CG7" s="53">
        <v>94.959877952740982</v>
      </c>
      <c r="CH7" s="54">
        <v>34.319962400173395</v>
      </c>
      <c r="CI7" s="53">
        <v>300.64258324970945</v>
      </c>
      <c r="CJ7" s="450">
        <v>121542.16971376121</v>
      </c>
      <c r="CK7" s="347">
        <f t="shared" si="17"/>
        <v>31903.498562031837</v>
      </c>
      <c r="CL7" s="347">
        <f t="shared" si="23"/>
        <v>153445.66827579305</v>
      </c>
      <c r="CM7" s="45">
        <v>10323.414514025091</v>
      </c>
      <c r="CN7" s="47">
        <v>5.3802139668975446</v>
      </c>
      <c r="CO7" s="45">
        <v>111218.75519973612</v>
      </c>
      <c r="CP7" s="55">
        <v>11.773446619685526</v>
      </c>
      <c r="CQ7" s="47">
        <f t="shared" si="24"/>
        <v>14.863848396993671</v>
      </c>
      <c r="CR7" s="45">
        <v>8009.9225082591474</v>
      </c>
      <c r="CS7" s="55">
        <v>15.173950757755435</v>
      </c>
      <c r="CT7" s="239"/>
      <c r="CU7" s="239"/>
      <c r="CV7" s="239"/>
      <c r="CW7" s="239"/>
      <c r="CX7" s="239"/>
      <c r="CY7" s="239"/>
      <c r="CZ7" s="239"/>
      <c r="DA7" s="239"/>
      <c r="DB7" s="239"/>
      <c r="DC7" s="239"/>
      <c r="DD7" s="239"/>
      <c r="DE7" s="239"/>
      <c r="DF7" s="239"/>
      <c r="DG7" s="239"/>
      <c r="DH7" s="239"/>
      <c r="DI7" s="239"/>
      <c r="DJ7" s="239"/>
      <c r="DK7" s="239"/>
      <c r="DL7" s="239"/>
      <c r="DM7" s="239"/>
      <c r="DN7" s="239"/>
      <c r="DO7" s="239"/>
      <c r="DP7" s="239"/>
      <c r="DQ7" s="239"/>
      <c r="DR7" s="239"/>
      <c r="DS7" s="239"/>
      <c r="DT7" s="239"/>
      <c r="DU7" s="239"/>
      <c r="DV7" s="239"/>
      <c r="DW7" s="239"/>
      <c r="DX7" s="239"/>
      <c r="DY7" s="239"/>
      <c r="DZ7" s="239"/>
      <c r="EA7" s="239"/>
      <c r="EB7" s="239"/>
      <c r="EC7" s="239"/>
      <c r="ED7" s="239"/>
      <c r="EE7" s="239"/>
      <c r="EF7" s="239"/>
      <c r="EG7" s="239"/>
      <c r="EH7" s="239"/>
      <c r="EI7" s="239"/>
      <c r="EJ7" s="239"/>
      <c r="EK7" s="239"/>
      <c r="EL7" s="239"/>
      <c r="EM7" s="239"/>
      <c r="EN7" s="239"/>
      <c r="EO7" s="239"/>
      <c r="EP7" s="239"/>
      <c r="EQ7" s="239"/>
      <c r="ER7" s="239"/>
      <c r="ES7" s="239"/>
      <c r="ET7" s="239"/>
      <c r="EU7" s="239"/>
      <c r="EV7" s="239"/>
      <c r="EW7" s="239"/>
      <c r="EX7" s="239"/>
      <c r="EY7" s="239"/>
      <c r="EZ7" s="239"/>
      <c r="FA7" s="239"/>
      <c r="FB7" s="239"/>
      <c r="FC7" s="239"/>
      <c r="FD7" s="239"/>
      <c r="FE7" s="239"/>
      <c r="FF7" s="239"/>
      <c r="FG7" s="239"/>
      <c r="FH7" s="239"/>
      <c r="FI7" s="239"/>
      <c r="FJ7" s="239"/>
      <c r="FK7" s="239"/>
      <c r="FL7" s="239"/>
      <c r="FM7" s="239"/>
      <c r="FN7" s="239"/>
      <c r="FO7" s="239"/>
      <c r="FP7" s="239"/>
      <c r="FQ7" s="239"/>
      <c r="FR7" s="239"/>
      <c r="FS7" s="239"/>
      <c r="FT7" s="239"/>
      <c r="FU7" s="239"/>
      <c r="FV7" s="239"/>
      <c r="FW7" s="239"/>
      <c r="FX7" s="239"/>
      <c r="FY7" s="239"/>
      <c r="FZ7" s="239"/>
      <c r="GA7" s="239"/>
      <c r="GB7" s="239"/>
      <c r="GC7" s="239"/>
      <c r="GD7" s="239"/>
      <c r="GE7" s="239"/>
      <c r="GF7" s="239"/>
      <c r="GG7" s="239"/>
      <c r="GH7" s="239"/>
      <c r="GI7" s="239"/>
      <c r="GJ7" s="239"/>
      <c r="GK7" s="239"/>
      <c r="GL7" s="239"/>
      <c r="GM7" s="239"/>
      <c r="GN7" s="239"/>
      <c r="GO7" s="239"/>
      <c r="GP7" s="239"/>
      <c r="GQ7" s="239"/>
      <c r="GR7" s="239"/>
      <c r="GS7" s="239"/>
      <c r="GT7" s="239"/>
      <c r="GU7" s="239"/>
      <c r="GV7" s="239"/>
      <c r="GW7" s="239"/>
      <c r="GX7" s="239"/>
      <c r="GY7" s="239"/>
      <c r="GZ7" s="239"/>
      <c r="HA7" s="239"/>
      <c r="HB7" s="239"/>
      <c r="HC7" s="239"/>
      <c r="HD7" s="239"/>
      <c r="HE7" s="239"/>
      <c r="HF7" s="239"/>
      <c r="HG7" s="239"/>
      <c r="HH7" s="239"/>
      <c r="HI7" s="239"/>
      <c r="HJ7" s="239"/>
      <c r="HK7" s="239"/>
      <c r="HL7" s="239"/>
      <c r="HM7" s="239"/>
      <c r="HN7" s="239"/>
      <c r="HO7" s="239"/>
      <c r="HP7" s="239"/>
      <c r="HQ7" s="239"/>
      <c r="HR7" s="239"/>
      <c r="HS7" s="239"/>
      <c r="HT7" s="239"/>
      <c r="HU7" s="239"/>
      <c r="HV7" s="239"/>
      <c r="HW7" s="239"/>
      <c r="HX7" s="239"/>
      <c r="HY7" s="239"/>
      <c r="HZ7" s="239"/>
      <c r="IA7" s="239"/>
      <c r="IB7" s="239"/>
      <c r="IC7" s="239"/>
      <c r="ID7" s="239"/>
      <c r="IE7" s="239"/>
      <c r="IF7" s="239"/>
      <c r="IG7" s="239"/>
      <c r="IH7" s="239"/>
      <c r="II7" s="239"/>
      <c r="IJ7" s="239"/>
      <c r="IK7" s="239"/>
      <c r="IL7" s="239"/>
      <c r="IM7" s="239"/>
      <c r="IN7" s="239"/>
      <c r="IO7" s="239"/>
      <c r="IP7" s="239"/>
      <c r="IQ7" s="239"/>
      <c r="IR7" s="239"/>
      <c r="IS7" s="239"/>
      <c r="IT7" s="239"/>
      <c r="IU7" s="239"/>
    </row>
    <row r="8" spans="1:255" s="34" customFormat="1" ht="15" customHeight="1">
      <c r="A8" s="377" t="str">
        <f t="shared" si="0"/>
        <v>BNI - Efficient Product Rebates; Multi-Tank Conveyor Commercial Dish Washer (Low Temp); COM-Other; Retail</v>
      </c>
      <c r="B8" s="42" t="s">
        <v>34</v>
      </c>
      <c r="C8" s="15" t="s">
        <v>29</v>
      </c>
      <c r="D8" s="15" t="s">
        <v>30</v>
      </c>
      <c r="E8" s="43">
        <v>20</v>
      </c>
      <c r="F8" s="44">
        <v>19543.018127655312</v>
      </c>
      <c r="G8" s="28">
        <v>2230.9402749175774</v>
      </c>
      <c r="H8" s="29">
        <v>5000</v>
      </c>
      <c r="I8" s="30">
        <v>0.22</v>
      </c>
      <c r="J8" s="29">
        <v>625.37658008496999</v>
      </c>
      <c r="K8" s="29">
        <v>1725.3765800849701</v>
      </c>
      <c r="L8" s="29">
        <v>3900</v>
      </c>
      <c r="M8" s="29">
        <v>5625.3765800849706</v>
      </c>
      <c r="N8" s="29">
        <v>22390.897174722711</v>
      </c>
      <c r="O8" s="31">
        <v>0.82</v>
      </c>
      <c r="P8" s="31">
        <v>3.885517984038104</v>
      </c>
      <c r="Q8" s="310">
        <f t="shared" si="1"/>
        <v>3.885517984038104</v>
      </c>
      <c r="R8" s="311">
        <f t="shared" si="18"/>
        <v>0</v>
      </c>
      <c r="S8" s="311">
        <f t="shared" si="2"/>
        <v>10429.964507318267</v>
      </c>
      <c r="T8" s="310">
        <f t="shared" si="3"/>
        <v>5.6954416485446879</v>
      </c>
      <c r="U8" s="315">
        <f t="shared" si="4"/>
        <v>0.46581271067122532</v>
      </c>
      <c r="V8" s="32">
        <v>8.8286086049492576E-2</v>
      </c>
      <c r="W8" s="33">
        <v>0.77338537453617606</v>
      </c>
      <c r="X8" s="48" t="s">
        <v>31</v>
      </c>
      <c r="Y8" s="48" t="s">
        <v>510</v>
      </c>
      <c r="Z8" s="246" t="s">
        <v>31</v>
      </c>
      <c r="AA8" s="257">
        <f>93900/264.172</f>
        <v>355.4502369668246</v>
      </c>
      <c r="AB8" s="386">
        <v>0</v>
      </c>
      <c r="AC8" s="387">
        <f>(AA8*AC3)</f>
        <v>970.02369668246433</v>
      </c>
      <c r="AD8" s="360">
        <f t="shared" si="5"/>
        <v>9.7002369668246438</v>
      </c>
      <c r="AE8" s="360">
        <f t="shared" si="6"/>
        <v>0</v>
      </c>
      <c r="AF8" s="360">
        <f t="shared" si="7"/>
        <v>0</v>
      </c>
      <c r="AG8" s="360">
        <f t="shared" si="8"/>
        <v>0</v>
      </c>
      <c r="AH8" s="360">
        <f t="shared" si="9"/>
        <v>0</v>
      </c>
      <c r="AI8" s="360">
        <f t="shared" si="10"/>
        <v>960.32345971563973</v>
      </c>
      <c r="AJ8" s="360" t="s">
        <v>40</v>
      </c>
      <c r="AK8" s="360">
        <f t="shared" si="11"/>
        <v>0</v>
      </c>
      <c r="AL8" s="360">
        <f t="shared" si="12"/>
        <v>0</v>
      </c>
      <c r="AM8" s="360">
        <f t="shared" si="13"/>
        <v>0</v>
      </c>
      <c r="AN8" s="360">
        <f t="shared" si="14"/>
        <v>970.02369668246433</v>
      </c>
      <c r="AO8" s="294" t="s">
        <v>598</v>
      </c>
      <c r="AP8" s="282" t="s">
        <v>500</v>
      </c>
      <c r="AQ8" s="136" t="s">
        <v>31</v>
      </c>
      <c r="AR8" s="294" t="s">
        <v>597</v>
      </c>
      <c r="AS8" s="142"/>
      <c r="AT8" s="142"/>
      <c r="AU8" s="146"/>
      <c r="AV8" s="32"/>
      <c r="AW8" s="131" t="s">
        <v>284</v>
      </c>
      <c r="AX8" s="131"/>
      <c r="AY8" s="131"/>
      <c r="AZ8" s="48"/>
      <c r="BA8" s="48"/>
      <c r="BB8" s="241"/>
      <c r="BC8" s="56" t="s">
        <v>34</v>
      </c>
      <c r="BD8" s="52">
        <v>12.810059841136082</v>
      </c>
      <c r="BE8" s="53">
        <v>112.21601694421018</v>
      </c>
      <c r="BF8" s="54">
        <v>12.810059841136082</v>
      </c>
      <c r="BG8" s="53">
        <v>112.21601694421018</v>
      </c>
      <c r="BH8" s="450">
        <v>128568.53943143759</v>
      </c>
      <c r="BI8" s="347">
        <f t="shared" si="15"/>
        <v>59888.859859598262</v>
      </c>
      <c r="BJ8" s="347">
        <f t="shared" si="19"/>
        <v>188457.39929103584</v>
      </c>
      <c r="BK8" s="45">
        <v>33089.163390725094</v>
      </c>
      <c r="BL8" s="47">
        <v>7.0024394521653335</v>
      </c>
      <c r="BM8" s="45">
        <v>95479.376040712494</v>
      </c>
      <c r="BN8" s="55">
        <v>3.8855179840381036</v>
      </c>
      <c r="BO8" s="47">
        <f t="shared" si="20"/>
        <v>5.695441648544687</v>
      </c>
      <c r="BP8" s="45">
        <v>12081.845034229093</v>
      </c>
      <c r="BQ8" s="55">
        <v>10.641465692300295</v>
      </c>
      <c r="BR8" s="54">
        <v>10.838435159411414</v>
      </c>
      <c r="BS8" s="53">
        <v>94.944601241563731</v>
      </c>
      <c r="BT8" s="54">
        <v>23.648495000547495</v>
      </c>
      <c r="BU8" s="53">
        <v>207.1606181857739</v>
      </c>
      <c r="BV8" s="450">
        <v>114796.23462351269</v>
      </c>
      <c r="BW8" s="347">
        <f t="shared" si="16"/>
        <v>50671.232797439137</v>
      </c>
      <c r="BX8" s="347">
        <f t="shared" si="21"/>
        <v>165467.46742095181</v>
      </c>
      <c r="BY8" s="45">
        <v>27996.336967754374</v>
      </c>
      <c r="BZ8" s="47">
        <v>5.9246784871589968</v>
      </c>
      <c r="CA8" s="45">
        <v>86799.897655758308</v>
      </c>
      <c r="CB8" s="55">
        <v>4.1004019474309343</v>
      </c>
      <c r="CC8" s="47">
        <f t="shared" si="22"/>
        <v>5.9103256119375178</v>
      </c>
      <c r="CD8" s="45">
        <v>10222.301506277383</v>
      </c>
      <c r="CE8" s="55">
        <v>11.22997933029248</v>
      </c>
      <c r="CF8" s="52">
        <v>11.860831463054724</v>
      </c>
      <c r="CG8" s="53">
        <v>103.90078430051506</v>
      </c>
      <c r="CH8" s="54">
        <v>35.509326463602221</v>
      </c>
      <c r="CI8" s="53">
        <v>311.06140248628896</v>
      </c>
      <c r="CJ8" s="450">
        <v>132985.92027604414</v>
      </c>
      <c r="CK8" s="347">
        <f t="shared" si="17"/>
        <v>55451.081581067869</v>
      </c>
      <c r="CL8" s="347">
        <f t="shared" si="23"/>
        <v>188437.00185711202</v>
      </c>
      <c r="CM8" s="45">
        <v>30637.248779320635</v>
      </c>
      <c r="CN8" s="47">
        <v>6.4835570795438544</v>
      </c>
      <c r="CO8" s="45">
        <v>102348.6714967235</v>
      </c>
      <c r="CP8" s="55">
        <v>4.3406613052607472</v>
      </c>
      <c r="CQ8" s="47">
        <f t="shared" si="24"/>
        <v>6.1505849697673316</v>
      </c>
      <c r="CR8" s="45">
        <v>11186.577540689072</v>
      </c>
      <c r="CS8" s="55">
        <v>11.887989851438732</v>
      </c>
      <c r="CT8" s="239"/>
      <c r="CU8" s="239"/>
      <c r="CV8" s="239"/>
      <c r="CW8" s="239"/>
      <c r="CX8" s="239"/>
      <c r="CY8" s="239"/>
      <c r="CZ8" s="239"/>
      <c r="DA8" s="239"/>
      <c r="DB8" s="239"/>
      <c r="DC8" s="239"/>
      <c r="DD8" s="239"/>
      <c r="DE8" s="239"/>
      <c r="DF8" s="239"/>
      <c r="DG8" s="239"/>
      <c r="DH8" s="239"/>
      <c r="DI8" s="239"/>
      <c r="DJ8" s="239"/>
      <c r="DK8" s="239"/>
      <c r="DL8" s="239"/>
      <c r="DM8" s="239"/>
      <c r="DN8" s="239"/>
      <c r="DO8" s="239"/>
      <c r="DP8" s="239"/>
      <c r="DQ8" s="239"/>
      <c r="DR8" s="239"/>
      <c r="DS8" s="239"/>
      <c r="DT8" s="239"/>
      <c r="DU8" s="239"/>
      <c r="DV8" s="239"/>
      <c r="DW8" s="239"/>
      <c r="DX8" s="239"/>
      <c r="DY8" s="239"/>
      <c r="DZ8" s="239"/>
      <c r="EA8" s="239"/>
      <c r="EB8" s="239"/>
      <c r="EC8" s="239"/>
      <c r="ED8" s="239"/>
      <c r="EE8" s="239"/>
      <c r="EF8" s="239"/>
      <c r="EG8" s="239"/>
      <c r="EH8" s="239"/>
      <c r="EI8" s="239"/>
      <c r="EJ8" s="239"/>
      <c r="EK8" s="239"/>
      <c r="EL8" s="239"/>
      <c r="EM8" s="239"/>
      <c r="EN8" s="239"/>
      <c r="EO8" s="239"/>
      <c r="EP8" s="239"/>
      <c r="EQ8" s="239"/>
      <c r="ER8" s="239"/>
      <c r="ES8" s="239"/>
      <c r="ET8" s="239"/>
      <c r="EU8" s="239"/>
      <c r="EV8" s="239"/>
      <c r="EW8" s="239"/>
      <c r="EX8" s="239"/>
      <c r="EY8" s="239"/>
      <c r="EZ8" s="239"/>
      <c r="FA8" s="239"/>
      <c r="FB8" s="239"/>
      <c r="FC8" s="239"/>
      <c r="FD8" s="239"/>
      <c r="FE8" s="239"/>
      <c r="FF8" s="239"/>
      <c r="FG8" s="239"/>
      <c r="FH8" s="239"/>
      <c r="FI8" s="239"/>
      <c r="FJ8" s="239"/>
      <c r="FK8" s="239"/>
      <c r="FL8" s="239"/>
      <c r="FM8" s="239"/>
      <c r="FN8" s="239"/>
      <c r="FO8" s="239"/>
      <c r="FP8" s="239"/>
      <c r="FQ8" s="239"/>
      <c r="FR8" s="239"/>
      <c r="FS8" s="239"/>
      <c r="FT8" s="239"/>
      <c r="FU8" s="239"/>
      <c r="FV8" s="239"/>
      <c r="FW8" s="239"/>
      <c r="FX8" s="239"/>
      <c r="FY8" s="239"/>
      <c r="FZ8" s="239"/>
      <c r="GA8" s="239"/>
      <c r="GB8" s="239"/>
      <c r="GC8" s="239"/>
      <c r="GD8" s="239"/>
      <c r="GE8" s="239"/>
      <c r="GF8" s="239"/>
      <c r="GG8" s="239"/>
      <c r="GH8" s="239"/>
      <c r="GI8" s="239"/>
      <c r="GJ8" s="239"/>
      <c r="GK8" s="239"/>
      <c r="GL8" s="239"/>
      <c r="GM8" s="239"/>
      <c r="GN8" s="239"/>
      <c r="GO8" s="239"/>
      <c r="GP8" s="239"/>
      <c r="GQ8" s="239"/>
      <c r="GR8" s="239"/>
      <c r="GS8" s="239"/>
      <c r="GT8" s="239"/>
      <c r="GU8" s="239"/>
      <c r="GV8" s="239"/>
      <c r="GW8" s="239"/>
      <c r="GX8" s="239"/>
      <c r="GY8" s="239"/>
      <c r="GZ8" s="239"/>
      <c r="HA8" s="239"/>
      <c r="HB8" s="239"/>
      <c r="HC8" s="239"/>
      <c r="HD8" s="239"/>
      <c r="HE8" s="239"/>
      <c r="HF8" s="239"/>
      <c r="HG8" s="239"/>
      <c r="HH8" s="239"/>
      <c r="HI8" s="239"/>
      <c r="HJ8" s="239"/>
      <c r="HK8" s="239"/>
      <c r="HL8" s="239"/>
      <c r="HM8" s="239"/>
      <c r="HN8" s="239"/>
      <c r="HO8" s="239"/>
      <c r="HP8" s="239"/>
      <c r="HQ8" s="239"/>
      <c r="HR8" s="239"/>
      <c r="HS8" s="239"/>
      <c r="HT8" s="239"/>
      <c r="HU8" s="239"/>
      <c r="HV8" s="239"/>
      <c r="HW8" s="239"/>
      <c r="HX8" s="239"/>
      <c r="HY8" s="239"/>
      <c r="HZ8" s="239"/>
      <c r="IA8" s="239"/>
      <c r="IB8" s="239"/>
      <c r="IC8" s="239"/>
      <c r="ID8" s="239"/>
      <c r="IE8" s="239"/>
      <c r="IF8" s="239"/>
      <c r="IG8" s="239"/>
      <c r="IH8" s="239"/>
      <c r="II8" s="239"/>
      <c r="IJ8" s="239"/>
      <c r="IK8" s="239"/>
      <c r="IL8" s="239"/>
      <c r="IM8" s="239"/>
      <c r="IN8" s="239"/>
      <c r="IO8" s="239"/>
      <c r="IP8" s="239"/>
      <c r="IQ8" s="239"/>
      <c r="IR8" s="239"/>
      <c r="IS8" s="239"/>
      <c r="IT8" s="239"/>
      <c r="IU8" s="239"/>
    </row>
    <row r="9" spans="1:255" s="41" customFormat="1" ht="15" customHeight="1">
      <c r="A9" s="377" t="str">
        <f t="shared" si="0"/>
        <v>BNI - Efficient Product Rebates; Under Counter Dishwasher with Booster (High Temp); COM-Other; Retail</v>
      </c>
      <c r="B9" s="42" t="s">
        <v>35</v>
      </c>
      <c r="C9" s="15" t="s">
        <v>29</v>
      </c>
      <c r="D9" s="15" t="s">
        <v>30</v>
      </c>
      <c r="E9" s="43">
        <v>10</v>
      </c>
      <c r="F9" s="44">
        <v>8360.0688657192168</v>
      </c>
      <c r="G9" s="35">
        <v>954.34667315918591</v>
      </c>
      <c r="H9" s="36">
        <v>400</v>
      </c>
      <c r="I9" s="37">
        <v>0.625</v>
      </c>
      <c r="J9" s="36">
        <v>267.52220370301495</v>
      </c>
      <c r="K9" s="36">
        <v>517.52220370301495</v>
      </c>
      <c r="L9" s="36">
        <v>150</v>
      </c>
      <c r="M9" s="36">
        <v>667.52220370301495</v>
      </c>
      <c r="N9" s="36">
        <v>5314.777860340364</v>
      </c>
      <c r="O9" s="38">
        <v>0.82</v>
      </c>
      <c r="P9" s="38">
        <v>7.3181450135358475</v>
      </c>
      <c r="Q9" s="310">
        <f t="shared" si="1"/>
        <v>7.3181450135358475</v>
      </c>
      <c r="R9" s="311">
        <f t="shared" si="18"/>
        <v>0</v>
      </c>
      <c r="S9" s="311">
        <f t="shared" si="2"/>
        <v>395.19544249972995</v>
      </c>
      <c r="T9" s="310">
        <f t="shared" si="3"/>
        <v>7.8623065256251374</v>
      </c>
      <c r="U9" s="315">
        <f t="shared" si="4"/>
        <v>7.4357847662596663E-2</v>
      </c>
      <c r="V9" s="39">
        <v>6.1904059884618251E-2</v>
      </c>
      <c r="W9" s="40">
        <v>0.54227904623993151</v>
      </c>
      <c r="X9" s="48" t="s">
        <v>31</v>
      </c>
      <c r="Y9" s="48" t="s">
        <v>556</v>
      </c>
      <c r="Z9" s="246" t="s">
        <v>31</v>
      </c>
      <c r="AA9" s="257">
        <f>5399/264.172</f>
        <v>20.437442272458849</v>
      </c>
      <c r="AB9" s="386">
        <v>0</v>
      </c>
      <c r="AC9" s="387">
        <f>(AA9*AC3)</f>
        <v>55.7737799615402</v>
      </c>
      <c r="AD9" s="360">
        <f t="shared" si="5"/>
        <v>0.55773779961540204</v>
      </c>
      <c r="AE9" s="360">
        <f t="shared" si="6"/>
        <v>0</v>
      </c>
      <c r="AF9" s="360">
        <f t="shared" si="7"/>
        <v>0</v>
      </c>
      <c r="AG9" s="360">
        <f t="shared" si="8"/>
        <v>0</v>
      </c>
      <c r="AH9" s="360">
        <f t="shared" si="9"/>
        <v>0</v>
      </c>
      <c r="AI9" s="360">
        <f t="shared" si="10"/>
        <v>55.216042161924797</v>
      </c>
      <c r="AJ9" s="360" t="s">
        <v>40</v>
      </c>
      <c r="AK9" s="360">
        <f t="shared" si="11"/>
        <v>0</v>
      </c>
      <c r="AL9" s="360">
        <f t="shared" si="12"/>
        <v>0</v>
      </c>
      <c r="AM9" s="360">
        <f t="shared" si="13"/>
        <v>0</v>
      </c>
      <c r="AN9" s="360">
        <f t="shared" si="14"/>
        <v>55.7737799615402</v>
      </c>
      <c r="AO9" s="294" t="s">
        <v>598</v>
      </c>
      <c r="AP9" s="282" t="s">
        <v>500</v>
      </c>
      <c r="AQ9" s="136" t="s">
        <v>31</v>
      </c>
      <c r="AR9" s="294" t="s">
        <v>597</v>
      </c>
      <c r="AS9" s="142"/>
      <c r="AT9" s="142"/>
      <c r="AU9" s="146"/>
      <c r="AV9" s="39"/>
      <c r="AW9" s="131" t="s">
        <v>284</v>
      </c>
      <c r="AX9" s="131"/>
      <c r="AY9" s="131"/>
      <c r="AZ9" s="48"/>
      <c r="BA9" s="48"/>
      <c r="BB9" s="241"/>
      <c r="BC9" s="56" t="s">
        <v>35</v>
      </c>
      <c r="BD9" s="52">
        <v>9.763636959893347</v>
      </c>
      <c r="BE9" s="53">
        <v>85.529378013533162</v>
      </c>
      <c r="BF9" s="54">
        <v>9.763636959893347</v>
      </c>
      <c r="BG9" s="53">
        <v>85.529378013533162</v>
      </c>
      <c r="BH9" s="450">
        <v>54373.911504364303</v>
      </c>
      <c r="BI9" s="347">
        <f t="shared" si="15"/>
        <v>4043.12702846103</v>
      </c>
      <c r="BJ9" s="347">
        <f t="shared" si="19"/>
        <v>58417.038532825332</v>
      </c>
      <c r="BK9" s="45">
        <v>7430.0128521357228</v>
      </c>
      <c r="BL9" s="47">
        <v>12.476466546394375</v>
      </c>
      <c r="BM9" s="45">
        <v>46943.898652228578</v>
      </c>
      <c r="BN9" s="55">
        <v>7.3181450135358483</v>
      </c>
      <c r="BO9" s="47">
        <f t="shared" si="20"/>
        <v>7.8623065256251374</v>
      </c>
      <c r="BP9" s="45">
        <v>6456.8484615169618</v>
      </c>
      <c r="BQ9" s="55">
        <v>8.4211224451734736</v>
      </c>
      <c r="BR9" s="54">
        <v>7.5659221294417494</v>
      </c>
      <c r="BS9" s="53">
        <v>66.2774145011889</v>
      </c>
      <c r="BT9" s="54">
        <v>17.329559089335099</v>
      </c>
      <c r="BU9" s="53">
        <v>151.80679251472208</v>
      </c>
      <c r="BV9" s="450">
        <v>44877.079926293489</v>
      </c>
      <c r="BW9" s="347">
        <f t="shared" si="16"/>
        <v>3133.0521999572097</v>
      </c>
      <c r="BX9" s="347">
        <f t="shared" si="21"/>
        <v>48010.132126250697</v>
      </c>
      <c r="BY9" s="45">
        <v>5757.5777234372244</v>
      </c>
      <c r="BZ9" s="47">
        <v>9.668115962152287</v>
      </c>
      <c r="CA9" s="45">
        <v>39119.502202856267</v>
      </c>
      <c r="CB9" s="55">
        <v>7.7944375363989451</v>
      </c>
      <c r="CC9" s="47">
        <f t="shared" si="22"/>
        <v>8.3385990484882342</v>
      </c>
      <c r="CD9" s="45">
        <v>5003.4646783893459</v>
      </c>
      <c r="CE9" s="55">
        <v>8.9692009059489894</v>
      </c>
      <c r="CF9" s="52">
        <v>7.6306859813358114</v>
      </c>
      <c r="CG9" s="53">
        <v>66.84474530148529</v>
      </c>
      <c r="CH9" s="54">
        <v>24.960245070670908</v>
      </c>
      <c r="CI9" s="53">
        <v>218.65153781620737</v>
      </c>
      <c r="CJ9" s="450">
        <v>48435.744013445532</v>
      </c>
      <c r="CK9" s="347">
        <f t="shared" si="17"/>
        <v>3159.8709439494064</v>
      </c>
      <c r="CL9" s="347">
        <f t="shared" si="23"/>
        <v>51595.614957394937</v>
      </c>
      <c r="CM9" s="45">
        <v>5806.8622527476982</v>
      </c>
      <c r="CN9" s="47">
        <v>9.7508744705740025</v>
      </c>
      <c r="CO9" s="45">
        <v>42628.881760697834</v>
      </c>
      <c r="CP9" s="55">
        <v>8.3411215739664986</v>
      </c>
      <c r="CQ9" s="47">
        <f t="shared" si="24"/>
        <v>8.8852830860557894</v>
      </c>
      <c r="CR9" s="45">
        <v>5046.2940440429265</v>
      </c>
      <c r="CS9" s="55">
        <v>9.5982801617799485</v>
      </c>
      <c r="CT9" s="239"/>
      <c r="CU9" s="239"/>
      <c r="CV9" s="239"/>
      <c r="CW9" s="239"/>
      <c r="CX9" s="239"/>
      <c r="CY9" s="239"/>
      <c r="CZ9" s="239"/>
      <c r="DA9" s="239"/>
      <c r="DB9" s="239"/>
      <c r="DC9" s="239"/>
      <c r="DD9" s="239"/>
      <c r="DE9" s="239"/>
      <c r="DF9" s="239"/>
      <c r="DG9" s="239"/>
      <c r="DH9" s="239"/>
      <c r="DI9" s="239"/>
      <c r="DJ9" s="239"/>
      <c r="DK9" s="239"/>
      <c r="DL9" s="239"/>
      <c r="DM9" s="239"/>
      <c r="DN9" s="239"/>
      <c r="DO9" s="239"/>
      <c r="DP9" s="239"/>
      <c r="DQ9" s="239"/>
      <c r="DR9" s="239"/>
      <c r="DS9" s="239"/>
      <c r="DT9" s="239"/>
      <c r="DU9" s="239"/>
      <c r="DV9" s="239"/>
      <c r="DW9" s="239"/>
      <c r="DX9" s="239"/>
      <c r="DY9" s="239"/>
      <c r="DZ9" s="239"/>
      <c r="EA9" s="239"/>
      <c r="EB9" s="239"/>
      <c r="EC9" s="239"/>
      <c r="ED9" s="239"/>
      <c r="EE9" s="239"/>
      <c r="EF9" s="239"/>
      <c r="EG9" s="239"/>
      <c r="EH9" s="239"/>
      <c r="EI9" s="239"/>
      <c r="EJ9" s="239"/>
      <c r="EK9" s="239"/>
      <c r="EL9" s="239"/>
      <c r="EM9" s="239"/>
      <c r="EN9" s="239"/>
      <c r="EO9" s="239"/>
      <c r="EP9" s="239"/>
      <c r="EQ9" s="239"/>
      <c r="ER9" s="239"/>
      <c r="ES9" s="239"/>
      <c r="ET9" s="239"/>
      <c r="EU9" s="239"/>
      <c r="EV9" s="239"/>
      <c r="EW9" s="239"/>
      <c r="EX9" s="239"/>
      <c r="EY9" s="239"/>
      <c r="EZ9" s="239"/>
      <c r="FA9" s="239"/>
      <c r="FB9" s="239"/>
      <c r="FC9" s="239"/>
      <c r="FD9" s="239"/>
      <c r="FE9" s="239"/>
      <c r="FF9" s="239"/>
      <c r="FG9" s="239"/>
      <c r="FH9" s="239"/>
      <c r="FI9" s="239"/>
      <c r="FJ9" s="239"/>
      <c r="FK9" s="239"/>
      <c r="FL9" s="239"/>
      <c r="FM9" s="239"/>
      <c r="FN9" s="239"/>
      <c r="FO9" s="239"/>
      <c r="FP9" s="239"/>
      <c r="FQ9" s="239"/>
      <c r="FR9" s="239"/>
      <c r="FS9" s="239"/>
      <c r="FT9" s="239"/>
      <c r="FU9" s="239"/>
      <c r="FV9" s="239"/>
      <c r="FW9" s="239"/>
      <c r="FX9" s="239"/>
      <c r="FY9" s="239"/>
      <c r="FZ9" s="239"/>
      <c r="GA9" s="239"/>
      <c r="GB9" s="239"/>
      <c r="GC9" s="239"/>
      <c r="GD9" s="239"/>
      <c r="GE9" s="239"/>
      <c r="GF9" s="239"/>
      <c r="GG9" s="239"/>
      <c r="GH9" s="239"/>
      <c r="GI9" s="239"/>
      <c r="GJ9" s="239"/>
      <c r="GK9" s="239"/>
      <c r="GL9" s="239"/>
      <c r="GM9" s="239"/>
      <c r="GN9" s="239"/>
      <c r="GO9" s="239"/>
      <c r="GP9" s="239"/>
      <c r="GQ9" s="239"/>
      <c r="GR9" s="239"/>
      <c r="GS9" s="239"/>
      <c r="GT9" s="239"/>
      <c r="GU9" s="239"/>
      <c r="GV9" s="239"/>
      <c r="GW9" s="239"/>
      <c r="GX9" s="239"/>
      <c r="GY9" s="239"/>
      <c r="GZ9" s="239"/>
      <c r="HA9" s="239"/>
      <c r="HB9" s="239"/>
      <c r="HC9" s="239"/>
      <c r="HD9" s="239"/>
      <c r="HE9" s="239"/>
      <c r="HF9" s="239"/>
      <c r="HG9" s="239"/>
      <c r="HH9" s="239"/>
      <c r="HI9" s="239"/>
      <c r="HJ9" s="239"/>
      <c r="HK9" s="239"/>
      <c r="HL9" s="239"/>
      <c r="HM9" s="239"/>
      <c r="HN9" s="239"/>
      <c r="HO9" s="239"/>
      <c r="HP9" s="239"/>
      <c r="HQ9" s="239"/>
      <c r="HR9" s="239"/>
      <c r="HS9" s="239"/>
      <c r="HT9" s="239"/>
      <c r="HU9" s="239"/>
      <c r="HV9" s="239"/>
      <c r="HW9" s="239"/>
      <c r="HX9" s="239"/>
      <c r="HY9" s="239"/>
      <c r="HZ9" s="239"/>
      <c r="IA9" s="239"/>
      <c r="IB9" s="239"/>
      <c r="IC9" s="239"/>
      <c r="ID9" s="239"/>
      <c r="IE9" s="239"/>
      <c r="IF9" s="239"/>
      <c r="IG9" s="239"/>
      <c r="IH9" s="239"/>
      <c r="II9" s="239"/>
      <c r="IJ9" s="239"/>
      <c r="IK9" s="239"/>
      <c r="IL9" s="239"/>
      <c r="IM9" s="239"/>
      <c r="IN9" s="239"/>
      <c r="IO9" s="239"/>
      <c r="IP9" s="239"/>
      <c r="IQ9" s="239"/>
      <c r="IR9" s="239"/>
      <c r="IS9" s="239"/>
      <c r="IT9" s="239"/>
      <c r="IU9" s="239"/>
    </row>
    <row r="10" spans="1:255" s="41" customFormat="1" ht="15" customHeight="1">
      <c r="A10" s="377" t="str">
        <f t="shared" si="0"/>
        <v>BNI - Efficient Product Rebates; Single Tank Door Dishwasher with Booster (High Temp); COM-Other; Retail</v>
      </c>
      <c r="B10" s="42" t="s">
        <v>36</v>
      </c>
      <c r="C10" s="15" t="s">
        <v>29</v>
      </c>
      <c r="D10" s="15" t="s">
        <v>30</v>
      </c>
      <c r="E10" s="43">
        <v>15</v>
      </c>
      <c r="F10" s="44">
        <v>15826.561362675877</v>
      </c>
      <c r="G10" s="35">
        <v>1806.6868140230367</v>
      </c>
      <c r="H10" s="36">
        <v>1500</v>
      </c>
      <c r="I10" s="37">
        <v>0.53333333333333333</v>
      </c>
      <c r="J10" s="36">
        <v>506.44996360562806</v>
      </c>
      <c r="K10" s="36">
        <v>1306.449963605628</v>
      </c>
      <c r="L10" s="36">
        <v>700</v>
      </c>
      <c r="M10" s="36">
        <v>2006.449963605628</v>
      </c>
      <c r="N10" s="36">
        <v>14383.844368630178</v>
      </c>
      <c r="O10" s="38">
        <v>0.82</v>
      </c>
      <c r="P10" s="38">
        <v>6.7924516280248532</v>
      </c>
      <c r="Q10" s="310">
        <f t="shared" si="1"/>
        <v>6.7924516280248532</v>
      </c>
      <c r="R10" s="311">
        <f t="shared" si="18"/>
        <v>0</v>
      </c>
      <c r="S10" s="311">
        <f t="shared" si="2"/>
        <v>3338.3101760248874</v>
      </c>
      <c r="T10" s="310">
        <f t="shared" si="3"/>
        <v>8.3688946017436816</v>
      </c>
      <c r="U10" s="315">
        <f t="shared" si="4"/>
        <v>0.23208747887355</v>
      </c>
      <c r="V10" s="39">
        <v>8.2547935313773038E-2</v>
      </c>
      <c r="W10" s="40">
        <v>0.7231192221392776</v>
      </c>
      <c r="X10" s="48" t="s">
        <v>31</v>
      </c>
      <c r="Y10" s="48" t="s">
        <v>556</v>
      </c>
      <c r="Z10" s="246" t="s">
        <v>31</v>
      </c>
      <c r="AA10" s="257">
        <f>35056/264.172</f>
        <v>132.70142180094786</v>
      </c>
      <c r="AB10" s="386">
        <v>0</v>
      </c>
      <c r="AC10" s="387">
        <f>(AA10*AC3)</f>
        <v>362.14218009478668</v>
      </c>
      <c r="AD10" s="360">
        <f t="shared" si="5"/>
        <v>3.6214218009478669</v>
      </c>
      <c r="AE10" s="360">
        <f t="shared" si="6"/>
        <v>0</v>
      </c>
      <c r="AF10" s="360">
        <f t="shared" si="7"/>
        <v>0</v>
      </c>
      <c r="AG10" s="360">
        <f t="shared" si="8"/>
        <v>0</v>
      </c>
      <c r="AH10" s="360">
        <f t="shared" si="9"/>
        <v>0</v>
      </c>
      <c r="AI10" s="360">
        <f t="shared" si="10"/>
        <v>358.52075829383881</v>
      </c>
      <c r="AJ10" s="360" t="s">
        <v>40</v>
      </c>
      <c r="AK10" s="360">
        <f t="shared" si="11"/>
        <v>0</v>
      </c>
      <c r="AL10" s="360">
        <f t="shared" si="12"/>
        <v>0</v>
      </c>
      <c r="AM10" s="360">
        <f t="shared" si="13"/>
        <v>0</v>
      </c>
      <c r="AN10" s="360">
        <f t="shared" si="14"/>
        <v>362.14218009478668</v>
      </c>
      <c r="AO10" s="294" t="s">
        <v>600</v>
      </c>
      <c r="AP10" s="282" t="s">
        <v>500</v>
      </c>
      <c r="AQ10" s="136" t="s">
        <v>31</v>
      </c>
      <c r="AR10" s="294" t="s">
        <v>597</v>
      </c>
      <c r="AS10" s="142"/>
      <c r="AT10" s="142"/>
      <c r="AU10" s="146"/>
      <c r="AV10" s="39"/>
      <c r="AW10" s="131" t="s">
        <v>284</v>
      </c>
      <c r="AX10" s="131"/>
      <c r="AY10" s="131"/>
      <c r="AZ10" s="48"/>
      <c r="BA10" s="48"/>
      <c r="BB10" s="241"/>
      <c r="BC10" s="56" t="s">
        <v>36</v>
      </c>
      <c r="BD10" s="52">
        <v>12.768062680699204</v>
      </c>
      <c r="BE10" s="53">
        <v>111.84812217044342</v>
      </c>
      <c r="BF10" s="54">
        <v>12.768062680699204</v>
      </c>
      <c r="BG10" s="53">
        <v>111.84812217044342</v>
      </c>
      <c r="BH10" s="450">
        <v>101652.27590228632</v>
      </c>
      <c r="BI10" s="347">
        <f t="shared" si="15"/>
        <v>23592.22043592015</v>
      </c>
      <c r="BJ10" s="347">
        <f t="shared" si="19"/>
        <v>125244.49633820646</v>
      </c>
      <c r="BK10" s="45">
        <v>14965.47660094936</v>
      </c>
      <c r="BL10" s="47">
        <v>8.6184323848148772</v>
      </c>
      <c r="BM10" s="45">
        <v>86686.799301336956</v>
      </c>
      <c r="BN10" s="55">
        <v>6.7924516280248524</v>
      </c>
      <c r="BO10" s="47">
        <f t="shared" si="20"/>
        <v>8.3688946017436798</v>
      </c>
      <c r="BP10" s="45">
        <v>11259.55067547896</v>
      </c>
      <c r="BQ10" s="55">
        <v>9.0280934676784703</v>
      </c>
      <c r="BR10" s="54">
        <v>10.264899542512323</v>
      </c>
      <c r="BS10" s="53">
        <v>89.920434039988152</v>
      </c>
      <c r="BT10" s="54">
        <v>23.032962223211527</v>
      </c>
      <c r="BU10" s="53">
        <v>201.76855621043157</v>
      </c>
      <c r="BV10" s="450">
        <v>86368.421352155332</v>
      </c>
      <c r="BW10" s="347">
        <f t="shared" si="16"/>
        <v>18966.994352683174</v>
      </c>
      <c r="BX10" s="347">
        <f t="shared" si="21"/>
        <v>105335.41570483851</v>
      </c>
      <c r="BY10" s="45">
        <v>12031.513139952054</v>
      </c>
      <c r="BZ10" s="47">
        <v>6.9287992122556652</v>
      </c>
      <c r="CA10" s="45">
        <v>74336.908212203271</v>
      </c>
      <c r="CB10" s="55">
        <v>7.1785169784969796</v>
      </c>
      <c r="CC10" s="47">
        <f t="shared" si="22"/>
        <v>8.7549599522158079</v>
      </c>
      <c r="CD10" s="45">
        <v>9052.1294786821181</v>
      </c>
      <c r="CE10" s="55">
        <v>9.5412269074977427</v>
      </c>
      <c r="CF10" s="52">
        <v>10.623841054862934</v>
      </c>
      <c r="CG10" s="53">
        <v>93.064758682607803</v>
      </c>
      <c r="CH10" s="54">
        <v>33.656803278074456</v>
      </c>
      <c r="CI10" s="53">
        <v>294.83331489303936</v>
      </c>
      <c r="CJ10" s="450">
        <v>94897.367059426731</v>
      </c>
      <c r="CK10" s="347">
        <f t="shared" si="17"/>
        <v>19630.229449091272</v>
      </c>
      <c r="CL10" s="347">
        <f t="shared" si="23"/>
        <v>114527.59650851801</v>
      </c>
      <c r="CM10" s="45">
        <v>12452.229339310366</v>
      </c>
      <c r="CN10" s="47">
        <v>7.1710844540859116</v>
      </c>
      <c r="CO10" s="45">
        <v>82445.13772011637</v>
      </c>
      <c r="CP10" s="55">
        <v>7.6209138519353976</v>
      </c>
      <c r="CQ10" s="47">
        <f t="shared" si="24"/>
        <v>9.1973568256542251</v>
      </c>
      <c r="CR10" s="45">
        <v>9368.6630240534232</v>
      </c>
      <c r="CS10" s="55">
        <v>10.12923261470543</v>
      </c>
      <c r="CT10" s="239"/>
      <c r="CU10" s="239"/>
      <c r="CV10" s="239"/>
      <c r="CW10" s="239"/>
      <c r="CX10" s="239"/>
      <c r="CY10" s="239"/>
      <c r="CZ10" s="239"/>
      <c r="DA10" s="239"/>
      <c r="DB10" s="239"/>
      <c r="DC10" s="239"/>
      <c r="DD10" s="239"/>
      <c r="DE10" s="239"/>
      <c r="DF10" s="239"/>
      <c r="DG10" s="239"/>
      <c r="DH10" s="239"/>
      <c r="DI10" s="239"/>
      <c r="DJ10" s="239"/>
      <c r="DK10" s="239"/>
      <c r="DL10" s="239"/>
      <c r="DM10" s="239"/>
      <c r="DN10" s="239"/>
      <c r="DO10" s="239"/>
      <c r="DP10" s="239"/>
      <c r="DQ10" s="239"/>
      <c r="DR10" s="239"/>
      <c r="DS10" s="239"/>
      <c r="DT10" s="239"/>
      <c r="DU10" s="239"/>
      <c r="DV10" s="239"/>
      <c r="DW10" s="239"/>
      <c r="DX10" s="239"/>
      <c r="DY10" s="239"/>
      <c r="DZ10" s="239"/>
      <c r="EA10" s="239"/>
      <c r="EB10" s="239"/>
      <c r="EC10" s="239"/>
      <c r="ED10" s="239"/>
      <c r="EE10" s="239"/>
      <c r="EF10" s="239"/>
      <c r="EG10" s="239"/>
      <c r="EH10" s="239"/>
      <c r="EI10" s="239"/>
      <c r="EJ10" s="239"/>
      <c r="EK10" s="239"/>
      <c r="EL10" s="239"/>
      <c r="EM10" s="239"/>
      <c r="EN10" s="239"/>
      <c r="EO10" s="239"/>
      <c r="EP10" s="239"/>
      <c r="EQ10" s="239"/>
      <c r="ER10" s="239"/>
      <c r="ES10" s="239"/>
      <c r="ET10" s="239"/>
      <c r="EU10" s="239"/>
      <c r="EV10" s="239"/>
      <c r="EW10" s="239"/>
      <c r="EX10" s="239"/>
      <c r="EY10" s="239"/>
      <c r="EZ10" s="239"/>
      <c r="FA10" s="239"/>
      <c r="FB10" s="239"/>
      <c r="FC10" s="239"/>
      <c r="FD10" s="239"/>
      <c r="FE10" s="239"/>
      <c r="FF10" s="239"/>
      <c r="FG10" s="239"/>
      <c r="FH10" s="239"/>
      <c r="FI10" s="239"/>
      <c r="FJ10" s="239"/>
      <c r="FK10" s="239"/>
      <c r="FL10" s="239"/>
      <c r="FM10" s="239"/>
      <c r="FN10" s="239"/>
      <c r="FO10" s="239"/>
      <c r="FP10" s="239"/>
      <c r="FQ10" s="239"/>
      <c r="FR10" s="239"/>
      <c r="FS10" s="239"/>
      <c r="FT10" s="239"/>
      <c r="FU10" s="239"/>
      <c r="FV10" s="239"/>
      <c r="FW10" s="239"/>
      <c r="FX10" s="239"/>
      <c r="FY10" s="239"/>
      <c r="FZ10" s="239"/>
      <c r="GA10" s="239"/>
      <c r="GB10" s="239"/>
      <c r="GC10" s="239"/>
      <c r="GD10" s="239"/>
      <c r="GE10" s="239"/>
      <c r="GF10" s="239"/>
      <c r="GG10" s="239"/>
      <c r="GH10" s="239"/>
      <c r="GI10" s="239"/>
      <c r="GJ10" s="239"/>
      <c r="GK10" s="239"/>
      <c r="GL10" s="239"/>
      <c r="GM10" s="239"/>
      <c r="GN10" s="239"/>
      <c r="GO10" s="239"/>
      <c r="GP10" s="239"/>
      <c r="GQ10" s="239"/>
      <c r="GR10" s="239"/>
      <c r="GS10" s="239"/>
      <c r="GT10" s="239"/>
      <c r="GU10" s="239"/>
      <c r="GV10" s="239"/>
      <c r="GW10" s="239"/>
      <c r="GX10" s="239"/>
      <c r="GY10" s="239"/>
      <c r="GZ10" s="239"/>
      <c r="HA10" s="239"/>
      <c r="HB10" s="239"/>
      <c r="HC10" s="239"/>
      <c r="HD10" s="239"/>
      <c r="HE10" s="239"/>
      <c r="HF10" s="239"/>
      <c r="HG10" s="239"/>
      <c r="HH10" s="239"/>
      <c r="HI10" s="239"/>
      <c r="HJ10" s="239"/>
      <c r="HK10" s="239"/>
      <c r="HL10" s="239"/>
      <c r="HM10" s="239"/>
      <c r="HN10" s="239"/>
      <c r="HO10" s="239"/>
      <c r="HP10" s="239"/>
      <c r="HQ10" s="239"/>
      <c r="HR10" s="239"/>
      <c r="HS10" s="239"/>
      <c r="HT10" s="239"/>
      <c r="HU10" s="239"/>
      <c r="HV10" s="239"/>
      <c r="HW10" s="239"/>
      <c r="HX10" s="239"/>
      <c r="HY10" s="239"/>
      <c r="HZ10" s="239"/>
      <c r="IA10" s="239"/>
      <c r="IB10" s="239"/>
      <c r="IC10" s="239"/>
      <c r="ID10" s="239"/>
      <c r="IE10" s="239"/>
      <c r="IF10" s="239"/>
      <c r="IG10" s="239"/>
      <c r="IH10" s="239"/>
      <c r="II10" s="239"/>
      <c r="IJ10" s="239"/>
      <c r="IK10" s="239"/>
      <c r="IL10" s="239"/>
      <c r="IM10" s="239"/>
      <c r="IN10" s="239"/>
      <c r="IO10" s="239"/>
      <c r="IP10" s="239"/>
      <c r="IQ10" s="239"/>
      <c r="IR10" s="239"/>
      <c r="IS10" s="239"/>
      <c r="IT10" s="239"/>
      <c r="IU10" s="239"/>
    </row>
    <row r="11" spans="1:255" s="41" customFormat="1" ht="15" customHeight="1">
      <c r="A11" s="377" t="str">
        <f t="shared" si="0"/>
        <v>BNI - Efficient Product Rebates; Single Tank Conveyor Dishwasher with Booster (High Temp); COM-Other; Retail</v>
      </c>
      <c r="B11" s="42" t="s">
        <v>37</v>
      </c>
      <c r="C11" s="15" t="s">
        <v>29</v>
      </c>
      <c r="D11" s="15" t="s">
        <v>30</v>
      </c>
      <c r="E11" s="43">
        <v>20</v>
      </c>
      <c r="F11" s="44">
        <v>21524.186570118432</v>
      </c>
      <c r="G11" s="35">
        <v>2457.1012722014179</v>
      </c>
      <c r="H11" s="36">
        <v>1500</v>
      </c>
      <c r="I11" s="37">
        <v>0.46666666666666667</v>
      </c>
      <c r="J11" s="36">
        <v>688.7739702437899</v>
      </c>
      <c r="K11" s="36">
        <v>1388.7739702437898</v>
      </c>
      <c r="L11" s="36">
        <v>800</v>
      </c>
      <c r="M11" s="36">
        <v>2188.7739702437898</v>
      </c>
      <c r="N11" s="36">
        <v>24660.768624016579</v>
      </c>
      <c r="O11" s="38">
        <v>0.82</v>
      </c>
      <c r="P11" s="38">
        <v>10.538932977668187</v>
      </c>
      <c r="Q11" s="310">
        <f t="shared" si="1"/>
        <v>10.538932977668187</v>
      </c>
      <c r="R11" s="311">
        <f t="shared" si="18"/>
        <v>0</v>
      </c>
      <c r="S11" s="311">
        <f t="shared" si="2"/>
        <v>2364.1252883254742</v>
      </c>
      <c r="T11" s="310">
        <f t="shared" si="3"/>
        <v>11.549256635634311</v>
      </c>
      <c r="U11" s="315">
        <f t="shared" si="4"/>
        <v>9.5865839559562807E-2</v>
      </c>
      <c r="V11" s="39">
        <v>6.4521554192983763E-2</v>
      </c>
      <c r="W11" s="40">
        <v>0.56520827446380761</v>
      </c>
      <c r="X11" s="48" t="s">
        <v>31</v>
      </c>
      <c r="Y11" s="48" t="s">
        <v>556</v>
      </c>
      <c r="Z11" s="246" t="s">
        <v>31</v>
      </c>
      <c r="AA11" s="257">
        <f>21284/264.172</f>
        <v>80.56872037914691</v>
      </c>
      <c r="AB11" s="386">
        <v>0</v>
      </c>
      <c r="AC11" s="387">
        <f>(AA11*AC3)</f>
        <v>219.87203791469193</v>
      </c>
      <c r="AD11" s="360">
        <f t="shared" si="5"/>
        <v>2.1987203791469194</v>
      </c>
      <c r="AE11" s="360">
        <f t="shared" si="6"/>
        <v>0</v>
      </c>
      <c r="AF11" s="360">
        <f t="shared" si="7"/>
        <v>0</v>
      </c>
      <c r="AG11" s="360">
        <f t="shared" si="8"/>
        <v>0</v>
      </c>
      <c r="AH11" s="360">
        <f t="shared" si="9"/>
        <v>0</v>
      </c>
      <c r="AI11" s="360">
        <f t="shared" si="10"/>
        <v>217.67331753554501</v>
      </c>
      <c r="AJ11" s="360" t="s">
        <v>40</v>
      </c>
      <c r="AK11" s="360">
        <f t="shared" si="11"/>
        <v>0</v>
      </c>
      <c r="AL11" s="360">
        <f t="shared" si="12"/>
        <v>0</v>
      </c>
      <c r="AM11" s="360">
        <f t="shared" si="13"/>
        <v>0</v>
      </c>
      <c r="AN11" s="360">
        <f t="shared" si="14"/>
        <v>219.87203791469193</v>
      </c>
      <c r="AO11" s="294" t="s">
        <v>600</v>
      </c>
      <c r="AP11" s="282" t="s">
        <v>500</v>
      </c>
      <c r="AQ11" s="136" t="s">
        <v>31</v>
      </c>
      <c r="AR11" s="294" t="s">
        <v>597</v>
      </c>
      <c r="AS11" s="142"/>
      <c r="AT11" s="142"/>
      <c r="AU11" s="146"/>
      <c r="AV11" s="39"/>
      <c r="AW11" s="131" t="s">
        <v>284</v>
      </c>
      <c r="AX11" s="131"/>
      <c r="AY11" s="131"/>
      <c r="AZ11" s="48"/>
      <c r="BA11" s="48"/>
      <c r="BB11" s="241"/>
      <c r="BC11" s="56" t="s">
        <v>37</v>
      </c>
      <c r="BD11" s="52">
        <v>12.999024075709061</v>
      </c>
      <c r="BE11" s="53">
        <v>113.87134205679064</v>
      </c>
      <c r="BF11" s="54">
        <v>12.999024075709061</v>
      </c>
      <c r="BG11" s="53">
        <v>113.87134205679064</v>
      </c>
      <c r="BH11" s="450">
        <v>130465.08448627105</v>
      </c>
      <c r="BI11" s="347">
        <f t="shared" si="15"/>
        <v>12507.144857485669</v>
      </c>
      <c r="BJ11" s="347">
        <f t="shared" si="19"/>
        <v>142972.22934375671</v>
      </c>
      <c r="BK11" s="45">
        <v>12379.344736580475</v>
      </c>
      <c r="BL11" s="47">
        <v>6.4516951598043706</v>
      </c>
      <c r="BM11" s="45">
        <v>118085.73974969058</v>
      </c>
      <c r="BN11" s="55">
        <v>10.538932977668185</v>
      </c>
      <c r="BO11" s="47">
        <f t="shared" si="20"/>
        <v>11.549256635634309</v>
      </c>
      <c r="BP11" s="45">
        <v>8959.9463018841579</v>
      </c>
      <c r="BQ11" s="55">
        <v>14.56092258709586</v>
      </c>
      <c r="BR11" s="54">
        <v>10.523315415039979</v>
      </c>
      <c r="BS11" s="53">
        <v>92.184154919503158</v>
      </c>
      <c r="BT11" s="54">
        <v>23.52233949074904</v>
      </c>
      <c r="BU11" s="53">
        <v>206.0554969762938</v>
      </c>
      <c r="BV11" s="450">
        <v>111458.61627018862</v>
      </c>
      <c r="BW11" s="347">
        <f t="shared" si="16"/>
        <v>10125.116278757077</v>
      </c>
      <c r="BX11" s="347">
        <f t="shared" si="21"/>
        <v>121583.7325489457</v>
      </c>
      <c r="BY11" s="45">
        <v>10021.656128630979</v>
      </c>
      <c r="BZ11" s="47">
        <v>5.2229477176812429</v>
      </c>
      <c r="CA11" s="45">
        <v>101436.96014155765</v>
      </c>
      <c r="CB11" s="55">
        <v>11.121776165494373</v>
      </c>
      <c r="CC11" s="47">
        <f t="shared" si="22"/>
        <v>12.132099823460496</v>
      </c>
      <c r="CD11" s="45">
        <v>7253.4938382599203</v>
      </c>
      <c r="CE11" s="55">
        <v>15.366197139684484</v>
      </c>
      <c r="CF11" s="52">
        <v>10.875503881848472</v>
      </c>
      <c r="CG11" s="53">
        <v>95.269322939719999</v>
      </c>
      <c r="CH11" s="54">
        <v>34.397843372597507</v>
      </c>
      <c r="CI11" s="53">
        <v>301.32481991601378</v>
      </c>
      <c r="CJ11" s="450">
        <v>121938.23820010861</v>
      </c>
      <c r="CK11" s="347">
        <f t="shared" si="17"/>
        <v>10463.978038367235</v>
      </c>
      <c r="CL11" s="347">
        <f t="shared" si="23"/>
        <v>132402.21623847584</v>
      </c>
      <c r="CM11" s="45">
        <v>10357.05534148552</v>
      </c>
      <c r="CN11" s="47">
        <v>5.3977464266776582</v>
      </c>
      <c r="CO11" s="45">
        <v>111581.18285862308</v>
      </c>
      <c r="CP11" s="55">
        <v>11.773446619685524</v>
      </c>
      <c r="CQ11" s="47">
        <f t="shared" si="24"/>
        <v>12.783770277651648</v>
      </c>
      <c r="CR11" s="45">
        <v>7496.2497353463605</v>
      </c>
      <c r="CS11" s="55">
        <v>16.266565616823666</v>
      </c>
      <c r="CT11" s="239"/>
      <c r="CU11" s="239"/>
      <c r="CV11" s="239"/>
      <c r="CW11" s="239"/>
      <c r="CX11" s="239"/>
      <c r="CY11" s="239"/>
      <c r="CZ11" s="239"/>
      <c r="DA11" s="239"/>
      <c r="DB11" s="239"/>
      <c r="DC11" s="239"/>
      <c r="DD11" s="239"/>
      <c r="DE11" s="239"/>
      <c r="DF11" s="239"/>
      <c r="DG11" s="239"/>
      <c r="DH11" s="239"/>
      <c r="DI11" s="239"/>
      <c r="DJ11" s="239"/>
      <c r="DK11" s="239"/>
      <c r="DL11" s="239"/>
      <c r="DM11" s="239"/>
      <c r="DN11" s="239"/>
      <c r="DO11" s="239"/>
      <c r="DP11" s="239"/>
      <c r="DQ11" s="239"/>
      <c r="DR11" s="239"/>
      <c r="DS11" s="239"/>
      <c r="DT11" s="239"/>
      <c r="DU11" s="239"/>
      <c r="DV11" s="239"/>
      <c r="DW11" s="239"/>
      <c r="DX11" s="239"/>
      <c r="DY11" s="239"/>
      <c r="DZ11" s="239"/>
      <c r="EA11" s="239"/>
      <c r="EB11" s="239"/>
      <c r="EC11" s="239"/>
      <c r="ED11" s="239"/>
      <c r="EE11" s="239"/>
      <c r="EF11" s="239"/>
      <c r="EG11" s="239"/>
      <c r="EH11" s="239"/>
      <c r="EI11" s="239"/>
      <c r="EJ11" s="239"/>
      <c r="EK11" s="239"/>
      <c r="EL11" s="239"/>
      <c r="EM11" s="239"/>
      <c r="EN11" s="239"/>
      <c r="EO11" s="239"/>
      <c r="EP11" s="239"/>
      <c r="EQ11" s="239"/>
      <c r="ER11" s="239"/>
      <c r="ES11" s="239"/>
      <c r="ET11" s="239"/>
      <c r="EU11" s="239"/>
      <c r="EV11" s="239"/>
      <c r="EW11" s="239"/>
      <c r="EX11" s="239"/>
      <c r="EY11" s="239"/>
      <c r="EZ11" s="239"/>
      <c r="FA11" s="239"/>
      <c r="FB11" s="239"/>
      <c r="FC11" s="239"/>
      <c r="FD11" s="239"/>
      <c r="FE11" s="239"/>
      <c r="FF11" s="239"/>
      <c r="FG11" s="239"/>
      <c r="FH11" s="239"/>
      <c r="FI11" s="239"/>
      <c r="FJ11" s="239"/>
      <c r="FK11" s="239"/>
      <c r="FL11" s="239"/>
      <c r="FM11" s="239"/>
      <c r="FN11" s="239"/>
      <c r="FO11" s="239"/>
      <c r="FP11" s="239"/>
      <c r="FQ11" s="239"/>
      <c r="FR11" s="239"/>
      <c r="FS11" s="239"/>
      <c r="FT11" s="239"/>
      <c r="FU11" s="239"/>
      <c r="FV11" s="239"/>
      <c r="FW11" s="239"/>
      <c r="FX11" s="239"/>
      <c r="FY11" s="239"/>
      <c r="FZ11" s="239"/>
      <c r="GA11" s="239"/>
      <c r="GB11" s="239"/>
      <c r="GC11" s="239"/>
      <c r="GD11" s="239"/>
      <c r="GE11" s="239"/>
      <c r="GF11" s="239"/>
      <c r="GG11" s="239"/>
      <c r="GH11" s="239"/>
      <c r="GI11" s="239"/>
      <c r="GJ11" s="239"/>
      <c r="GK11" s="239"/>
      <c r="GL11" s="239"/>
      <c r="GM11" s="239"/>
      <c r="GN11" s="239"/>
      <c r="GO11" s="239"/>
      <c r="GP11" s="239"/>
      <c r="GQ11" s="239"/>
      <c r="GR11" s="239"/>
      <c r="GS11" s="239"/>
      <c r="GT11" s="239"/>
      <c r="GU11" s="239"/>
      <c r="GV11" s="239"/>
      <c r="GW11" s="239"/>
      <c r="GX11" s="239"/>
      <c r="GY11" s="239"/>
      <c r="GZ11" s="239"/>
      <c r="HA11" s="239"/>
      <c r="HB11" s="239"/>
      <c r="HC11" s="239"/>
      <c r="HD11" s="239"/>
      <c r="HE11" s="239"/>
      <c r="HF11" s="239"/>
      <c r="HG11" s="239"/>
      <c r="HH11" s="239"/>
      <c r="HI11" s="239"/>
      <c r="HJ11" s="239"/>
      <c r="HK11" s="239"/>
      <c r="HL11" s="239"/>
      <c r="HM11" s="239"/>
      <c r="HN11" s="239"/>
      <c r="HO11" s="239"/>
      <c r="HP11" s="239"/>
      <c r="HQ11" s="239"/>
      <c r="HR11" s="239"/>
      <c r="HS11" s="239"/>
      <c r="HT11" s="239"/>
      <c r="HU11" s="239"/>
      <c r="HV11" s="239"/>
      <c r="HW11" s="239"/>
      <c r="HX11" s="239"/>
      <c r="HY11" s="239"/>
      <c r="HZ11" s="239"/>
      <c r="IA11" s="239"/>
      <c r="IB11" s="239"/>
      <c r="IC11" s="239"/>
      <c r="ID11" s="239"/>
      <c r="IE11" s="239"/>
      <c r="IF11" s="239"/>
      <c r="IG11" s="239"/>
      <c r="IH11" s="239"/>
      <c r="II11" s="239"/>
      <c r="IJ11" s="239"/>
      <c r="IK11" s="239"/>
      <c r="IL11" s="239"/>
      <c r="IM11" s="239"/>
      <c r="IN11" s="239"/>
      <c r="IO11" s="239"/>
      <c r="IP11" s="239"/>
      <c r="IQ11" s="239"/>
      <c r="IR11" s="239"/>
      <c r="IS11" s="239"/>
      <c r="IT11" s="239"/>
      <c r="IU11" s="239"/>
    </row>
    <row r="12" spans="1:255" s="41" customFormat="1" ht="15" customHeight="1">
      <c r="A12" s="377" t="str">
        <f t="shared" si="0"/>
        <v>BNI - Efficient Product Rebates; Multi Tank Conveyor Dishwasher with Booster (High Temp); COM-Other; Retail</v>
      </c>
      <c r="B12" s="42" t="s">
        <v>38</v>
      </c>
      <c r="C12" s="15" t="s">
        <v>29</v>
      </c>
      <c r="D12" s="15" t="s">
        <v>30</v>
      </c>
      <c r="E12" s="43">
        <v>20</v>
      </c>
      <c r="F12" s="44">
        <v>38217.457671859273</v>
      </c>
      <c r="G12" s="35">
        <v>4362.7276487277068</v>
      </c>
      <c r="H12" s="36">
        <v>5000</v>
      </c>
      <c r="I12" s="37">
        <v>0.3</v>
      </c>
      <c r="J12" s="36">
        <v>1222.9586454994967</v>
      </c>
      <c r="K12" s="36">
        <v>2722.9586454994969</v>
      </c>
      <c r="L12" s="36">
        <v>3500</v>
      </c>
      <c r="M12" s="36">
        <v>6222.9586454994969</v>
      </c>
      <c r="N12" s="36">
        <v>43786.643363902185</v>
      </c>
      <c r="O12" s="38">
        <v>0.82</v>
      </c>
      <c r="P12" s="38">
        <v>6.7453177733697247</v>
      </c>
      <c r="Q12" s="310">
        <f t="shared" si="1"/>
        <v>6.7453177733697247</v>
      </c>
      <c r="R12" s="311">
        <f t="shared" si="18"/>
        <v>0</v>
      </c>
      <c r="S12" s="311">
        <f t="shared" si="2"/>
        <v>8969.7694762937099</v>
      </c>
      <c r="T12" s="310">
        <f t="shared" si="3"/>
        <v>8.1271077628109509</v>
      </c>
      <c r="U12" s="315">
        <f t="shared" si="4"/>
        <v>0.20485172617018638</v>
      </c>
      <c r="V12" s="39">
        <v>7.1249078598561458E-2</v>
      </c>
      <c r="W12" s="40">
        <v>0.62414133192421206</v>
      </c>
      <c r="X12" s="48" t="s">
        <v>31</v>
      </c>
      <c r="Y12" s="48" t="s">
        <v>556</v>
      </c>
      <c r="Z12" s="246" t="s">
        <v>31</v>
      </c>
      <c r="AA12" s="257">
        <f>80754/264.172</f>
        <v>305.68720379146919</v>
      </c>
      <c r="AB12" s="386">
        <v>0</v>
      </c>
      <c r="AC12" s="387">
        <f>(AA12*AC3)</f>
        <v>834.22037914691941</v>
      </c>
      <c r="AD12" s="360">
        <f t="shared" si="5"/>
        <v>8.3422037914691938</v>
      </c>
      <c r="AE12" s="360">
        <f t="shared" si="6"/>
        <v>0</v>
      </c>
      <c r="AF12" s="360">
        <f t="shared" si="7"/>
        <v>0</v>
      </c>
      <c r="AG12" s="360">
        <f t="shared" si="8"/>
        <v>0</v>
      </c>
      <c r="AH12" s="360">
        <f t="shared" si="9"/>
        <v>0</v>
      </c>
      <c r="AI12" s="360">
        <f t="shared" si="10"/>
        <v>825.87817535545025</v>
      </c>
      <c r="AJ12" s="360" t="s">
        <v>40</v>
      </c>
      <c r="AK12" s="360">
        <f t="shared" si="11"/>
        <v>0</v>
      </c>
      <c r="AL12" s="360">
        <f t="shared" si="12"/>
        <v>0</v>
      </c>
      <c r="AM12" s="360">
        <f t="shared" si="13"/>
        <v>0</v>
      </c>
      <c r="AN12" s="360">
        <f t="shared" si="14"/>
        <v>834.22037914691941</v>
      </c>
      <c r="AO12" s="294" t="s">
        <v>600</v>
      </c>
      <c r="AP12" s="282" t="s">
        <v>500</v>
      </c>
      <c r="AQ12" s="136" t="s">
        <v>31</v>
      </c>
      <c r="AR12" s="294" t="s">
        <v>597</v>
      </c>
      <c r="AS12" s="142"/>
      <c r="AT12" s="142"/>
      <c r="AU12" s="146"/>
      <c r="AV12" s="39"/>
      <c r="AW12" s="131" t="s">
        <v>284</v>
      </c>
      <c r="AX12" s="131"/>
      <c r="AY12" s="131"/>
      <c r="AZ12" s="48"/>
      <c r="BA12" s="48"/>
      <c r="BB12" s="241"/>
      <c r="BC12" s="56" t="s">
        <v>38</v>
      </c>
      <c r="BD12" s="52">
        <v>23.80770899790101</v>
      </c>
      <c r="BE12" s="53">
        <v>208.55533146942341</v>
      </c>
      <c r="BF12" s="54">
        <v>23.80770899790101</v>
      </c>
      <c r="BG12" s="53">
        <v>208.55533146942341</v>
      </c>
      <c r="BH12" s="450">
        <v>238946.76613761741</v>
      </c>
      <c r="BI12" s="347">
        <f t="shared" si="15"/>
        <v>48948.657506074822</v>
      </c>
      <c r="BJ12" s="347">
        <f t="shared" si="19"/>
        <v>287895.42364369222</v>
      </c>
      <c r="BK12" s="45">
        <v>35424.093299350665</v>
      </c>
      <c r="BL12" s="47">
        <v>6.6549630869857213</v>
      </c>
      <c r="BM12" s="45">
        <v>203522.67283826674</v>
      </c>
      <c r="BN12" s="55">
        <v>6.7453177733697247</v>
      </c>
      <c r="BO12" s="47">
        <f t="shared" si="20"/>
        <v>8.1271077628109527</v>
      </c>
      <c r="BP12" s="45">
        <v>18121.189273187789</v>
      </c>
      <c r="BQ12" s="55">
        <v>13.186042181633429</v>
      </c>
      <c r="BR12" s="54">
        <v>19.616446361070185</v>
      </c>
      <c r="BS12" s="53">
        <v>171.83990586603051</v>
      </c>
      <c r="BT12" s="54">
        <v>43.424155358971191</v>
      </c>
      <c r="BU12" s="53">
        <v>380.39523733545388</v>
      </c>
      <c r="BV12" s="450">
        <v>207769.30856015338</v>
      </c>
      <c r="BW12" s="347">
        <f t="shared" si="16"/>
        <v>40331.420150463346</v>
      </c>
      <c r="BX12" s="347">
        <f t="shared" si="21"/>
        <v>248100.72871061674</v>
      </c>
      <c r="BY12" s="45">
        <v>29187.807451675548</v>
      </c>
      <c r="BZ12" s="47">
        <v>5.4833804648010034</v>
      </c>
      <c r="CA12" s="45">
        <v>178581.50110847782</v>
      </c>
      <c r="CB12" s="55">
        <v>7.1183595720282931</v>
      </c>
      <c r="CC12" s="47">
        <f t="shared" si="22"/>
        <v>8.5001495614695219</v>
      </c>
      <c r="CD12" s="45">
        <v>14931.018243192941</v>
      </c>
      <c r="CE12" s="55">
        <v>13.915280604179525</v>
      </c>
      <c r="CF12" s="52">
        <v>20.734259384252681</v>
      </c>
      <c r="CG12" s="53">
        <v>181.63193858917984</v>
      </c>
      <c r="CH12" s="54">
        <v>64.158414743223872</v>
      </c>
      <c r="CI12" s="53">
        <v>562.02717592463375</v>
      </c>
      <c r="CJ12" s="450">
        <v>232476.49829996791</v>
      </c>
      <c r="CK12" s="347">
        <f t="shared" si="17"/>
        <v>42629.644092650051</v>
      </c>
      <c r="CL12" s="347">
        <f t="shared" si="23"/>
        <v>275106.14239261794</v>
      </c>
      <c r="CM12" s="45">
        <v>30851.029764580031</v>
      </c>
      <c r="CN12" s="47">
        <v>5.7958424664193551</v>
      </c>
      <c r="CO12" s="45">
        <v>201625.46853538789</v>
      </c>
      <c r="CP12" s="55">
        <v>7.5354534378257103</v>
      </c>
      <c r="CQ12" s="47">
        <f t="shared" si="24"/>
        <v>8.9172434272669374</v>
      </c>
      <c r="CR12" s="45">
        <v>15781.83935188971</v>
      </c>
      <c r="CS12" s="55">
        <v>14.730633934132099</v>
      </c>
      <c r="CT12" s="239"/>
      <c r="CU12" s="239"/>
      <c r="CV12" s="239"/>
      <c r="CW12" s="239"/>
      <c r="CX12" s="239"/>
      <c r="CY12" s="239"/>
      <c r="CZ12" s="239"/>
      <c r="DA12" s="239"/>
      <c r="DB12" s="239"/>
      <c r="DC12" s="239"/>
      <c r="DD12" s="239"/>
      <c r="DE12" s="239"/>
      <c r="DF12" s="239"/>
      <c r="DG12" s="239"/>
      <c r="DH12" s="239"/>
      <c r="DI12" s="239"/>
      <c r="DJ12" s="239"/>
      <c r="DK12" s="239"/>
      <c r="DL12" s="239"/>
      <c r="DM12" s="239"/>
      <c r="DN12" s="239"/>
      <c r="DO12" s="239"/>
      <c r="DP12" s="239"/>
      <c r="DQ12" s="239"/>
      <c r="DR12" s="239"/>
      <c r="DS12" s="239"/>
      <c r="DT12" s="239"/>
      <c r="DU12" s="239"/>
      <c r="DV12" s="239"/>
      <c r="DW12" s="239"/>
      <c r="DX12" s="239"/>
      <c r="DY12" s="239"/>
      <c r="DZ12" s="239"/>
      <c r="EA12" s="239"/>
      <c r="EB12" s="239"/>
      <c r="EC12" s="239"/>
      <c r="ED12" s="239"/>
      <c r="EE12" s="239"/>
      <c r="EF12" s="239"/>
      <c r="EG12" s="239"/>
      <c r="EH12" s="239"/>
      <c r="EI12" s="239"/>
      <c r="EJ12" s="239"/>
      <c r="EK12" s="239"/>
      <c r="EL12" s="239"/>
      <c r="EM12" s="239"/>
      <c r="EN12" s="239"/>
      <c r="EO12" s="239"/>
      <c r="EP12" s="239"/>
      <c r="EQ12" s="239"/>
      <c r="ER12" s="239"/>
      <c r="ES12" s="239"/>
      <c r="ET12" s="239"/>
      <c r="EU12" s="239"/>
      <c r="EV12" s="239"/>
      <c r="EW12" s="239"/>
      <c r="EX12" s="239"/>
      <c r="EY12" s="239"/>
      <c r="EZ12" s="239"/>
      <c r="FA12" s="239"/>
      <c r="FB12" s="239"/>
      <c r="FC12" s="239"/>
      <c r="FD12" s="239"/>
      <c r="FE12" s="239"/>
      <c r="FF12" s="239"/>
      <c r="FG12" s="239"/>
      <c r="FH12" s="239"/>
      <c r="FI12" s="239"/>
      <c r="FJ12" s="239"/>
      <c r="FK12" s="239"/>
      <c r="FL12" s="239"/>
      <c r="FM12" s="239"/>
      <c r="FN12" s="239"/>
      <c r="FO12" s="239"/>
      <c r="FP12" s="239"/>
      <c r="FQ12" s="239"/>
      <c r="FR12" s="239"/>
      <c r="FS12" s="239"/>
      <c r="FT12" s="239"/>
      <c r="FU12" s="239"/>
      <c r="FV12" s="239"/>
      <c r="FW12" s="239"/>
      <c r="FX12" s="239"/>
      <c r="FY12" s="239"/>
      <c r="FZ12" s="239"/>
      <c r="GA12" s="239"/>
      <c r="GB12" s="239"/>
      <c r="GC12" s="239"/>
      <c r="GD12" s="239"/>
      <c r="GE12" s="239"/>
      <c r="GF12" s="239"/>
      <c r="GG12" s="239"/>
      <c r="GH12" s="239"/>
      <c r="GI12" s="239"/>
      <c r="GJ12" s="239"/>
      <c r="GK12" s="239"/>
      <c r="GL12" s="239"/>
      <c r="GM12" s="239"/>
      <c r="GN12" s="239"/>
      <c r="GO12" s="239"/>
      <c r="GP12" s="239"/>
      <c r="GQ12" s="239"/>
      <c r="GR12" s="239"/>
      <c r="GS12" s="239"/>
      <c r="GT12" s="239"/>
      <c r="GU12" s="239"/>
      <c r="GV12" s="239"/>
      <c r="GW12" s="239"/>
      <c r="GX12" s="239"/>
      <c r="GY12" s="239"/>
      <c r="GZ12" s="239"/>
      <c r="HA12" s="239"/>
      <c r="HB12" s="239"/>
      <c r="HC12" s="239"/>
      <c r="HD12" s="239"/>
      <c r="HE12" s="239"/>
      <c r="HF12" s="239"/>
      <c r="HG12" s="239"/>
      <c r="HH12" s="239"/>
      <c r="HI12" s="239"/>
      <c r="HJ12" s="239"/>
      <c r="HK12" s="239"/>
      <c r="HL12" s="239"/>
      <c r="HM12" s="239"/>
      <c r="HN12" s="239"/>
      <c r="HO12" s="239"/>
      <c r="HP12" s="239"/>
      <c r="HQ12" s="239"/>
      <c r="HR12" s="239"/>
      <c r="HS12" s="239"/>
      <c r="HT12" s="239"/>
      <c r="HU12" s="239"/>
      <c r="HV12" s="239"/>
      <c r="HW12" s="239"/>
      <c r="HX12" s="239"/>
      <c r="HY12" s="239"/>
      <c r="HZ12" s="239"/>
      <c r="IA12" s="239"/>
      <c r="IB12" s="239"/>
      <c r="IC12" s="239"/>
      <c r="ID12" s="239"/>
      <c r="IE12" s="239"/>
      <c r="IF12" s="239"/>
      <c r="IG12" s="239"/>
      <c r="IH12" s="239"/>
      <c r="II12" s="239"/>
      <c r="IJ12" s="239"/>
      <c r="IK12" s="239"/>
      <c r="IL12" s="239"/>
      <c r="IM12" s="239"/>
      <c r="IN12" s="239"/>
      <c r="IO12" s="239"/>
      <c r="IP12" s="239"/>
      <c r="IQ12" s="239"/>
      <c r="IR12" s="239"/>
      <c r="IS12" s="239"/>
      <c r="IT12" s="239"/>
      <c r="IU12" s="239"/>
    </row>
    <row r="13" spans="1:255" s="34" customFormat="1" ht="15" customHeight="1">
      <c r="A13" s="377" t="str">
        <f t="shared" si="0"/>
        <v>BNI - Efficient Product Rebates; Standard Capacity Commercial Electric Fryers; COM-Other; Retail</v>
      </c>
      <c r="B13" s="42" t="s">
        <v>39</v>
      </c>
      <c r="C13" s="15" t="s">
        <v>29</v>
      </c>
      <c r="D13" s="15" t="s">
        <v>30</v>
      </c>
      <c r="E13" s="43">
        <v>12</v>
      </c>
      <c r="F13" s="44">
        <v>1319.164628327951</v>
      </c>
      <c r="G13" s="28">
        <v>150.58971338817403</v>
      </c>
      <c r="H13" s="29">
        <v>500</v>
      </c>
      <c r="I13" s="30">
        <v>0.5</v>
      </c>
      <c r="J13" s="29">
        <v>42.213268106494432</v>
      </c>
      <c r="K13" s="29">
        <v>292.21326810649441</v>
      </c>
      <c r="L13" s="29">
        <v>250</v>
      </c>
      <c r="M13" s="29">
        <v>542.21326810649441</v>
      </c>
      <c r="N13" s="29">
        <v>988.67438731864081</v>
      </c>
      <c r="O13" s="31">
        <v>0.82</v>
      </c>
      <c r="P13" s="31">
        <v>1.7927669415713954</v>
      </c>
      <c r="Q13" s="310">
        <f t="shared" si="1"/>
        <v>1.7927669415713954</v>
      </c>
      <c r="R13" s="311">
        <f t="shared" si="18"/>
        <v>0</v>
      </c>
      <c r="S13" s="311">
        <f t="shared" si="2"/>
        <v>0</v>
      </c>
      <c r="T13" s="310">
        <f t="shared" si="3"/>
        <v>1.7927669415713954</v>
      </c>
      <c r="U13" s="315">
        <f t="shared" si="4"/>
        <v>0</v>
      </c>
      <c r="V13" s="32">
        <v>0.22151387463813099</v>
      </c>
      <c r="W13" s="33">
        <v>1.9404596869990605</v>
      </c>
      <c r="X13" s="48" t="s">
        <v>40</v>
      </c>
      <c r="Y13" s="48" t="s">
        <v>511</v>
      </c>
      <c r="Z13" s="246" t="s">
        <v>40</v>
      </c>
      <c r="AA13" s="246"/>
      <c r="AB13" s="386">
        <v>0</v>
      </c>
      <c r="AC13" s="388">
        <v>0</v>
      </c>
      <c r="AD13" s="360">
        <f t="shared" si="5"/>
        <v>0</v>
      </c>
      <c r="AE13" s="360">
        <f t="shared" si="6"/>
        <v>0</v>
      </c>
      <c r="AF13" s="360">
        <f t="shared" si="7"/>
        <v>0</v>
      </c>
      <c r="AG13" s="360">
        <f t="shared" si="8"/>
        <v>0</v>
      </c>
      <c r="AH13" s="360">
        <f t="shared" si="9"/>
        <v>0</v>
      </c>
      <c r="AI13" s="360">
        <f t="shared" si="10"/>
        <v>0</v>
      </c>
      <c r="AJ13" s="360" t="s">
        <v>40</v>
      </c>
      <c r="AK13" s="360">
        <f t="shared" si="11"/>
        <v>0</v>
      </c>
      <c r="AL13" s="360">
        <f t="shared" si="12"/>
        <v>0</v>
      </c>
      <c r="AM13" s="360">
        <f t="shared" si="13"/>
        <v>0</v>
      </c>
      <c r="AN13" s="360">
        <f t="shared" si="14"/>
        <v>0</v>
      </c>
      <c r="AO13" s="294" t="s">
        <v>601</v>
      </c>
      <c r="AP13" s="282" t="s">
        <v>419</v>
      </c>
      <c r="AQ13" s="136" t="s">
        <v>40</v>
      </c>
      <c r="AR13" s="289"/>
      <c r="AS13" s="142"/>
      <c r="AT13" s="142"/>
      <c r="AU13" s="146"/>
      <c r="AV13" s="32"/>
      <c r="AW13" s="131" t="s">
        <v>284</v>
      </c>
      <c r="AX13" s="131"/>
      <c r="AY13" s="131"/>
      <c r="AZ13" s="48"/>
      <c r="BA13" s="48"/>
      <c r="BB13" s="241"/>
      <c r="BC13" s="56" t="s">
        <v>39</v>
      </c>
      <c r="BD13" s="52">
        <v>7.2557054278495086</v>
      </c>
      <c r="BE13" s="53">
        <v>63.559918792818763</v>
      </c>
      <c r="BF13" s="54">
        <v>7.2557054278495086</v>
      </c>
      <c r="BG13" s="53">
        <v>63.559918792818763</v>
      </c>
      <c r="BH13" s="450">
        <v>47636.255870628374</v>
      </c>
      <c r="BI13" s="347">
        <f t="shared" si="15"/>
        <v>0</v>
      </c>
      <c r="BJ13" s="347">
        <f t="shared" si="19"/>
        <v>47636.255870628374</v>
      </c>
      <c r="BK13" s="45">
        <v>26571.360039065788</v>
      </c>
      <c r="BL13" s="47">
        <v>58.758470644448984</v>
      </c>
      <c r="BM13" s="45">
        <v>21064.895831562586</v>
      </c>
      <c r="BN13" s="55">
        <v>1.7927669415713956</v>
      </c>
      <c r="BO13" s="47">
        <f t="shared" si="20"/>
        <v>1.7927669415713956</v>
      </c>
      <c r="BP13" s="45">
        <v>17170.004735953953</v>
      </c>
      <c r="BQ13" s="55">
        <v>2.7743880449187155</v>
      </c>
      <c r="BR13" s="54">
        <v>5.8531962465713638</v>
      </c>
      <c r="BS13" s="53">
        <v>51.273950108634949</v>
      </c>
      <c r="BT13" s="54">
        <v>13.108901674420872</v>
      </c>
      <c r="BU13" s="53">
        <v>114.83386890145371</v>
      </c>
      <c r="BV13" s="450">
        <v>40775.333103364217</v>
      </c>
      <c r="BW13" s="347">
        <f t="shared" si="16"/>
        <v>0</v>
      </c>
      <c r="BX13" s="347">
        <f t="shared" si="21"/>
        <v>40775.333103364217</v>
      </c>
      <c r="BY13" s="45">
        <v>21435.184544565011</v>
      </c>
      <c r="BZ13" s="47">
        <v>47.400609527266475</v>
      </c>
      <c r="CA13" s="45">
        <v>19340.148558799207</v>
      </c>
      <c r="CB13" s="55">
        <v>1.9022618171814616</v>
      </c>
      <c r="CC13" s="47">
        <f t="shared" si="22"/>
        <v>1.9022618171814616</v>
      </c>
      <c r="CD13" s="45">
        <v>13851.087020202373</v>
      </c>
      <c r="CE13" s="55">
        <v>2.9438363244626027</v>
      </c>
      <c r="CF13" s="52">
        <v>6.1698293076344299</v>
      </c>
      <c r="CG13" s="53">
        <v>54.047653072242575</v>
      </c>
      <c r="CH13" s="54">
        <v>19.278730982055304</v>
      </c>
      <c r="CI13" s="53">
        <v>168.88152197369629</v>
      </c>
      <c r="CJ13" s="450">
        <v>45797.504910323274</v>
      </c>
      <c r="CK13" s="347">
        <f t="shared" si="17"/>
        <v>0</v>
      </c>
      <c r="CL13" s="347">
        <f t="shared" si="23"/>
        <v>45797.504910323274</v>
      </c>
      <c r="CM13" s="45">
        <v>22594.737002894599</v>
      </c>
      <c r="CN13" s="47">
        <v>49.964781213747202</v>
      </c>
      <c r="CO13" s="45">
        <v>23202.767907428675</v>
      </c>
      <c r="CP13" s="55">
        <v>2.0269102890844084</v>
      </c>
      <c r="CQ13" s="47">
        <f t="shared" si="24"/>
        <v>2.0269102890844084</v>
      </c>
      <c r="CR13" s="45">
        <v>14600.372008695047</v>
      </c>
      <c r="CS13" s="55">
        <v>3.1367354806472885</v>
      </c>
      <c r="CT13" s="239"/>
      <c r="CU13" s="239"/>
      <c r="CV13" s="239"/>
      <c r="CW13" s="239"/>
      <c r="CX13" s="239"/>
      <c r="CY13" s="239"/>
      <c r="CZ13" s="239"/>
      <c r="DA13" s="239"/>
      <c r="DB13" s="239"/>
      <c r="DC13" s="239"/>
      <c r="DD13" s="239"/>
      <c r="DE13" s="239"/>
      <c r="DF13" s="239"/>
      <c r="DG13" s="239"/>
      <c r="DH13" s="239"/>
      <c r="DI13" s="239"/>
      <c r="DJ13" s="239"/>
      <c r="DK13" s="239"/>
      <c r="DL13" s="239"/>
      <c r="DM13" s="239"/>
      <c r="DN13" s="239"/>
      <c r="DO13" s="239"/>
      <c r="DP13" s="239"/>
      <c r="DQ13" s="239"/>
      <c r="DR13" s="239"/>
      <c r="DS13" s="239"/>
      <c r="DT13" s="239"/>
      <c r="DU13" s="239"/>
      <c r="DV13" s="239"/>
      <c r="DW13" s="239"/>
      <c r="DX13" s="239"/>
      <c r="DY13" s="239"/>
      <c r="DZ13" s="239"/>
      <c r="EA13" s="239"/>
      <c r="EB13" s="239"/>
      <c r="EC13" s="239"/>
      <c r="ED13" s="239"/>
      <c r="EE13" s="239"/>
      <c r="EF13" s="239"/>
      <c r="EG13" s="239"/>
      <c r="EH13" s="239"/>
      <c r="EI13" s="239"/>
      <c r="EJ13" s="239"/>
      <c r="EK13" s="239"/>
      <c r="EL13" s="239"/>
      <c r="EM13" s="239"/>
      <c r="EN13" s="239"/>
      <c r="EO13" s="239"/>
      <c r="EP13" s="239"/>
      <c r="EQ13" s="239"/>
      <c r="ER13" s="239"/>
      <c r="ES13" s="239"/>
      <c r="ET13" s="239"/>
      <c r="EU13" s="239"/>
      <c r="EV13" s="239"/>
      <c r="EW13" s="239"/>
      <c r="EX13" s="239"/>
      <c r="EY13" s="239"/>
      <c r="EZ13" s="239"/>
      <c r="FA13" s="239"/>
      <c r="FB13" s="239"/>
      <c r="FC13" s="239"/>
      <c r="FD13" s="239"/>
      <c r="FE13" s="239"/>
      <c r="FF13" s="239"/>
      <c r="FG13" s="239"/>
      <c r="FH13" s="239"/>
      <c r="FI13" s="239"/>
      <c r="FJ13" s="239"/>
      <c r="FK13" s="239"/>
      <c r="FL13" s="239"/>
      <c r="FM13" s="239"/>
      <c r="FN13" s="239"/>
      <c r="FO13" s="239"/>
      <c r="FP13" s="239"/>
      <c r="FQ13" s="239"/>
      <c r="FR13" s="239"/>
      <c r="FS13" s="239"/>
      <c r="FT13" s="239"/>
      <c r="FU13" s="239"/>
      <c r="FV13" s="239"/>
      <c r="FW13" s="239"/>
      <c r="FX13" s="239"/>
      <c r="FY13" s="239"/>
      <c r="FZ13" s="239"/>
      <c r="GA13" s="239"/>
      <c r="GB13" s="239"/>
      <c r="GC13" s="239"/>
      <c r="GD13" s="239"/>
      <c r="GE13" s="239"/>
      <c r="GF13" s="239"/>
      <c r="GG13" s="239"/>
      <c r="GH13" s="239"/>
      <c r="GI13" s="239"/>
      <c r="GJ13" s="239"/>
      <c r="GK13" s="239"/>
      <c r="GL13" s="239"/>
      <c r="GM13" s="239"/>
      <c r="GN13" s="239"/>
      <c r="GO13" s="239"/>
      <c r="GP13" s="239"/>
      <c r="GQ13" s="239"/>
      <c r="GR13" s="239"/>
      <c r="GS13" s="239"/>
      <c r="GT13" s="239"/>
      <c r="GU13" s="239"/>
      <c r="GV13" s="239"/>
      <c r="GW13" s="239"/>
      <c r="GX13" s="239"/>
      <c r="GY13" s="239"/>
      <c r="GZ13" s="239"/>
      <c r="HA13" s="239"/>
      <c r="HB13" s="239"/>
      <c r="HC13" s="239"/>
      <c r="HD13" s="239"/>
      <c r="HE13" s="239"/>
      <c r="HF13" s="239"/>
      <c r="HG13" s="239"/>
      <c r="HH13" s="239"/>
      <c r="HI13" s="239"/>
      <c r="HJ13" s="239"/>
      <c r="HK13" s="239"/>
      <c r="HL13" s="239"/>
      <c r="HM13" s="239"/>
      <c r="HN13" s="239"/>
      <c r="HO13" s="239"/>
      <c r="HP13" s="239"/>
      <c r="HQ13" s="239"/>
      <c r="HR13" s="239"/>
      <c r="HS13" s="239"/>
      <c r="HT13" s="239"/>
      <c r="HU13" s="239"/>
      <c r="HV13" s="239"/>
      <c r="HW13" s="239"/>
      <c r="HX13" s="239"/>
      <c r="HY13" s="239"/>
      <c r="HZ13" s="239"/>
      <c r="IA13" s="239"/>
      <c r="IB13" s="239"/>
      <c r="IC13" s="239"/>
      <c r="ID13" s="239"/>
      <c r="IE13" s="239"/>
      <c r="IF13" s="239"/>
      <c r="IG13" s="239"/>
      <c r="IH13" s="239"/>
      <c r="II13" s="239"/>
      <c r="IJ13" s="239"/>
      <c r="IK13" s="239"/>
      <c r="IL13" s="239"/>
      <c r="IM13" s="239"/>
      <c r="IN13" s="239"/>
      <c r="IO13" s="239"/>
      <c r="IP13" s="239"/>
      <c r="IQ13" s="239"/>
      <c r="IR13" s="239"/>
      <c r="IS13" s="239"/>
      <c r="IT13" s="239"/>
      <c r="IU13" s="239"/>
    </row>
    <row r="14" spans="1:255" s="41" customFormat="1" ht="15" customHeight="1">
      <c r="A14" s="377" t="str">
        <f t="shared" si="0"/>
        <v>BNI - Efficient Product Rebates; Full Size Commercial Hot Food Holding Cabinet; COM-Other; Retail</v>
      </c>
      <c r="B14" s="42" t="s">
        <v>41</v>
      </c>
      <c r="C14" s="15" t="s">
        <v>29</v>
      </c>
      <c r="D14" s="15" t="s">
        <v>30</v>
      </c>
      <c r="E14" s="43">
        <v>12</v>
      </c>
      <c r="F14" s="44">
        <v>10415.092500000001</v>
      </c>
      <c r="G14" s="35">
        <v>1188.9386364719956</v>
      </c>
      <c r="H14" s="36">
        <v>1200</v>
      </c>
      <c r="I14" s="37">
        <v>0.5</v>
      </c>
      <c r="J14" s="36">
        <v>333.28296</v>
      </c>
      <c r="K14" s="36">
        <v>933.28296</v>
      </c>
      <c r="L14" s="36">
        <v>600</v>
      </c>
      <c r="M14" s="36">
        <v>1533.28296</v>
      </c>
      <c r="N14" s="36">
        <v>7805.7999548973285</v>
      </c>
      <c r="O14" s="38">
        <v>0.82</v>
      </c>
      <c r="P14" s="38">
        <v>4.8590592586241375</v>
      </c>
      <c r="Q14" s="310">
        <f t="shared" si="1"/>
        <v>4.8590592586241375</v>
      </c>
      <c r="R14" s="311">
        <f t="shared" si="18"/>
        <v>0</v>
      </c>
      <c r="S14" s="311">
        <f t="shared" si="2"/>
        <v>0</v>
      </c>
      <c r="T14" s="310">
        <f t="shared" si="3"/>
        <v>4.8590592586241375</v>
      </c>
      <c r="U14" s="315">
        <f t="shared" si="4"/>
        <v>0</v>
      </c>
      <c r="V14" s="39">
        <v>8.960870582762466E-2</v>
      </c>
      <c r="W14" s="40">
        <v>0.78497151271774879</v>
      </c>
      <c r="X14" s="48" t="s">
        <v>40</v>
      </c>
      <c r="Y14" s="48" t="s">
        <v>512</v>
      </c>
      <c r="Z14" s="246" t="s">
        <v>40</v>
      </c>
      <c r="AA14" s="246"/>
      <c r="AB14" s="386">
        <v>0</v>
      </c>
      <c r="AC14" s="388">
        <v>0</v>
      </c>
      <c r="AD14" s="360">
        <f t="shared" si="5"/>
        <v>0</v>
      </c>
      <c r="AE14" s="360">
        <f t="shared" si="6"/>
        <v>0</v>
      </c>
      <c r="AF14" s="360">
        <f t="shared" si="7"/>
        <v>0</v>
      </c>
      <c r="AG14" s="360">
        <f t="shared" si="8"/>
        <v>0</v>
      </c>
      <c r="AH14" s="360">
        <f t="shared" si="9"/>
        <v>0</v>
      </c>
      <c r="AI14" s="360">
        <f t="shared" si="10"/>
        <v>0</v>
      </c>
      <c r="AJ14" s="360" t="s">
        <v>40</v>
      </c>
      <c r="AK14" s="360">
        <f t="shared" si="11"/>
        <v>0</v>
      </c>
      <c r="AL14" s="360">
        <f t="shared" si="12"/>
        <v>0</v>
      </c>
      <c r="AM14" s="360">
        <f t="shared" si="13"/>
        <v>0</v>
      </c>
      <c r="AN14" s="360">
        <f t="shared" si="14"/>
        <v>0</v>
      </c>
      <c r="AO14" s="294" t="s">
        <v>602</v>
      </c>
      <c r="AP14" s="282" t="s">
        <v>419</v>
      </c>
      <c r="AQ14" s="136" t="s">
        <v>40</v>
      </c>
      <c r="AR14" s="289"/>
      <c r="AS14" s="142"/>
      <c r="AT14" s="142"/>
      <c r="AU14" s="146"/>
      <c r="AV14" s="39"/>
      <c r="AW14" s="131" t="s">
        <v>284</v>
      </c>
      <c r="AX14" s="131"/>
      <c r="AY14" s="131"/>
      <c r="AZ14" s="48"/>
      <c r="BA14" s="48"/>
      <c r="BB14" s="241"/>
      <c r="BC14" s="56" t="s">
        <v>41</v>
      </c>
      <c r="BD14" s="52">
        <v>14.597550646074247</v>
      </c>
      <c r="BE14" s="53">
        <v>127.87442142803901</v>
      </c>
      <c r="BF14" s="54">
        <v>14.597550646074247</v>
      </c>
      <c r="BG14" s="53">
        <v>127.87442142803901</v>
      </c>
      <c r="BH14" s="450">
        <v>95838.049735564869</v>
      </c>
      <c r="BI14" s="347">
        <f t="shared" si="15"/>
        <v>0</v>
      </c>
      <c r="BJ14" s="347">
        <f t="shared" si="19"/>
        <v>95838.049735564869</v>
      </c>
      <c r="BK14" s="45">
        <v>19723.581177872242</v>
      </c>
      <c r="BL14" s="47">
        <v>14.972926680743097</v>
      </c>
      <c r="BM14" s="45">
        <v>76114.468557692628</v>
      </c>
      <c r="BN14" s="55">
        <v>4.8590592586241366</v>
      </c>
      <c r="BO14" s="47">
        <f t="shared" si="20"/>
        <v>4.8590592586241366</v>
      </c>
      <c r="BP14" s="45">
        <v>13973.977332466893</v>
      </c>
      <c r="BQ14" s="55">
        <v>6.8583229710052862</v>
      </c>
      <c r="BR14" s="54">
        <v>11.633505572450353</v>
      </c>
      <c r="BS14" s="53">
        <v>101.90941140231824</v>
      </c>
      <c r="BT14" s="54">
        <v>26.2310562185246</v>
      </c>
      <c r="BU14" s="53">
        <v>229.78383283035726</v>
      </c>
      <c r="BV14" s="450">
        <v>81042.911410047745</v>
      </c>
      <c r="BW14" s="347">
        <f t="shared" si="16"/>
        <v>0</v>
      </c>
      <c r="BX14" s="347">
        <f t="shared" si="21"/>
        <v>81042.911410047745</v>
      </c>
      <c r="BY14" s="45">
        <v>15718.691245175527</v>
      </c>
      <c r="BZ14" s="47">
        <v>11.932661184029534</v>
      </c>
      <c r="CA14" s="45">
        <v>65324.220164872218</v>
      </c>
      <c r="CB14" s="55">
        <v>5.1558307333584095</v>
      </c>
      <c r="CC14" s="47">
        <f t="shared" si="22"/>
        <v>5.1558307333584095</v>
      </c>
      <c r="CD14" s="45">
        <v>11136.549350508189</v>
      </c>
      <c r="CE14" s="55">
        <v>7.2772012999115887</v>
      </c>
      <c r="CF14" s="52">
        <v>12.045204529642476</v>
      </c>
      <c r="CG14" s="53">
        <v>105.51589081998875</v>
      </c>
      <c r="CH14" s="54">
        <v>38.276260748167076</v>
      </c>
      <c r="CI14" s="53">
        <v>335.29972365034598</v>
      </c>
      <c r="CJ14" s="450">
        <v>89409.331455824897</v>
      </c>
      <c r="CK14" s="347">
        <f t="shared" si="17"/>
        <v>0</v>
      </c>
      <c r="CL14" s="347">
        <f t="shared" si="23"/>
        <v>89409.331455824897</v>
      </c>
      <c r="CM14" s="45">
        <v>16274.96112906923</v>
      </c>
      <c r="CN14" s="47">
        <v>12.354946980464419</v>
      </c>
      <c r="CO14" s="45">
        <v>73134.37032675567</v>
      </c>
      <c r="CP14" s="55">
        <v>5.4936740399415163</v>
      </c>
      <c r="CQ14" s="47">
        <f t="shared" si="24"/>
        <v>5.4936740399415163</v>
      </c>
      <c r="CR14" s="45">
        <v>11530.661488570895</v>
      </c>
      <c r="CS14" s="55">
        <v>7.7540504978354239</v>
      </c>
      <c r="CT14" s="239"/>
      <c r="CU14" s="239"/>
      <c r="CV14" s="239"/>
      <c r="CW14" s="239"/>
      <c r="CX14" s="239"/>
      <c r="CY14" s="239"/>
      <c r="CZ14" s="239"/>
      <c r="DA14" s="239"/>
      <c r="DB14" s="239"/>
      <c r="DC14" s="239"/>
      <c r="DD14" s="239"/>
      <c r="DE14" s="239"/>
      <c r="DF14" s="239"/>
      <c r="DG14" s="239"/>
      <c r="DH14" s="239"/>
      <c r="DI14" s="239"/>
      <c r="DJ14" s="239"/>
      <c r="DK14" s="239"/>
      <c r="DL14" s="239"/>
      <c r="DM14" s="239"/>
      <c r="DN14" s="239"/>
      <c r="DO14" s="239"/>
      <c r="DP14" s="239"/>
      <c r="DQ14" s="239"/>
      <c r="DR14" s="239"/>
      <c r="DS14" s="239"/>
      <c r="DT14" s="239"/>
      <c r="DU14" s="239"/>
      <c r="DV14" s="239"/>
      <c r="DW14" s="239"/>
      <c r="DX14" s="239"/>
      <c r="DY14" s="239"/>
      <c r="DZ14" s="239"/>
      <c r="EA14" s="239"/>
      <c r="EB14" s="239"/>
      <c r="EC14" s="239"/>
      <c r="ED14" s="239"/>
      <c r="EE14" s="239"/>
      <c r="EF14" s="239"/>
      <c r="EG14" s="239"/>
      <c r="EH14" s="239"/>
      <c r="EI14" s="239"/>
      <c r="EJ14" s="239"/>
      <c r="EK14" s="239"/>
      <c r="EL14" s="239"/>
      <c r="EM14" s="239"/>
      <c r="EN14" s="239"/>
      <c r="EO14" s="239"/>
      <c r="EP14" s="239"/>
      <c r="EQ14" s="239"/>
      <c r="ER14" s="239"/>
      <c r="ES14" s="239"/>
      <c r="ET14" s="239"/>
      <c r="EU14" s="239"/>
      <c r="EV14" s="239"/>
      <c r="EW14" s="239"/>
      <c r="EX14" s="239"/>
      <c r="EY14" s="239"/>
      <c r="EZ14" s="239"/>
      <c r="FA14" s="239"/>
      <c r="FB14" s="239"/>
      <c r="FC14" s="239"/>
      <c r="FD14" s="239"/>
      <c r="FE14" s="239"/>
      <c r="FF14" s="239"/>
      <c r="FG14" s="239"/>
      <c r="FH14" s="239"/>
      <c r="FI14" s="239"/>
      <c r="FJ14" s="239"/>
      <c r="FK14" s="239"/>
      <c r="FL14" s="239"/>
      <c r="FM14" s="239"/>
      <c r="FN14" s="239"/>
      <c r="FO14" s="239"/>
      <c r="FP14" s="239"/>
      <c r="FQ14" s="239"/>
      <c r="FR14" s="239"/>
      <c r="FS14" s="239"/>
      <c r="FT14" s="239"/>
      <c r="FU14" s="239"/>
      <c r="FV14" s="239"/>
      <c r="FW14" s="239"/>
      <c r="FX14" s="239"/>
      <c r="FY14" s="239"/>
      <c r="FZ14" s="239"/>
      <c r="GA14" s="239"/>
      <c r="GB14" s="239"/>
      <c r="GC14" s="239"/>
      <c r="GD14" s="239"/>
      <c r="GE14" s="239"/>
      <c r="GF14" s="239"/>
      <c r="GG14" s="239"/>
      <c r="GH14" s="239"/>
      <c r="GI14" s="239"/>
      <c r="GJ14" s="239"/>
      <c r="GK14" s="239"/>
      <c r="GL14" s="239"/>
      <c r="GM14" s="239"/>
      <c r="GN14" s="239"/>
      <c r="GO14" s="239"/>
      <c r="GP14" s="239"/>
      <c r="GQ14" s="239"/>
      <c r="GR14" s="239"/>
      <c r="GS14" s="239"/>
      <c r="GT14" s="239"/>
      <c r="GU14" s="239"/>
      <c r="GV14" s="239"/>
      <c r="GW14" s="239"/>
      <c r="GX14" s="239"/>
      <c r="GY14" s="239"/>
      <c r="GZ14" s="239"/>
      <c r="HA14" s="239"/>
      <c r="HB14" s="239"/>
      <c r="HC14" s="239"/>
      <c r="HD14" s="239"/>
      <c r="HE14" s="239"/>
      <c r="HF14" s="239"/>
      <c r="HG14" s="239"/>
      <c r="HH14" s="239"/>
      <c r="HI14" s="239"/>
      <c r="HJ14" s="239"/>
      <c r="HK14" s="239"/>
      <c r="HL14" s="239"/>
      <c r="HM14" s="239"/>
      <c r="HN14" s="239"/>
      <c r="HO14" s="239"/>
      <c r="HP14" s="239"/>
      <c r="HQ14" s="239"/>
      <c r="HR14" s="239"/>
      <c r="HS14" s="239"/>
      <c r="HT14" s="239"/>
      <c r="HU14" s="239"/>
      <c r="HV14" s="239"/>
      <c r="HW14" s="239"/>
      <c r="HX14" s="239"/>
      <c r="HY14" s="239"/>
      <c r="HZ14" s="239"/>
      <c r="IA14" s="239"/>
      <c r="IB14" s="239"/>
      <c r="IC14" s="239"/>
      <c r="ID14" s="239"/>
      <c r="IE14" s="239"/>
      <c r="IF14" s="239"/>
      <c r="IG14" s="239"/>
      <c r="IH14" s="239"/>
      <c r="II14" s="239"/>
      <c r="IJ14" s="239"/>
      <c r="IK14" s="239"/>
      <c r="IL14" s="239"/>
      <c r="IM14" s="239"/>
      <c r="IN14" s="239"/>
      <c r="IO14" s="239"/>
      <c r="IP14" s="239"/>
      <c r="IQ14" s="239"/>
      <c r="IR14" s="239"/>
      <c r="IS14" s="239"/>
      <c r="IT14" s="239"/>
      <c r="IU14" s="239"/>
    </row>
    <row r="15" spans="1:255" s="41" customFormat="1" ht="15" customHeight="1">
      <c r="A15" s="377" t="str">
        <f t="shared" si="0"/>
        <v>BNI - Efficient Product Rebates; Three Quarter Size Commercial Hot Food Holding Cabinet; COM-Other; Retail</v>
      </c>
      <c r="B15" s="42" t="s">
        <v>42</v>
      </c>
      <c r="C15" s="15" t="s">
        <v>29</v>
      </c>
      <c r="D15" s="15" t="s">
        <v>30</v>
      </c>
      <c r="E15" s="43">
        <v>12</v>
      </c>
      <c r="F15" s="44">
        <v>4411.098</v>
      </c>
      <c r="G15" s="35">
        <v>503.55048132931574</v>
      </c>
      <c r="H15" s="36">
        <v>1800</v>
      </c>
      <c r="I15" s="37">
        <v>0.26666666666666666</v>
      </c>
      <c r="J15" s="36">
        <v>141.155136</v>
      </c>
      <c r="K15" s="36">
        <v>621.15513599999997</v>
      </c>
      <c r="L15" s="36">
        <v>1320</v>
      </c>
      <c r="M15" s="36">
        <v>1941.1551359999999</v>
      </c>
      <c r="N15" s="36">
        <v>3305.985863250633</v>
      </c>
      <c r="O15" s="38">
        <v>0.82</v>
      </c>
      <c r="P15" s="38">
        <v>1.6763440609482247</v>
      </c>
      <c r="Q15" s="310">
        <f t="shared" si="1"/>
        <v>1.6763440609482247</v>
      </c>
      <c r="R15" s="311">
        <f t="shared" si="18"/>
        <v>0</v>
      </c>
      <c r="S15" s="311">
        <f t="shared" si="2"/>
        <v>0</v>
      </c>
      <c r="T15" s="310">
        <f t="shared" si="3"/>
        <v>1.6763440609482247</v>
      </c>
      <c r="U15" s="315">
        <f t="shared" si="4"/>
        <v>0</v>
      </c>
      <c r="V15" s="39">
        <v>0.14081644434106882</v>
      </c>
      <c r="W15" s="40">
        <v>1.2335508733110956</v>
      </c>
      <c r="X15" s="48" t="s">
        <v>40</v>
      </c>
      <c r="Y15" s="48" t="s">
        <v>512</v>
      </c>
      <c r="Z15" s="246" t="s">
        <v>40</v>
      </c>
      <c r="AA15" s="246"/>
      <c r="AB15" s="386">
        <v>0</v>
      </c>
      <c r="AC15" s="388">
        <v>0</v>
      </c>
      <c r="AD15" s="360">
        <f t="shared" si="5"/>
        <v>0</v>
      </c>
      <c r="AE15" s="360">
        <f t="shared" si="6"/>
        <v>0</v>
      </c>
      <c r="AF15" s="360">
        <f t="shared" si="7"/>
        <v>0</v>
      </c>
      <c r="AG15" s="360">
        <f t="shared" si="8"/>
        <v>0</v>
      </c>
      <c r="AH15" s="360">
        <f t="shared" si="9"/>
        <v>0</v>
      </c>
      <c r="AI15" s="360">
        <f t="shared" si="10"/>
        <v>0</v>
      </c>
      <c r="AJ15" s="360" t="s">
        <v>40</v>
      </c>
      <c r="AK15" s="360">
        <f t="shared" si="11"/>
        <v>0</v>
      </c>
      <c r="AL15" s="360">
        <f t="shared" si="12"/>
        <v>0</v>
      </c>
      <c r="AM15" s="360">
        <f t="shared" si="13"/>
        <v>0</v>
      </c>
      <c r="AN15" s="360">
        <f t="shared" si="14"/>
        <v>0</v>
      </c>
      <c r="AO15" s="294" t="s">
        <v>602</v>
      </c>
      <c r="AP15" s="282" t="s">
        <v>419</v>
      </c>
      <c r="AQ15" s="136" t="s">
        <v>40</v>
      </c>
      <c r="AR15" s="289"/>
      <c r="AS15" s="142"/>
      <c r="AT15" s="142"/>
      <c r="AU15" s="146"/>
      <c r="AV15" s="39"/>
      <c r="AW15" s="131" t="s">
        <v>284</v>
      </c>
      <c r="AX15" s="131"/>
      <c r="AY15" s="131"/>
      <c r="AZ15" s="48"/>
      <c r="BA15" s="48"/>
      <c r="BB15" s="241"/>
      <c r="BC15" s="56" t="s">
        <v>42</v>
      </c>
      <c r="BD15" s="52">
        <v>6.7230889257394129</v>
      </c>
      <c r="BE15" s="53">
        <v>58.894202694161429</v>
      </c>
      <c r="BF15" s="54">
        <v>6.7230889257394129</v>
      </c>
      <c r="BG15" s="53">
        <v>58.894202694161429</v>
      </c>
      <c r="BH15" s="450">
        <v>44139.441366824096</v>
      </c>
      <c r="BI15" s="347">
        <f t="shared" si="15"/>
        <v>0</v>
      </c>
      <c r="BJ15" s="347">
        <f t="shared" si="19"/>
        <v>44139.441366824096</v>
      </c>
      <c r="BK15" s="45">
        <v>26330.776834593609</v>
      </c>
      <c r="BL15" s="47">
        <v>16.282158865550922</v>
      </c>
      <c r="BM15" s="45">
        <v>17808.664532230487</v>
      </c>
      <c r="BN15" s="55">
        <v>1.6763440609482247</v>
      </c>
      <c r="BO15" s="47">
        <f t="shared" si="20"/>
        <v>1.6763440609482247</v>
      </c>
      <c r="BP15" s="45">
        <v>10113.74660450489</v>
      </c>
      <c r="BQ15" s="55">
        <v>4.364301686890534</v>
      </c>
      <c r="BR15" s="54">
        <v>5.5652471769799057</v>
      </c>
      <c r="BS15" s="53">
        <v>48.751518670135205</v>
      </c>
      <c r="BT15" s="54">
        <v>12.288336102719319</v>
      </c>
      <c r="BU15" s="53">
        <v>107.64572136429663</v>
      </c>
      <c r="BV15" s="450">
        <v>38769.383066019545</v>
      </c>
      <c r="BW15" s="347">
        <f t="shared" si="16"/>
        <v>0</v>
      </c>
      <c r="BX15" s="347">
        <f t="shared" si="21"/>
        <v>38769.383066019545</v>
      </c>
      <c r="BY15" s="45">
        <v>21796.124231733796</v>
      </c>
      <c r="BZ15" s="47">
        <v>13.478066356482078</v>
      </c>
      <c r="CA15" s="45">
        <v>16973.258834285749</v>
      </c>
      <c r="CB15" s="55">
        <v>1.778728302969284</v>
      </c>
      <c r="CC15" s="47">
        <f t="shared" si="22"/>
        <v>1.778728302969284</v>
      </c>
      <c r="CD15" s="45">
        <v>8371.9701406776494</v>
      </c>
      <c r="CE15" s="55">
        <v>4.6308553918088204</v>
      </c>
      <c r="CF15" s="52">
        <v>6.1002020418413778</v>
      </c>
      <c r="CG15" s="53">
        <v>53.437718806914482</v>
      </c>
      <c r="CH15" s="54">
        <v>18.388538144560698</v>
      </c>
      <c r="CI15" s="53">
        <v>161.08344017121112</v>
      </c>
      <c r="CJ15" s="450">
        <v>45280.674559262508</v>
      </c>
      <c r="CK15" s="347">
        <f t="shared" si="17"/>
        <v>0</v>
      </c>
      <c r="CL15" s="347">
        <f t="shared" si="23"/>
        <v>45280.674559262508</v>
      </c>
      <c r="CM15" s="45">
        <v>23891.258970963569</v>
      </c>
      <c r="CN15" s="47">
        <v>14.773634538278193</v>
      </c>
      <c r="CO15" s="45">
        <v>21389.41558829894</v>
      </c>
      <c r="CP15" s="55">
        <v>1.8952820617069506</v>
      </c>
      <c r="CQ15" s="47">
        <f t="shared" si="24"/>
        <v>1.8952820617069506</v>
      </c>
      <c r="CR15" s="45">
        <v>9176.7189708384885</v>
      </c>
      <c r="CS15" s="55">
        <v>4.9342989257003644</v>
      </c>
      <c r="CT15" s="239"/>
      <c r="CU15" s="239"/>
      <c r="CV15" s="239"/>
      <c r="CW15" s="239"/>
      <c r="CX15" s="239"/>
      <c r="CY15" s="239"/>
      <c r="CZ15" s="239"/>
      <c r="DA15" s="239"/>
      <c r="DB15" s="239"/>
      <c r="DC15" s="239"/>
      <c r="DD15" s="239"/>
      <c r="DE15" s="239"/>
      <c r="DF15" s="239"/>
      <c r="DG15" s="239"/>
      <c r="DH15" s="239"/>
      <c r="DI15" s="239"/>
      <c r="DJ15" s="239"/>
      <c r="DK15" s="239"/>
      <c r="DL15" s="239"/>
      <c r="DM15" s="239"/>
      <c r="DN15" s="239"/>
      <c r="DO15" s="239"/>
      <c r="DP15" s="239"/>
      <c r="DQ15" s="239"/>
      <c r="DR15" s="239"/>
      <c r="DS15" s="239"/>
      <c r="DT15" s="239"/>
      <c r="DU15" s="239"/>
      <c r="DV15" s="239"/>
      <c r="DW15" s="239"/>
      <c r="DX15" s="239"/>
      <c r="DY15" s="239"/>
      <c r="DZ15" s="239"/>
      <c r="EA15" s="239"/>
      <c r="EB15" s="239"/>
      <c r="EC15" s="239"/>
      <c r="ED15" s="239"/>
      <c r="EE15" s="239"/>
      <c r="EF15" s="239"/>
      <c r="EG15" s="239"/>
      <c r="EH15" s="239"/>
      <c r="EI15" s="239"/>
      <c r="EJ15" s="239"/>
      <c r="EK15" s="239"/>
      <c r="EL15" s="239"/>
      <c r="EM15" s="239"/>
      <c r="EN15" s="239"/>
      <c r="EO15" s="239"/>
      <c r="EP15" s="239"/>
      <c r="EQ15" s="239"/>
      <c r="ER15" s="239"/>
      <c r="ES15" s="239"/>
      <c r="ET15" s="239"/>
      <c r="EU15" s="239"/>
      <c r="EV15" s="239"/>
      <c r="EW15" s="239"/>
      <c r="EX15" s="239"/>
      <c r="EY15" s="239"/>
      <c r="EZ15" s="239"/>
      <c r="FA15" s="239"/>
      <c r="FB15" s="239"/>
      <c r="FC15" s="239"/>
      <c r="FD15" s="239"/>
      <c r="FE15" s="239"/>
      <c r="FF15" s="239"/>
      <c r="FG15" s="239"/>
      <c r="FH15" s="239"/>
      <c r="FI15" s="239"/>
      <c r="FJ15" s="239"/>
      <c r="FK15" s="239"/>
      <c r="FL15" s="239"/>
      <c r="FM15" s="239"/>
      <c r="FN15" s="239"/>
      <c r="FO15" s="239"/>
      <c r="FP15" s="239"/>
      <c r="FQ15" s="239"/>
      <c r="FR15" s="239"/>
      <c r="FS15" s="239"/>
      <c r="FT15" s="239"/>
      <c r="FU15" s="239"/>
      <c r="FV15" s="239"/>
      <c r="FW15" s="239"/>
      <c r="FX15" s="239"/>
      <c r="FY15" s="239"/>
      <c r="FZ15" s="239"/>
      <c r="GA15" s="239"/>
      <c r="GB15" s="239"/>
      <c r="GC15" s="239"/>
      <c r="GD15" s="239"/>
      <c r="GE15" s="239"/>
      <c r="GF15" s="239"/>
      <c r="GG15" s="239"/>
      <c r="GH15" s="239"/>
      <c r="GI15" s="239"/>
      <c r="GJ15" s="239"/>
      <c r="GK15" s="239"/>
      <c r="GL15" s="239"/>
      <c r="GM15" s="239"/>
      <c r="GN15" s="239"/>
      <c r="GO15" s="239"/>
      <c r="GP15" s="239"/>
      <c r="GQ15" s="239"/>
      <c r="GR15" s="239"/>
      <c r="GS15" s="239"/>
      <c r="GT15" s="239"/>
      <c r="GU15" s="239"/>
      <c r="GV15" s="239"/>
      <c r="GW15" s="239"/>
      <c r="GX15" s="239"/>
      <c r="GY15" s="239"/>
      <c r="GZ15" s="239"/>
      <c r="HA15" s="239"/>
      <c r="HB15" s="239"/>
      <c r="HC15" s="239"/>
      <c r="HD15" s="239"/>
      <c r="HE15" s="239"/>
      <c r="HF15" s="239"/>
      <c r="HG15" s="239"/>
      <c r="HH15" s="239"/>
      <c r="HI15" s="239"/>
      <c r="HJ15" s="239"/>
      <c r="HK15" s="239"/>
      <c r="HL15" s="239"/>
      <c r="HM15" s="239"/>
      <c r="HN15" s="239"/>
      <c r="HO15" s="239"/>
      <c r="HP15" s="239"/>
      <c r="HQ15" s="239"/>
      <c r="HR15" s="239"/>
      <c r="HS15" s="239"/>
      <c r="HT15" s="239"/>
      <c r="HU15" s="239"/>
      <c r="HV15" s="239"/>
      <c r="HW15" s="239"/>
      <c r="HX15" s="239"/>
      <c r="HY15" s="239"/>
      <c r="HZ15" s="239"/>
      <c r="IA15" s="239"/>
      <c r="IB15" s="239"/>
      <c r="IC15" s="239"/>
      <c r="ID15" s="239"/>
      <c r="IE15" s="239"/>
      <c r="IF15" s="239"/>
      <c r="IG15" s="239"/>
      <c r="IH15" s="239"/>
      <c r="II15" s="239"/>
      <c r="IJ15" s="239"/>
      <c r="IK15" s="239"/>
      <c r="IL15" s="239"/>
      <c r="IM15" s="239"/>
      <c r="IN15" s="239"/>
      <c r="IO15" s="239"/>
      <c r="IP15" s="239"/>
      <c r="IQ15" s="239"/>
      <c r="IR15" s="239"/>
      <c r="IS15" s="239"/>
      <c r="IT15" s="239"/>
      <c r="IU15" s="239"/>
    </row>
    <row r="16" spans="1:255" s="41" customFormat="1" ht="15" customHeight="1">
      <c r="A16" s="377" t="str">
        <f t="shared" si="0"/>
        <v>BNI - Efficient Product Rebates; Half Size Commercial Hot Food Holding Cabinet; COM-Other; Retail</v>
      </c>
      <c r="B16" s="42" t="s">
        <v>43</v>
      </c>
      <c r="C16" s="15" t="s">
        <v>29</v>
      </c>
      <c r="D16" s="15" t="s">
        <v>30</v>
      </c>
      <c r="E16" s="43">
        <v>12</v>
      </c>
      <c r="F16" s="44">
        <v>2940.732</v>
      </c>
      <c r="G16" s="35">
        <v>335.70032088621048</v>
      </c>
      <c r="H16" s="36">
        <v>1500</v>
      </c>
      <c r="I16" s="37">
        <v>0.21333333333333335</v>
      </c>
      <c r="J16" s="36">
        <v>94.103424000000004</v>
      </c>
      <c r="K16" s="36">
        <v>414.10342400000002</v>
      </c>
      <c r="L16" s="36">
        <v>1180</v>
      </c>
      <c r="M16" s="36">
        <v>1594.1034239999999</v>
      </c>
      <c r="N16" s="36">
        <v>2203.990575500422</v>
      </c>
      <c r="O16" s="38">
        <v>0.82</v>
      </c>
      <c r="P16" s="38">
        <v>1.3649026497120107</v>
      </c>
      <c r="Q16" s="310">
        <f t="shared" si="1"/>
        <v>1.3649026497120107</v>
      </c>
      <c r="R16" s="311">
        <f t="shared" si="18"/>
        <v>0</v>
      </c>
      <c r="S16" s="311">
        <f t="shared" si="2"/>
        <v>0</v>
      </c>
      <c r="T16" s="310">
        <f t="shared" si="3"/>
        <v>1.3649026497120107</v>
      </c>
      <c r="U16" s="315">
        <f t="shared" si="4"/>
        <v>0</v>
      </c>
      <c r="V16" s="39">
        <v>0.14081644434106882</v>
      </c>
      <c r="W16" s="40">
        <v>1.2335508733110958</v>
      </c>
      <c r="X16" s="48" t="s">
        <v>40</v>
      </c>
      <c r="Y16" s="48" t="s">
        <v>512</v>
      </c>
      <c r="Z16" s="246" t="s">
        <v>40</v>
      </c>
      <c r="AA16" s="246"/>
      <c r="AB16" s="386">
        <v>0</v>
      </c>
      <c r="AC16" s="388">
        <v>0</v>
      </c>
      <c r="AD16" s="360">
        <f t="shared" si="5"/>
        <v>0</v>
      </c>
      <c r="AE16" s="360">
        <f t="shared" si="6"/>
        <v>0</v>
      </c>
      <c r="AF16" s="360">
        <f t="shared" si="7"/>
        <v>0</v>
      </c>
      <c r="AG16" s="360">
        <f t="shared" si="8"/>
        <v>0</v>
      </c>
      <c r="AH16" s="360">
        <f t="shared" si="9"/>
        <v>0</v>
      </c>
      <c r="AI16" s="360">
        <f t="shared" si="10"/>
        <v>0</v>
      </c>
      <c r="AJ16" s="360" t="s">
        <v>40</v>
      </c>
      <c r="AK16" s="360">
        <f t="shared" si="11"/>
        <v>0</v>
      </c>
      <c r="AL16" s="360">
        <f t="shared" si="12"/>
        <v>0</v>
      </c>
      <c r="AM16" s="360">
        <f t="shared" si="13"/>
        <v>0</v>
      </c>
      <c r="AN16" s="360">
        <f t="shared" si="14"/>
        <v>0</v>
      </c>
      <c r="AO16" s="294" t="s">
        <v>602</v>
      </c>
      <c r="AP16" s="282" t="s">
        <v>419</v>
      </c>
      <c r="AQ16" s="136" t="s">
        <v>40</v>
      </c>
      <c r="AR16" s="289"/>
      <c r="AS16" s="142"/>
      <c r="AT16" s="142"/>
      <c r="AU16" s="146"/>
      <c r="AV16" s="39"/>
      <c r="AW16" s="131" t="s">
        <v>284</v>
      </c>
      <c r="AX16" s="131"/>
      <c r="AY16" s="131"/>
      <c r="AZ16" s="48"/>
      <c r="BA16" s="48"/>
      <c r="BB16" s="241"/>
      <c r="BC16" s="56" t="s">
        <v>43</v>
      </c>
      <c r="BD16" s="52">
        <v>4.646254613506243</v>
      </c>
      <c r="BE16" s="53">
        <v>40.701151509226008</v>
      </c>
      <c r="BF16" s="54">
        <v>4.646254613506243</v>
      </c>
      <c r="BG16" s="53">
        <v>40.701151509226008</v>
      </c>
      <c r="BH16" s="450">
        <v>30504.294283990821</v>
      </c>
      <c r="BI16" s="347">
        <f t="shared" si="15"/>
        <v>0</v>
      </c>
      <c r="BJ16" s="347">
        <f t="shared" si="19"/>
        <v>30504.294283990821</v>
      </c>
      <c r="BK16" s="45">
        <v>22349.062250283649</v>
      </c>
      <c r="BL16" s="47">
        <v>16.878637910903588</v>
      </c>
      <c r="BM16" s="45">
        <v>8155.2320337071724</v>
      </c>
      <c r="BN16" s="55">
        <v>1.3649026497120105</v>
      </c>
      <c r="BO16" s="47">
        <f t="shared" si="20"/>
        <v>1.3649026497120105</v>
      </c>
      <c r="BP16" s="45">
        <v>6989.501751361383</v>
      </c>
      <c r="BQ16" s="55">
        <v>4.3643016868905331</v>
      </c>
      <c r="BR16" s="54">
        <v>3.8931218326885033</v>
      </c>
      <c r="BS16" s="53">
        <v>34.103714655567373</v>
      </c>
      <c r="BT16" s="54">
        <v>8.5393764461947459</v>
      </c>
      <c r="BU16" s="53">
        <v>74.804866164793381</v>
      </c>
      <c r="BV16" s="450">
        <v>27120.795690532475</v>
      </c>
      <c r="BW16" s="347">
        <f t="shared" si="16"/>
        <v>0</v>
      </c>
      <c r="BX16" s="347">
        <f t="shared" si="21"/>
        <v>27120.795690532475</v>
      </c>
      <c r="BY16" s="45">
        <v>18726.39995530387</v>
      </c>
      <c r="BZ16" s="47">
        <v>14.142701858388874</v>
      </c>
      <c r="CA16" s="45">
        <v>8394.3957352286052</v>
      </c>
      <c r="CB16" s="55">
        <v>1.4482653235680285</v>
      </c>
      <c r="CC16" s="47">
        <f t="shared" si="22"/>
        <v>1.4482653235680285</v>
      </c>
      <c r="CD16" s="45">
        <v>5856.541264169995</v>
      </c>
      <c r="CE16" s="55">
        <v>4.6308553918088222</v>
      </c>
      <c r="CF16" s="52">
        <v>4.3598024424366253</v>
      </c>
      <c r="CG16" s="53">
        <v>38.191832889243415</v>
      </c>
      <c r="CH16" s="54">
        <v>12.899178888631372</v>
      </c>
      <c r="CI16" s="53">
        <v>112.9966990540368</v>
      </c>
      <c r="CJ16" s="450">
        <v>32362.009353883619</v>
      </c>
      <c r="CK16" s="347">
        <f t="shared" si="17"/>
        <v>0</v>
      </c>
      <c r="CL16" s="347">
        <f t="shared" si="23"/>
        <v>32362.009353883619</v>
      </c>
      <c r="CM16" s="45">
        <v>20971.19169959236</v>
      </c>
      <c r="CN16" s="47">
        <v>15.838031470563102</v>
      </c>
      <c r="CO16" s="45">
        <v>11390.817654291259</v>
      </c>
      <c r="CP16" s="55">
        <v>1.5431650150102187</v>
      </c>
      <c r="CQ16" s="47">
        <f t="shared" si="24"/>
        <v>1.5431650150102187</v>
      </c>
      <c r="CR16" s="45">
        <v>6558.5830613799353</v>
      </c>
      <c r="CS16" s="55">
        <v>4.9342989257003635</v>
      </c>
      <c r="CT16" s="239"/>
      <c r="CU16" s="239"/>
      <c r="CV16" s="239"/>
      <c r="CW16" s="239"/>
      <c r="CX16" s="239"/>
      <c r="CY16" s="239"/>
      <c r="CZ16" s="239"/>
      <c r="DA16" s="239"/>
      <c r="DB16" s="239"/>
      <c r="DC16" s="239"/>
      <c r="DD16" s="239"/>
      <c r="DE16" s="239"/>
      <c r="DF16" s="239"/>
      <c r="DG16" s="239"/>
      <c r="DH16" s="239"/>
      <c r="DI16" s="239"/>
      <c r="DJ16" s="239"/>
      <c r="DK16" s="239"/>
      <c r="DL16" s="239"/>
      <c r="DM16" s="239"/>
      <c r="DN16" s="239"/>
      <c r="DO16" s="239"/>
      <c r="DP16" s="239"/>
      <c r="DQ16" s="239"/>
      <c r="DR16" s="239"/>
      <c r="DS16" s="239"/>
      <c r="DT16" s="239"/>
      <c r="DU16" s="239"/>
      <c r="DV16" s="239"/>
      <c r="DW16" s="239"/>
      <c r="DX16" s="239"/>
      <c r="DY16" s="239"/>
      <c r="DZ16" s="239"/>
      <c r="EA16" s="239"/>
      <c r="EB16" s="239"/>
      <c r="EC16" s="239"/>
      <c r="ED16" s="239"/>
      <c r="EE16" s="239"/>
      <c r="EF16" s="239"/>
      <c r="EG16" s="239"/>
      <c r="EH16" s="239"/>
      <c r="EI16" s="239"/>
      <c r="EJ16" s="239"/>
      <c r="EK16" s="239"/>
      <c r="EL16" s="239"/>
      <c r="EM16" s="239"/>
      <c r="EN16" s="239"/>
      <c r="EO16" s="239"/>
      <c r="EP16" s="239"/>
      <c r="EQ16" s="239"/>
      <c r="ER16" s="239"/>
      <c r="ES16" s="239"/>
      <c r="ET16" s="239"/>
      <c r="EU16" s="239"/>
      <c r="EV16" s="239"/>
      <c r="EW16" s="239"/>
      <c r="EX16" s="239"/>
      <c r="EY16" s="239"/>
      <c r="EZ16" s="239"/>
      <c r="FA16" s="239"/>
      <c r="FB16" s="239"/>
      <c r="FC16" s="239"/>
      <c r="FD16" s="239"/>
      <c r="FE16" s="239"/>
      <c r="FF16" s="239"/>
      <c r="FG16" s="239"/>
      <c r="FH16" s="239"/>
      <c r="FI16" s="239"/>
      <c r="FJ16" s="239"/>
      <c r="FK16" s="239"/>
      <c r="FL16" s="239"/>
      <c r="FM16" s="239"/>
      <c r="FN16" s="239"/>
      <c r="FO16" s="239"/>
      <c r="FP16" s="239"/>
      <c r="FQ16" s="239"/>
      <c r="FR16" s="239"/>
      <c r="FS16" s="239"/>
      <c r="FT16" s="239"/>
      <c r="FU16" s="239"/>
      <c r="FV16" s="239"/>
      <c r="FW16" s="239"/>
      <c r="FX16" s="239"/>
      <c r="FY16" s="239"/>
      <c r="FZ16" s="239"/>
      <c r="GA16" s="239"/>
      <c r="GB16" s="239"/>
      <c r="GC16" s="239"/>
      <c r="GD16" s="239"/>
      <c r="GE16" s="239"/>
      <c r="GF16" s="239"/>
      <c r="GG16" s="239"/>
      <c r="GH16" s="239"/>
      <c r="GI16" s="239"/>
      <c r="GJ16" s="239"/>
      <c r="GK16" s="239"/>
      <c r="GL16" s="239"/>
      <c r="GM16" s="239"/>
      <c r="GN16" s="239"/>
      <c r="GO16" s="239"/>
      <c r="GP16" s="239"/>
      <c r="GQ16" s="239"/>
      <c r="GR16" s="239"/>
      <c r="GS16" s="239"/>
      <c r="GT16" s="239"/>
      <c r="GU16" s="239"/>
      <c r="GV16" s="239"/>
      <c r="GW16" s="239"/>
      <c r="GX16" s="239"/>
      <c r="GY16" s="239"/>
      <c r="GZ16" s="239"/>
      <c r="HA16" s="239"/>
      <c r="HB16" s="239"/>
      <c r="HC16" s="239"/>
      <c r="HD16" s="239"/>
      <c r="HE16" s="239"/>
      <c r="HF16" s="239"/>
      <c r="HG16" s="239"/>
      <c r="HH16" s="239"/>
      <c r="HI16" s="239"/>
      <c r="HJ16" s="239"/>
      <c r="HK16" s="239"/>
      <c r="HL16" s="239"/>
      <c r="HM16" s="239"/>
      <c r="HN16" s="239"/>
      <c r="HO16" s="239"/>
      <c r="HP16" s="239"/>
      <c r="HQ16" s="239"/>
      <c r="HR16" s="239"/>
      <c r="HS16" s="239"/>
      <c r="HT16" s="239"/>
      <c r="HU16" s="239"/>
      <c r="HV16" s="239"/>
      <c r="HW16" s="239"/>
      <c r="HX16" s="239"/>
      <c r="HY16" s="239"/>
      <c r="HZ16" s="239"/>
      <c r="IA16" s="239"/>
      <c r="IB16" s="239"/>
      <c r="IC16" s="239"/>
      <c r="ID16" s="239"/>
      <c r="IE16" s="239"/>
      <c r="IF16" s="239"/>
      <c r="IG16" s="239"/>
      <c r="IH16" s="239"/>
      <c r="II16" s="239"/>
      <c r="IJ16" s="239"/>
      <c r="IK16" s="239"/>
      <c r="IL16" s="239"/>
      <c r="IM16" s="239"/>
      <c r="IN16" s="239"/>
      <c r="IO16" s="239"/>
      <c r="IP16" s="239"/>
      <c r="IQ16" s="239"/>
      <c r="IR16" s="239"/>
      <c r="IS16" s="239"/>
      <c r="IT16" s="239"/>
      <c r="IU16" s="239"/>
    </row>
    <row r="17" spans="1:255" s="34" customFormat="1" ht="15" customHeight="1">
      <c r="A17" s="377" t="str">
        <f t="shared" si="0"/>
        <v>BNI - Efficient Product Rebates; Commercial Electric Griddle; COM-Other; Retail</v>
      </c>
      <c r="B17" s="42" t="s">
        <v>44</v>
      </c>
      <c r="C17" s="15" t="s">
        <v>29</v>
      </c>
      <c r="D17" s="15" t="s">
        <v>30</v>
      </c>
      <c r="E17" s="43">
        <v>12</v>
      </c>
      <c r="F17" s="44">
        <v>2904.1074989011004</v>
      </c>
      <c r="G17" s="28">
        <v>331.51943776894649</v>
      </c>
      <c r="H17" s="29">
        <v>600</v>
      </c>
      <c r="I17" s="30">
        <v>0.75</v>
      </c>
      <c r="J17" s="29">
        <v>92.931439964835221</v>
      </c>
      <c r="K17" s="29">
        <v>542.93143996483525</v>
      </c>
      <c r="L17" s="29">
        <v>150</v>
      </c>
      <c r="M17" s="29">
        <v>692.93143996483525</v>
      </c>
      <c r="N17" s="29">
        <v>2176.5416086260589</v>
      </c>
      <c r="O17" s="31">
        <v>0.82</v>
      </c>
      <c r="P17" s="31">
        <v>3.0512364306843627</v>
      </c>
      <c r="Q17" s="310">
        <f t="shared" si="1"/>
        <v>3.0512364306843627</v>
      </c>
      <c r="R17" s="311">
        <f t="shared" si="18"/>
        <v>0</v>
      </c>
      <c r="S17" s="311">
        <f t="shared" si="2"/>
        <v>0</v>
      </c>
      <c r="T17" s="310">
        <f t="shared" si="3"/>
        <v>3.0512364306843627</v>
      </c>
      <c r="U17" s="315">
        <f t="shared" si="4"/>
        <v>0</v>
      </c>
      <c r="V17" s="32">
        <v>0.18695294171110324</v>
      </c>
      <c r="W17" s="33">
        <v>1.6377062039518571</v>
      </c>
      <c r="X17" s="48" t="s">
        <v>40</v>
      </c>
      <c r="Y17" s="48" t="s">
        <v>513</v>
      </c>
      <c r="Z17" s="246" t="s">
        <v>40</v>
      </c>
      <c r="AA17" s="246"/>
      <c r="AB17" s="386">
        <v>0</v>
      </c>
      <c r="AC17" s="388">
        <v>0</v>
      </c>
      <c r="AD17" s="360">
        <f t="shared" si="5"/>
        <v>0</v>
      </c>
      <c r="AE17" s="360">
        <f t="shared" si="6"/>
        <v>0</v>
      </c>
      <c r="AF17" s="360">
        <f t="shared" si="7"/>
        <v>0</v>
      </c>
      <c r="AG17" s="360">
        <f t="shared" si="8"/>
        <v>0</v>
      </c>
      <c r="AH17" s="360">
        <f t="shared" si="9"/>
        <v>0</v>
      </c>
      <c r="AI17" s="360">
        <f t="shared" si="10"/>
        <v>0</v>
      </c>
      <c r="AJ17" s="360" t="s">
        <v>40</v>
      </c>
      <c r="AK17" s="360">
        <f t="shared" si="11"/>
        <v>0</v>
      </c>
      <c r="AL17" s="360">
        <f t="shared" si="12"/>
        <v>0</v>
      </c>
      <c r="AM17" s="360">
        <f t="shared" si="13"/>
        <v>0</v>
      </c>
      <c r="AN17" s="360">
        <f t="shared" si="14"/>
        <v>0</v>
      </c>
      <c r="AO17" s="294" t="s">
        <v>603</v>
      </c>
      <c r="AP17" s="282" t="s">
        <v>419</v>
      </c>
      <c r="AQ17" s="136" t="s">
        <v>40</v>
      </c>
      <c r="AR17" s="289"/>
      <c r="AS17" s="142"/>
      <c r="AT17" s="142"/>
      <c r="AU17" s="146"/>
      <c r="AV17" s="32"/>
      <c r="AW17" s="131" t="s">
        <v>284</v>
      </c>
      <c r="AX17" s="131"/>
      <c r="AY17" s="131"/>
      <c r="AZ17" s="48"/>
      <c r="BA17" s="48"/>
      <c r="BB17" s="241"/>
      <c r="BC17" s="56" t="s">
        <v>44</v>
      </c>
      <c r="BD17" s="52">
        <v>9.7125823208126647</v>
      </c>
      <c r="BE17" s="53">
        <v>85.082139802688843</v>
      </c>
      <c r="BF17" s="54">
        <v>9.7125823208126647</v>
      </c>
      <c r="BG17" s="53">
        <v>85.082139802688843</v>
      </c>
      <c r="BH17" s="450">
        <v>63766.516047207129</v>
      </c>
      <c r="BI17" s="347">
        <f t="shared" si="15"/>
        <v>0</v>
      </c>
      <c r="BJ17" s="347">
        <f t="shared" si="19"/>
        <v>63766.516047207129</v>
      </c>
      <c r="BK17" s="45">
        <v>20898.582425782366</v>
      </c>
      <c r="BL17" s="47">
        <v>35.728259754747917</v>
      </c>
      <c r="BM17" s="45">
        <v>42867.93362142476</v>
      </c>
      <c r="BN17" s="55">
        <v>3.0512364306843622</v>
      </c>
      <c r="BO17" s="47">
        <f t="shared" si="20"/>
        <v>3.0512364306843622</v>
      </c>
      <c r="BP17" s="45">
        <v>19397.995516082956</v>
      </c>
      <c r="BQ17" s="55">
        <v>3.2872734708252747</v>
      </c>
      <c r="BR17" s="54">
        <v>7.7243402132668324</v>
      </c>
      <c r="BS17" s="53">
        <v>67.665155588993855</v>
      </c>
      <c r="BT17" s="54">
        <v>17.436922534079496</v>
      </c>
      <c r="BU17" s="53">
        <v>152.74729539168271</v>
      </c>
      <c r="BV17" s="450">
        <v>53810.351119555002</v>
      </c>
      <c r="BW17" s="347">
        <f t="shared" si="16"/>
        <v>0</v>
      </c>
      <c r="BX17" s="347">
        <f t="shared" si="21"/>
        <v>53810.351119555002</v>
      </c>
      <c r="BY17" s="45">
        <v>16620.477984091402</v>
      </c>
      <c r="BZ17" s="47">
        <v>28.414403549740101</v>
      </c>
      <c r="CA17" s="45">
        <v>37189.873135463597</v>
      </c>
      <c r="CB17" s="55">
        <v>3.2375934778205884</v>
      </c>
      <c r="CC17" s="47">
        <f t="shared" si="22"/>
        <v>3.2375934778205884</v>
      </c>
      <c r="CD17" s="45">
        <v>15427.073035002317</v>
      </c>
      <c r="CE17" s="55">
        <v>3.4880466954078253</v>
      </c>
      <c r="CF17" s="52">
        <v>7.9776443721629571</v>
      </c>
      <c r="CG17" s="53">
        <v>69.884097899899217</v>
      </c>
      <c r="CH17" s="54">
        <v>25.414566906242456</v>
      </c>
      <c r="CI17" s="53">
        <v>222.63139329158193</v>
      </c>
      <c r="CJ17" s="450">
        <v>59216.582678366976</v>
      </c>
      <c r="CK17" s="347">
        <f t="shared" si="17"/>
        <v>0</v>
      </c>
      <c r="CL17" s="347">
        <f t="shared" si="23"/>
        <v>59216.582678366976</v>
      </c>
      <c r="CM17" s="45">
        <v>17165.513039510239</v>
      </c>
      <c r="CN17" s="47">
        <v>29.346196608173759</v>
      </c>
      <c r="CO17" s="45">
        <v>42051.069638856738</v>
      </c>
      <c r="CP17" s="55">
        <v>3.4497414986704369</v>
      </c>
      <c r="CQ17" s="47">
        <f t="shared" si="24"/>
        <v>3.4497414986704369</v>
      </c>
      <c r="CR17" s="45">
        <v>15932.972781966942</v>
      </c>
      <c r="CS17" s="55">
        <v>3.7166060275574404</v>
      </c>
      <c r="CT17" s="239"/>
      <c r="CU17" s="239"/>
      <c r="CV17" s="239"/>
      <c r="CW17" s="239"/>
      <c r="CX17" s="239"/>
      <c r="CY17" s="239"/>
      <c r="CZ17" s="239"/>
      <c r="DA17" s="239"/>
      <c r="DB17" s="239"/>
      <c r="DC17" s="239"/>
      <c r="DD17" s="239"/>
      <c r="DE17" s="239"/>
      <c r="DF17" s="239"/>
      <c r="DG17" s="239"/>
      <c r="DH17" s="239"/>
      <c r="DI17" s="239"/>
      <c r="DJ17" s="239"/>
      <c r="DK17" s="239"/>
      <c r="DL17" s="239"/>
      <c r="DM17" s="239"/>
      <c r="DN17" s="239"/>
      <c r="DO17" s="239"/>
      <c r="DP17" s="239"/>
      <c r="DQ17" s="239"/>
      <c r="DR17" s="239"/>
      <c r="DS17" s="239"/>
      <c r="DT17" s="239"/>
      <c r="DU17" s="239"/>
      <c r="DV17" s="239"/>
      <c r="DW17" s="239"/>
      <c r="DX17" s="239"/>
      <c r="DY17" s="239"/>
      <c r="DZ17" s="239"/>
      <c r="EA17" s="239"/>
      <c r="EB17" s="239"/>
      <c r="EC17" s="239"/>
      <c r="ED17" s="239"/>
      <c r="EE17" s="239"/>
      <c r="EF17" s="239"/>
      <c r="EG17" s="239"/>
      <c r="EH17" s="239"/>
      <c r="EI17" s="239"/>
      <c r="EJ17" s="239"/>
      <c r="EK17" s="239"/>
      <c r="EL17" s="239"/>
      <c r="EM17" s="239"/>
      <c r="EN17" s="239"/>
      <c r="EO17" s="239"/>
      <c r="EP17" s="239"/>
      <c r="EQ17" s="239"/>
      <c r="ER17" s="239"/>
      <c r="ES17" s="239"/>
      <c r="ET17" s="239"/>
      <c r="EU17" s="239"/>
      <c r="EV17" s="239"/>
      <c r="EW17" s="239"/>
      <c r="EX17" s="239"/>
      <c r="EY17" s="239"/>
      <c r="EZ17" s="239"/>
      <c r="FA17" s="239"/>
      <c r="FB17" s="239"/>
      <c r="FC17" s="239"/>
      <c r="FD17" s="239"/>
      <c r="FE17" s="239"/>
      <c r="FF17" s="239"/>
      <c r="FG17" s="239"/>
      <c r="FH17" s="239"/>
      <c r="FI17" s="239"/>
      <c r="FJ17" s="239"/>
      <c r="FK17" s="239"/>
      <c r="FL17" s="239"/>
      <c r="FM17" s="239"/>
      <c r="FN17" s="239"/>
      <c r="FO17" s="239"/>
      <c r="FP17" s="239"/>
      <c r="FQ17" s="239"/>
      <c r="FR17" s="239"/>
      <c r="FS17" s="239"/>
      <c r="FT17" s="239"/>
      <c r="FU17" s="239"/>
      <c r="FV17" s="239"/>
      <c r="FW17" s="239"/>
      <c r="FX17" s="239"/>
      <c r="FY17" s="239"/>
      <c r="FZ17" s="239"/>
      <c r="GA17" s="239"/>
      <c r="GB17" s="239"/>
      <c r="GC17" s="239"/>
      <c r="GD17" s="239"/>
      <c r="GE17" s="239"/>
      <c r="GF17" s="239"/>
      <c r="GG17" s="239"/>
      <c r="GH17" s="239"/>
      <c r="GI17" s="239"/>
      <c r="GJ17" s="239"/>
      <c r="GK17" s="239"/>
      <c r="GL17" s="239"/>
      <c r="GM17" s="239"/>
      <c r="GN17" s="239"/>
      <c r="GO17" s="239"/>
      <c r="GP17" s="239"/>
      <c r="GQ17" s="239"/>
      <c r="GR17" s="239"/>
      <c r="GS17" s="239"/>
      <c r="GT17" s="239"/>
      <c r="GU17" s="239"/>
      <c r="GV17" s="239"/>
      <c r="GW17" s="239"/>
      <c r="GX17" s="239"/>
      <c r="GY17" s="239"/>
      <c r="GZ17" s="239"/>
      <c r="HA17" s="239"/>
      <c r="HB17" s="239"/>
      <c r="HC17" s="239"/>
      <c r="HD17" s="239"/>
      <c r="HE17" s="239"/>
      <c r="HF17" s="239"/>
      <c r="HG17" s="239"/>
      <c r="HH17" s="239"/>
      <c r="HI17" s="239"/>
      <c r="HJ17" s="239"/>
      <c r="HK17" s="239"/>
      <c r="HL17" s="239"/>
      <c r="HM17" s="239"/>
      <c r="HN17" s="239"/>
      <c r="HO17" s="239"/>
      <c r="HP17" s="239"/>
      <c r="HQ17" s="239"/>
      <c r="HR17" s="239"/>
      <c r="HS17" s="239"/>
      <c r="HT17" s="239"/>
      <c r="HU17" s="239"/>
      <c r="HV17" s="239"/>
      <c r="HW17" s="239"/>
      <c r="HX17" s="239"/>
      <c r="HY17" s="239"/>
      <c r="HZ17" s="239"/>
      <c r="IA17" s="239"/>
      <c r="IB17" s="239"/>
      <c r="IC17" s="239"/>
      <c r="ID17" s="239"/>
      <c r="IE17" s="239"/>
      <c r="IF17" s="239"/>
      <c r="IG17" s="239"/>
      <c r="IH17" s="239"/>
      <c r="II17" s="239"/>
      <c r="IJ17" s="239"/>
      <c r="IK17" s="239"/>
      <c r="IL17" s="239"/>
      <c r="IM17" s="239"/>
      <c r="IN17" s="239"/>
      <c r="IO17" s="239"/>
      <c r="IP17" s="239"/>
      <c r="IQ17" s="239"/>
      <c r="IR17" s="239"/>
      <c r="IS17" s="239"/>
      <c r="IT17" s="239"/>
      <c r="IU17" s="239"/>
    </row>
    <row r="18" spans="1:255" s="23" customFormat="1" ht="15" customHeight="1">
      <c r="A18" s="377" t="str">
        <f t="shared" si="0"/>
        <v>BNI - Efficient Product Rebates; Solid Door Commercial Refrigerator; COM-Refrigeration; Retail</v>
      </c>
      <c r="B18" s="42" t="s">
        <v>45</v>
      </c>
      <c r="C18" s="15" t="s">
        <v>46</v>
      </c>
      <c r="D18" s="15" t="s">
        <v>30</v>
      </c>
      <c r="E18" s="43">
        <v>12</v>
      </c>
      <c r="F18" s="44">
        <v>680.86114500000019</v>
      </c>
      <c r="G18" s="44">
        <v>68.983496008738072</v>
      </c>
      <c r="H18" s="45">
        <v>350</v>
      </c>
      <c r="I18" s="46">
        <v>0.24857142857142858</v>
      </c>
      <c r="J18" s="45">
        <v>21.787556640000005</v>
      </c>
      <c r="K18" s="45">
        <v>108.78755664000001</v>
      </c>
      <c r="L18" s="45">
        <v>263</v>
      </c>
      <c r="M18" s="45">
        <v>371.78755663999999</v>
      </c>
      <c r="N18" s="45">
        <v>498.76165854350609</v>
      </c>
      <c r="O18" s="47">
        <v>0.82</v>
      </c>
      <c r="P18" s="47">
        <v>1.3244852365682911</v>
      </c>
      <c r="Q18" s="310">
        <f t="shared" si="1"/>
        <v>1.3244852365682911</v>
      </c>
      <c r="R18" s="311">
        <f t="shared" si="18"/>
        <v>0</v>
      </c>
      <c r="S18" s="311">
        <f t="shared" si="2"/>
        <v>323.52201355228925</v>
      </c>
      <c r="T18" s="310">
        <f t="shared" si="3"/>
        <v>2.1836132856371959</v>
      </c>
      <c r="U18" s="315">
        <f t="shared" si="4"/>
        <v>0.64865052878572249</v>
      </c>
      <c r="V18" s="48">
        <v>0.1597793580069839</v>
      </c>
      <c r="W18" s="49">
        <v>1.5770084575913634</v>
      </c>
      <c r="X18" s="48" t="s">
        <v>47</v>
      </c>
      <c r="Y18" s="48" t="s">
        <v>514</v>
      </c>
      <c r="Z18" s="247">
        <f>0.047*Z3</f>
        <v>5.9220000000000002E-2</v>
      </c>
      <c r="AA18" s="247"/>
      <c r="AB18" s="386">
        <v>0</v>
      </c>
      <c r="AC18" s="388">
        <f>Z18*F18</f>
        <v>40.320597006900016</v>
      </c>
      <c r="AD18" s="337">
        <f t="shared" ref="AD18:AE23" si="25">AC18*0</f>
        <v>0</v>
      </c>
      <c r="AE18" s="337">
        <f t="shared" si="25"/>
        <v>0</v>
      </c>
      <c r="AF18" s="337">
        <f t="shared" ref="AF18:AH18" si="26">AE18*0</f>
        <v>0</v>
      </c>
      <c r="AG18" s="337">
        <f t="shared" si="26"/>
        <v>0</v>
      </c>
      <c r="AH18" s="337">
        <f t="shared" si="26"/>
        <v>0</v>
      </c>
      <c r="AI18" s="337">
        <f t="shared" ref="AI18:AI23" si="27">AC18*1</f>
        <v>40.320597006900016</v>
      </c>
      <c r="AJ18" s="337" t="s">
        <v>40</v>
      </c>
      <c r="AK18" s="337">
        <f t="shared" ref="AK18:AK23" si="28">AI18*0</f>
        <v>0</v>
      </c>
      <c r="AL18" s="337">
        <f t="shared" ref="AL18:AM18" si="29">AK18*0</f>
        <v>0</v>
      </c>
      <c r="AM18" s="337">
        <f t="shared" si="29"/>
        <v>0</v>
      </c>
      <c r="AN18" s="337">
        <f t="shared" si="14"/>
        <v>40.320597006900016</v>
      </c>
      <c r="AO18" s="294" t="s">
        <v>604</v>
      </c>
      <c r="AP18" s="282" t="s">
        <v>340</v>
      </c>
      <c r="AQ18" s="136" t="s">
        <v>47</v>
      </c>
      <c r="AR18" s="289"/>
      <c r="AS18" s="142"/>
      <c r="AT18" s="142" t="s">
        <v>219</v>
      </c>
      <c r="AU18" s="146"/>
      <c r="AV18" s="48"/>
      <c r="AW18" s="131" t="s">
        <v>284</v>
      </c>
      <c r="AX18" s="131"/>
      <c r="AY18" s="131"/>
      <c r="AZ18" s="48"/>
      <c r="BA18" s="48"/>
      <c r="BB18" s="241"/>
      <c r="BC18" s="56" t="s">
        <v>45</v>
      </c>
      <c r="BD18" s="52">
        <v>0.57054406927773771</v>
      </c>
      <c r="BE18" s="53">
        <v>5.6312206651891623</v>
      </c>
      <c r="BF18" s="54">
        <v>0.57054406927773771</v>
      </c>
      <c r="BG18" s="53">
        <v>5.6312206651891623</v>
      </c>
      <c r="BH18" s="450">
        <v>4125.124453377658</v>
      </c>
      <c r="BI18" s="347">
        <f t="shared" si="15"/>
        <v>2675.7641579903325</v>
      </c>
      <c r="BJ18" s="347">
        <f t="shared" si="19"/>
        <v>6800.888611367991</v>
      </c>
      <c r="BK18" s="45">
        <v>3114.5114641411592</v>
      </c>
      <c r="BL18" s="47">
        <v>10.086259621440034</v>
      </c>
      <c r="BM18" s="45">
        <v>1010.6129892364988</v>
      </c>
      <c r="BN18" s="55">
        <v>1.3244852365682911</v>
      </c>
      <c r="BO18" s="47">
        <f t="shared" si="20"/>
        <v>2.1836132856371959</v>
      </c>
      <c r="BP18" s="45">
        <v>1097.2595398531528</v>
      </c>
      <c r="BQ18" s="55">
        <v>3.7594792330807416</v>
      </c>
      <c r="BR18" s="54">
        <v>0.47517032107389828</v>
      </c>
      <c r="BS18" s="53">
        <v>4.6898900113066393</v>
      </c>
      <c r="BT18" s="54">
        <v>1.0457143903516362</v>
      </c>
      <c r="BU18" s="53">
        <v>10.321110676495802</v>
      </c>
      <c r="BV18" s="450">
        <v>3639.1502732666777</v>
      </c>
      <c r="BW18" s="347">
        <f t="shared" si="16"/>
        <v>2228.4759101603486</v>
      </c>
      <c r="BX18" s="347">
        <f t="shared" si="21"/>
        <v>5867.6261834270263</v>
      </c>
      <c r="BY18" s="45">
        <v>2593.88098500043</v>
      </c>
      <c r="BZ18" s="47">
        <v>8.4002121498195805</v>
      </c>
      <c r="CA18" s="45">
        <v>1045.2692882662477</v>
      </c>
      <c r="CB18" s="55">
        <v>1.4029750379106443</v>
      </c>
      <c r="CC18" s="47">
        <f t="shared" si="22"/>
        <v>2.2621030869795491</v>
      </c>
      <c r="CD18" s="45">
        <v>913.83855503651375</v>
      </c>
      <c r="CE18" s="55">
        <v>3.982268260854096</v>
      </c>
      <c r="CF18" s="52">
        <v>0.5262489408018286</v>
      </c>
      <c r="CG18" s="53">
        <v>5.1940315745085535</v>
      </c>
      <c r="CH18" s="54">
        <v>1.5719633311534646</v>
      </c>
      <c r="CI18" s="53">
        <v>15.515142251004356</v>
      </c>
      <c r="CJ18" s="450">
        <v>4287.8790193375098</v>
      </c>
      <c r="CK18" s="347">
        <f t="shared" si="17"/>
        <v>2468.026800735081</v>
      </c>
      <c r="CL18" s="347">
        <f t="shared" si="23"/>
        <v>6755.9058200725904</v>
      </c>
      <c r="CM18" s="45">
        <v>2872.7112371780299</v>
      </c>
      <c r="CN18" s="47">
        <v>9.3031962441646598</v>
      </c>
      <c r="CO18" s="45">
        <v>1415.1677821594799</v>
      </c>
      <c r="CP18" s="55">
        <v>1.4926244461485281</v>
      </c>
      <c r="CQ18" s="47">
        <f t="shared" si="24"/>
        <v>2.3517524952174327</v>
      </c>
      <c r="CR18" s="45">
        <v>1012.0719883450982</v>
      </c>
      <c r="CS18" s="55">
        <v>4.2367332252213474</v>
      </c>
      <c r="CT18" s="239"/>
      <c r="CU18" s="239"/>
      <c r="CV18" s="239"/>
      <c r="CW18" s="239"/>
      <c r="CX18" s="239"/>
      <c r="CY18" s="239"/>
      <c r="CZ18" s="239"/>
      <c r="DA18" s="239"/>
      <c r="DB18" s="239"/>
      <c r="DC18" s="239"/>
      <c r="DD18" s="239"/>
      <c r="DE18" s="239"/>
      <c r="DF18" s="239"/>
      <c r="DG18" s="239"/>
      <c r="DH18" s="239"/>
      <c r="DI18" s="239"/>
      <c r="DJ18" s="239"/>
      <c r="DK18" s="239"/>
      <c r="DL18" s="239"/>
      <c r="DM18" s="239"/>
      <c r="DN18" s="239"/>
      <c r="DO18" s="239"/>
      <c r="DP18" s="239"/>
      <c r="DQ18" s="239"/>
      <c r="DR18" s="239"/>
      <c r="DS18" s="239"/>
      <c r="DT18" s="239"/>
      <c r="DU18" s="239"/>
      <c r="DV18" s="239"/>
      <c r="DW18" s="239"/>
      <c r="DX18" s="239"/>
      <c r="DY18" s="239"/>
      <c r="DZ18" s="239"/>
      <c r="EA18" s="239"/>
      <c r="EB18" s="239"/>
      <c r="EC18" s="239"/>
      <c r="ED18" s="239"/>
      <c r="EE18" s="239"/>
      <c r="EF18" s="239"/>
      <c r="EG18" s="239"/>
      <c r="EH18" s="239"/>
      <c r="EI18" s="239"/>
      <c r="EJ18" s="239"/>
      <c r="EK18" s="239"/>
      <c r="EL18" s="239"/>
      <c r="EM18" s="239"/>
      <c r="EN18" s="239"/>
      <c r="EO18" s="239"/>
      <c r="EP18" s="239"/>
      <c r="EQ18" s="239"/>
      <c r="ER18" s="239"/>
      <c r="ES18" s="239"/>
      <c r="ET18" s="239"/>
      <c r="EU18" s="239"/>
      <c r="EV18" s="239"/>
      <c r="EW18" s="239"/>
      <c r="EX18" s="239"/>
      <c r="EY18" s="239"/>
      <c r="EZ18" s="239"/>
      <c r="FA18" s="239"/>
      <c r="FB18" s="239"/>
      <c r="FC18" s="239"/>
      <c r="FD18" s="239"/>
      <c r="FE18" s="239"/>
      <c r="FF18" s="239"/>
      <c r="FG18" s="239"/>
      <c r="FH18" s="239"/>
      <c r="FI18" s="239"/>
      <c r="FJ18" s="239"/>
      <c r="FK18" s="239"/>
      <c r="FL18" s="239"/>
      <c r="FM18" s="239"/>
      <c r="FN18" s="239"/>
      <c r="FO18" s="239"/>
      <c r="FP18" s="239"/>
      <c r="FQ18" s="239"/>
      <c r="FR18" s="239"/>
      <c r="FS18" s="239"/>
      <c r="FT18" s="239"/>
      <c r="FU18" s="239"/>
      <c r="FV18" s="239"/>
      <c r="FW18" s="239"/>
      <c r="FX18" s="239"/>
      <c r="FY18" s="239"/>
      <c r="FZ18" s="239"/>
      <c r="GA18" s="239"/>
      <c r="GB18" s="239"/>
      <c r="GC18" s="239"/>
      <c r="GD18" s="239"/>
      <c r="GE18" s="239"/>
      <c r="GF18" s="239"/>
      <c r="GG18" s="239"/>
      <c r="GH18" s="239"/>
      <c r="GI18" s="239"/>
      <c r="GJ18" s="239"/>
      <c r="GK18" s="239"/>
      <c r="GL18" s="239"/>
      <c r="GM18" s="239"/>
      <c r="GN18" s="239"/>
      <c r="GO18" s="239"/>
      <c r="GP18" s="239"/>
      <c r="GQ18" s="239"/>
      <c r="GR18" s="239"/>
      <c r="GS18" s="239"/>
      <c r="GT18" s="239"/>
      <c r="GU18" s="239"/>
      <c r="GV18" s="239"/>
      <c r="GW18" s="239"/>
      <c r="GX18" s="239"/>
      <c r="GY18" s="239"/>
      <c r="GZ18" s="239"/>
      <c r="HA18" s="239"/>
      <c r="HB18" s="239"/>
      <c r="HC18" s="239"/>
      <c r="HD18" s="239"/>
      <c r="HE18" s="239"/>
      <c r="HF18" s="239"/>
      <c r="HG18" s="239"/>
      <c r="HH18" s="239"/>
      <c r="HI18" s="239"/>
      <c r="HJ18" s="239"/>
      <c r="HK18" s="239"/>
      <c r="HL18" s="239"/>
      <c r="HM18" s="239"/>
      <c r="HN18" s="239"/>
      <c r="HO18" s="239"/>
      <c r="HP18" s="239"/>
      <c r="HQ18" s="239"/>
      <c r="HR18" s="239"/>
      <c r="HS18" s="239"/>
      <c r="HT18" s="239"/>
      <c r="HU18" s="239"/>
      <c r="HV18" s="239"/>
      <c r="HW18" s="239"/>
      <c r="HX18" s="239"/>
      <c r="HY18" s="239"/>
      <c r="HZ18" s="239"/>
      <c r="IA18" s="239"/>
      <c r="IB18" s="239"/>
      <c r="IC18" s="239"/>
      <c r="ID18" s="239"/>
      <c r="IE18" s="239"/>
      <c r="IF18" s="239"/>
      <c r="IG18" s="239"/>
      <c r="IH18" s="239"/>
      <c r="II18" s="239"/>
      <c r="IJ18" s="239"/>
      <c r="IK18" s="239"/>
      <c r="IL18" s="239"/>
      <c r="IM18" s="239"/>
      <c r="IN18" s="239"/>
      <c r="IO18" s="239"/>
      <c r="IP18" s="239"/>
      <c r="IQ18" s="239"/>
      <c r="IR18" s="239"/>
      <c r="IS18" s="239"/>
      <c r="IT18" s="239"/>
      <c r="IU18" s="239"/>
    </row>
    <row r="19" spans="1:255" s="23" customFormat="1" ht="15" customHeight="1">
      <c r="A19" s="377" t="str">
        <f t="shared" si="0"/>
        <v>BNI - Efficient Product Rebates; Glass Door Commercial Refrigerator; COM-Refrigeration; Retail</v>
      </c>
      <c r="B19" s="42" t="s">
        <v>48</v>
      </c>
      <c r="C19" s="15" t="s">
        <v>46</v>
      </c>
      <c r="D19" s="15" t="s">
        <v>30</v>
      </c>
      <c r="E19" s="43">
        <v>12</v>
      </c>
      <c r="F19" s="44">
        <v>698.42385000000013</v>
      </c>
      <c r="G19" s="44">
        <v>70.762914322100841</v>
      </c>
      <c r="H19" s="45">
        <v>450</v>
      </c>
      <c r="I19" s="46">
        <v>0.19333333333333333</v>
      </c>
      <c r="J19" s="45">
        <v>22.349563200000006</v>
      </c>
      <c r="K19" s="45">
        <v>109.34956320000001</v>
      </c>
      <c r="L19" s="45">
        <v>363</v>
      </c>
      <c r="M19" s="45">
        <v>472.34956320000003</v>
      </c>
      <c r="N19" s="45">
        <v>511.62713623838954</v>
      </c>
      <c r="O19" s="47">
        <v>0.82</v>
      </c>
      <c r="P19" s="47">
        <v>1.0720192154681811</v>
      </c>
      <c r="Q19" s="310">
        <f t="shared" si="1"/>
        <v>1.0720192154681811</v>
      </c>
      <c r="R19" s="311">
        <f t="shared" si="18"/>
        <v>0</v>
      </c>
      <c r="S19" s="311">
        <f t="shared" si="2"/>
        <v>331.86721246215626</v>
      </c>
      <c r="T19" s="310">
        <f t="shared" si="3"/>
        <v>1.767385046450072</v>
      </c>
      <c r="U19" s="315">
        <f t="shared" si="4"/>
        <v>0.64865052878572227</v>
      </c>
      <c r="V19" s="48">
        <v>0.15656619286411824</v>
      </c>
      <c r="W19" s="49">
        <v>1.5452947952688785</v>
      </c>
      <c r="X19" s="48" t="s">
        <v>47</v>
      </c>
      <c r="Y19" s="48" t="s">
        <v>514</v>
      </c>
      <c r="Z19" s="247">
        <f>0.047*Z3</f>
        <v>5.9220000000000002E-2</v>
      </c>
      <c r="AA19" s="247"/>
      <c r="AB19" s="386">
        <v>0</v>
      </c>
      <c r="AC19" s="388">
        <f>Z19*F19</f>
        <v>41.360660397000011</v>
      </c>
      <c r="AD19" s="337">
        <f t="shared" si="25"/>
        <v>0</v>
      </c>
      <c r="AE19" s="337">
        <f t="shared" si="25"/>
        <v>0</v>
      </c>
      <c r="AF19" s="337">
        <f t="shared" ref="AF19:AG19" si="30">AE19*0</f>
        <v>0</v>
      </c>
      <c r="AG19" s="337">
        <f t="shared" si="30"/>
        <v>0</v>
      </c>
      <c r="AH19" s="337">
        <f t="shared" ref="AH19" si="31">AG19*0</f>
        <v>0</v>
      </c>
      <c r="AI19" s="337">
        <f t="shared" si="27"/>
        <v>41.360660397000011</v>
      </c>
      <c r="AJ19" s="337" t="s">
        <v>40</v>
      </c>
      <c r="AK19" s="337">
        <f t="shared" si="28"/>
        <v>0</v>
      </c>
      <c r="AL19" s="337">
        <f t="shared" ref="AL19:AM19" si="32">AK19*0</f>
        <v>0</v>
      </c>
      <c r="AM19" s="337">
        <f t="shared" si="32"/>
        <v>0</v>
      </c>
      <c r="AN19" s="337">
        <f t="shared" si="14"/>
        <v>41.360660397000011</v>
      </c>
      <c r="AO19" s="294" t="s">
        <v>604</v>
      </c>
      <c r="AP19" s="282" t="s">
        <v>340</v>
      </c>
      <c r="AQ19" s="136" t="s">
        <v>47</v>
      </c>
      <c r="AR19" s="289"/>
      <c r="AS19" s="142"/>
      <c r="AT19" s="142" t="s">
        <v>219</v>
      </c>
      <c r="AU19" s="146"/>
      <c r="AV19" s="48"/>
      <c r="AW19" s="131" t="s">
        <v>284</v>
      </c>
      <c r="AX19" s="131"/>
      <c r="AY19" s="131"/>
      <c r="AZ19" s="48"/>
      <c r="BA19" s="48"/>
      <c r="BB19" s="241"/>
      <c r="BC19" s="56" t="s">
        <v>48</v>
      </c>
      <c r="BD19" s="52">
        <v>3.4547902434990059</v>
      </c>
      <c r="BE19" s="53">
        <v>34.098481187813498</v>
      </c>
      <c r="BF19" s="54">
        <v>3.4547902434990059</v>
      </c>
      <c r="BG19" s="53">
        <v>34.098481187813498</v>
      </c>
      <c r="BH19" s="450">
        <v>24978.683474511385</v>
      </c>
      <c r="BI19" s="347">
        <f t="shared" si="15"/>
        <v>16202.436244112996</v>
      </c>
      <c r="BJ19" s="347">
        <f t="shared" si="19"/>
        <v>41181.119718624381</v>
      </c>
      <c r="BK19" s="45">
        <v>23300.593043570105</v>
      </c>
      <c r="BL19" s="47">
        <v>59.539080235697845</v>
      </c>
      <c r="BM19" s="45">
        <v>1678.0904309412799</v>
      </c>
      <c r="BN19" s="55">
        <v>1.0720192154681811</v>
      </c>
      <c r="BO19" s="47">
        <f t="shared" si="20"/>
        <v>1.7673850464500722</v>
      </c>
      <c r="BP19" s="45">
        <v>6510.5724171033125</v>
      </c>
      <c r="BQ19" s="55">
        <v>3.8366339968651966</v>
      </c>
      <c r="BR19" s="54">
        <v>2.8400549336235272</v>
      </c>
      <c r="BS19" s="53">
        <v>28.031096796324682</v>
      </c>
      <c r="BT19" s="54">
        <v>6.2948451771225331</v>
      </c>
      <c r="BU19" s="53">
        <v>62.12957798413818</v>
      </c>
      <c r="BV19" s="450">
        <v>21750.909577917599</v>
      </c>
      <c r="BW19" s="347">
        <f t="shared" si="16"/>
        <v>13319.421947078623</v>
      </c>
      <c r="BX19" s="347">
        <f t="shared" si="21"/>
        <v>35070.331524996218</v>
      </c>
      <c r="BY19" s="45">
        <v>19154.553407191346</v>
      </c>
      <c r="BZ19" s="47">
        <v>48.944869774653029</v>
      </c>
      <c r="CA19" s="45">
        <v>2596.3561707262525</v>
      </c>
      <c r="CB19" s="55">
        <v>1.1355477267223302</v>
      </c>
      <c r="CC19" s="47">
        <f t="shared" si="22"/>
        <v>1.830913557704221</v>
      </c>
      <c r="CD19" s="45">
        <v>5352.1001307391907</v>
      </c>
      <c r="CE19" s="55">
        <v>4.0639952629050553</v>
      </c>
      <c r="CF19" s="52">
        <v>3.0873700723633011</v>
      </c>
      <c r="CG19" s="53">
        <v>30.472075846108805</v>
      </c>
      <c r="CH19" s="54">
        <v>9.3822152494858351</v>
      </c>
      <c r="CI19" s="53">
        <v>92.601653830246988</v>
      </c>
      <c r="CJ19" s="450">
        <v>25155.906894646472</v>
      </c>
      <c r="CK19" s="347">
        <f t="shared" si="17"/>
        <v>14479.292007258238</v>
      </c>
      <c r="CL19" s="347">
        <f t="shared" si="23"/>
        <v>39635.198901904711</v>
      </c>
      <c r="CM19" s="45">
        <v>20822.55319737635</v>
      </c>
      <c r="CN19" s="47">
        <v>53.207043409257473</v>
      </c>
      <c r="CO19" s="45">
        <v>4333.3536972701222</v>
      </c>
      <c r="CP19" s="55">
        <v>1.2081086625734314</v>
      </c>
      <c r="CQ19" s="47">
        <f t="shared" si="24"/>
        <v>1.9034744935553225</v>
      </c>
      <c r="CR19" s="45">
        <v>5818.1669559657439</v>
      </c>
      <c r="CS19" s="55">
        <v>4.3236825421196432</v>
      </c>
      <c r="CT19" s="239"/>
      <c r="CU19" s="239"/>
      <c r="CV19" s="239"/>
      <c r="CW19" s="239"/>
      <c r="CX19" s="239"/>
      <c r="CY19" s="239"/>
      <c r="CZ19" s="239"/>
      <c r="DA19" s="239"/>
      <c r="DB19" s="239"/>
      <c r="DC19" s="239"/>
      <c r="DD19" s="239"/>
      <c r="DE19" s="239"/>
      <c r="DF19" s="239"/>
      <c r="DG19" s="239"/>
      <c r="DH19" s="239"/>
      <c r="DI19" s="239"/>
      <c r="DJ19" s="239"/>
      <c r="DK19" s="239"/>
      <c r="DL19" s="239"/>
      <c r="DM19" s="239"/>
      <c r="DN19" s="239"/>
      <c r="DO19" s="239"/>
      <c r="DP19" s="239"/>
      <c r="DQ19" s="239"/>
      <c r="DR19" s="239"/>
      <c r="DS19" s="239"/>
      <c r="DT19" s="239"/>
      <c r="DU19" s="239"/>
      <c r="DV19" s="239"/>
      <c r="DW19" s="239"/>
      <c r="DX19" s="239"/>
      <c r="DY19" s="239"/>
      <c r="DZ19" s="239"/>
      <c r="EA19" s="239"/>
      <c r="EB19" s="239"/>
      <c r="EC19" s="239"/>
      <c r="ED19" s="239"/>
      <c r="EE19" s="239"/>
      <c r="EF19" s="239"/>
      <c r="EG19" s="239"/>
      <c r="EH19" s="239"/>
      <c r="EI19" s="239"/>
      <c r="EJ19" s="239"/>
      <c r="EK19" s="239"/>
      <c r="EL19" s="239"/>
      <c r="EM19" s="239"/>
      <c r="EN19" s="239"/>
      <c r="EO19" s="239"/>
      <c r="EP19" s="239"/>
      <c r="EQ19" s="239"/>
      <c r="ER19" s="239"/>
      <c r="ES19" s="239"/>
      <c r="ET19" s="239"/>
      <c r="EU19" s="239"/>
      <c r="EV19" s="239"/>
      <c r="EW19" s="239"/>
      <c r="EX19" s="239"/>
      <c r="EY19" s="239"/>
      <c r="EZ19" s="239"/>
      <c r="FA19" s="239"/>
      <c r="FB19" s="239"/>
      <c r="FC19" s="239"/>
      <c r="FD19" s="239"/>
      <c r="FE19" s="239"/>
      <c r="FF19" s="239"/>
      <c r="FG19" s="239"/>
      <c r="FH19" s="239"/>
      <c r="FI19" s="239"/>
      <c r="FJ19" s="239"/>
      <c r="FK19" s="239"/>
      <c r="FL19" s="239"/>
      <c r="FM19" s="239"/>
      <c r="FN19" s="239"/>
      <c r="FO19" s="239"/>
      <c r="FP19" s="239"/>
      <c r="FQ19" s="239"/>
      <c r="FR19" s="239"/>
      <c r="FS19" s="239"/>
      <c r="FT19" s="239"/>
      <c r="FU19" s="239"/>
      <c r="FV19" s="239"/>
      <c r="FW19" s="239"/>
      <c r="FX19" s="239"/>
      <c r="FY19" s="239"/>
      <c r="FZ19" s="239"/>
      <c r="GA19" s="239"/>
      <c r="GB19" s="239"/>
      <c r="GC19" s="239"/>
      <c r="GD19" s="239"/>
      <c r="GE19" s="239"/>
      <c r="GF19" s="239"/>
      <c r="GG19" s="239"/>
      <c r="GH19" s="239"/>
      <c r="GI19" s="239"/>
      <c r="GJ19" s="239"/>
      <c r="GK19" s="239"/>
      <c r="GL19" s="239"/>
      <c r="GM19" s="239"/>
      <c r="GN19" s="239"/>
      <c r="GO19" s="239"/>
      <c r="GP19" s="239"/>
      <c r="GQ19" s="239"/>
      <c r="GR19" s="239"/>
      <c r="GS19" s="239"/>
      <c r="GT19" s="239"/>
      <c r="GU19" s="239"/>
      <c r="GV19" s="239"/>
      <c r="GW19" s="239"/>
      <c r="GX19" s="239"/>
      <c r="GY19" s="239"/>
      <c r="GZ19" s="239"/>
      <c r="HA19" s="239"/>
      <c r="HB19" s="239"/>
      <c r="HC19" s="239"/>
      <c r="HD19" s="239"/>
      <c r="HE19" s="239"/>
      <c r="HF19" s="239"/>
      <c r="HG19" s="239"/>
      <c r="HH19" s="239"/>
      <c r="HI19" s="239"/>
      <c r="HJ19" s="239"/>
      <c r="HK19" s="239"/>
      <c r="HL19" s="239"/>
      <c r="HM19" s="239"/>
      <c r="HN19" s="239"/>
      <c r="HO19" s="239"/>
      <c r="HP19" s="239"/>
      <c r="HQ19" s="239"/>
      <c r="HR19" s="239"/>
      <c r="HS19" s="239"/>
      <c r="HT19" s="239"/>
      <c r="HU19" s="239"/>
      <c r="HV19" s="239"/>
      <c r="HW19" s="239"/>
      <c r="HX19" s="239"/>
      <c r="HY19" s="239"/>
      <c r="HZ19" s="239"/>
      <c r="IA19" s="239"/>
      <c r="IB19" s="239"/>
      <c r="IC19" s="239"/>
      <c r="ID19" s="239"/>
      <c r="IE19" s="239"/>
      <c r="IF19" s="239"/>
      <c r="IG19" s="239"/>
      <c r="IH19" s="239"/>
      <c r="II19" s="239"/>
      <c r="IJ19" s="239"/>
      <c r="IK19" s="239"/>
      <c r="IL19" s="239"/>
      <c r="IM19" s="239"/>
      <c r="IN19" s="239"/>
      <c r="IO19" s="239"/>
      <c r="IP19" s="239"/>
      <c r="IQ19" s="239"/>
      <c r="IR19" s="239"/>
      <c r="IS19" s="239"/>
      <c r="IT19" s="239"/>
      <c r="IU19" s="239"/>
    </row>
    <row r="20" spans="1:255" s="23" customFormat="1" ht="15" customHeight="1">
      <c r="A20" s="377" t="str">
        <f t="shared" si="0"/>
        <v>BNI - Efficient Product Rebates; Solid Door Commercial Freezer; COM-Refrigeration; Retail</v>
      </c>
      <c r="B20" s="42" t="s">
        <v>49</v>
      </c>
      <c r="C20" s="15" t="s">
        <v>46</v>
      </c>
      <c r="D20" s="15" t="s">
        <v>30</v>
      </c>
      <c r="E20" s="43">
        <v>12</v>
      </c>
      <c r="F20" s="44">
        <v>972.07529999999929</v>
      </c>
      <c r="G20" s="44">
        <v>98.488734553567156</v>
      </c>
      <c r="H20" s="45">
        <v>350</v>
      </c>
      <c r="I20" s="46">
        <v>0.49714285714285716</v>
      </c>
      <c r="J20" s="45">
        <v>31.106409599999978</v>
      </c>
      <c r="K20" s="45">
        <v>205.10640959999998</v>
      </c>
      <c r="L20" s="45">
        <v>176</v>
      </c>
      <c r="M20" s="45">
        <v>381.10640960000001</v>
      </c>
      <c r="N20" s="45">
        <v>712.08923055401533</v>
      </c>
      <c r="O20" s="47">
        <v>0.82</v>
      </c>
      <c r="P20" s="47">
        <v>1.8355907062310652</v>
      </c>
      <c r="Q20" s="310">
        <f t="shared" si="1"/>
        <v>1.8355907062310652</v>
      </c>
      <c r="R20" s="311">
        <f t="shared" si="18"/>
        <v>0</v>
      </c>
      <c r="S20" s="311">
        <f t="shared" si="2"/>
        <v>461.89705594148018</v>
      </c>
      <c r="T20" s="310">
        <f t="shared" si="3"/>
        <v>3.0262475884620033</v>
      </c>
      <c r="U20" s="315">
        <f t="shared" si="4"/>
        <v>0.64865052878572238</v>
      </c>
      <c r="V20" s="48">
        <v>0.21099847882154821</v>
      </c>
      <c r="W20" s="49">
        <v>2.0825367543781814</v>
      </c>
      <c r="X20" s="48" t="s">
        <v>47</v>
      </c>
      <c r="Y20" s="48" t="s">
        <v>514</v>
      </c>
      <c r="Z20" s="247">
        <f>0.047*Z3</f>
        <v>5.9220000000000002E-2</v>
      </c>
      <c r="AA20" s="247"/>
      <c r="AB20" s="386">
        <v>0</v>
      </c>
      <c r="AC20" s="388">
        <f>Z20*F20</f>
        <v>57.566299265999959</v>
      </c>
      <c r="AD20" s="337">
        <f t="shared" si="25"/>
        <v>0</v>
      </c>
      <c r="AE20" s="337">
        <f t="shared" si="25"/>
        <v>0</v>
      </c>
      <c r="AF20" s="337">
        <f t="shared" ref="AF20:AH20" si="33">AE20*0</f>
        <v>0</v>
      </c>
      <c r="AG20" s="337">
        <f t="shared" si="33"/>
        <v>0</v>
      </c>
      <c r="AH20" s="337">
        <f t="shared" si="33"/>
        <v>0</v>
      </c>
      <c r="AI20" s="337">
        <f t="shared" si="27"/>
        <v>57.566299265999959</v>
      </c>
      <c r="AJ20" s="337" t="s">
        <v>40</v>
      </c>
      <c r="AK20" s="337">
        <f t="shared" si="28"/>
        <v>0</v>
      </c>
      <c r="AL20" s="337">
        <f t="shared" ref="AL20:AM20" si="34">AK20*0</f>
        <v>0</v>
      </c>
      <c r="AM20" s="337">
        <f t="shared" si="34"/>
        <v>0</v>
      </c>
      <c r="AN20" s="337">
        <f t="shared" si="14"/>
        <v>57.566299265999959</v>
      </c>
      <c r="AO20" s="294" t="s">
        <v>604</v>
      </c>
      <c r="AP20" s="282" t="s">
        <v>340</v>
      </c>
      <c r="AQ20" s="136" t="s">
        <v>47</v>
      </c>
      <c r="AR20" s="289"/>
      <c r="AS20" s="142"/>
      <c r="AT20" s="142" t="s">
        <v>219</v>
      </c>
      <c r="AU20" s="146"/>
      <c r="AV20" s="48"/>
      <c r="AW20" s="131" t="s">
        <v>284</v>
      </c>
      <c r="AX20" s="131"/>
      <c r="AY20" s="131"/>
      <c r="AZ20" s="48"/>
      <c r="BA20" s="48"/>
      <c r="BB20" s="241"/>
      <c r="BC20" s="56" t="s">
        <v>49</v>
      </c>
      <c r="BD20" s="52">
        <v>0.50262130997833665</v>
      </c>
      <c r="BE20" s="53">
        <v>4.960828899856021</v>
      </c>
      <c r="BF20" s="54">
        <v>0.50262130997833665</v>
      </c>
      <c r="BG20" s="53">
        <v>4.960828899856021</v>
      </c>
      <c r="BH20" s="450">
        <v>3634.032090115445</v>
      </c>
      <c r="BI20" s="347">
        <f t="shared" si="15"/>
        <v>2357.2168368776674</v>
      </c>
      <c r="BJ20" s="347">
        <f t="shared" si="19"/>
        <v>5991.248926993112</v>
      </c>
      <c r="BK20" s="45">
        <v>1979.7616526273646</v>
      </c>
      <c r="BL20" s="47">
        <v>6.2235830303350319</v>
      </c>
      <c r="BM20" s="45">
        <v>1654.2704374880805</v>
      </c>
      <c r="BN20" s="55">
        <v>1.8355907062310652</v>
      </c>
      <c r="BO20" s="47">
        <f t="shared" si="20"/>
        <v>3.0262475884620033</v>
      </c>
      <c r="BP20" s="45">
        <v>1276.496770199506</v>
      </c>
      <c r="BQ20" s="55">
        <v>2.8468791891635381</v>
      </c>
      <c r="BR20" s="54">
        <v>0.40553242869079076</v>
      </c>
      <c r="BS20" s="53">
        <v>4.0025700306355594</v>
      </c>
      <c r="BT20" s="54">
        <v>0.90815373866912741</v>
      </c>
      <c r="BU20" s="53">
        <v>8.9633989304915804</v>
      </c>
      <c r="BV20" s="450">
        <v>3105.8199202198821</v>
      </c>
      <c r="BW20" s="347">
        <f t="shared" si="16"/>
        <v>1901.884878002935</v>
      </c>
      <c r="BX20" s="347">
        <f t="shared" si="21"/>
        <v>5007.7047982228169</v>
      </c>
      <c r="BY20" s="45">
        <v>1597.3408514125128</v>
      </c>
      <c r="BZ20" s="47">
        <v>5.021404169193179</v>
      </c>
      <c r="CA20" s="45">
        <v>1508.4790688073692</v>
      </c>
      <c r="CB20" s="55">
        <v>1.9443689288190658</v>
      </c>
      <c r="CC20" s="47">
        <f t="shared" si="22"/>
        <v>3.1350258110500038</v>
      </c>
      <c r="CD20" s="45">
        <v>1029.9221802936838</v>
      </c>
      <c r="CE20" s="55">
        <v>3.0155869828284043</v>
      </c>
      <c r="CF20" s="52">
        <v>0.42755637083635278</v>
      </c>
      <c r="CG20" s="53">
        <v>4.2199444366056724</v>
      </c>
      <c r="CH20" s="54">
        <v>1.3357101095054802</v>
      </c>
      <c r="CI20" s="53">
        <v>13.183343367097253</v>
      </c>
      <c r="CJ20" s="450">
        <v>3483.7314623378234</v>
      </c>
      <c r="CK20" s="347">
        <f t="shared" si="17"/>
        <v>2005.1737879820521</v>
      </c>
      <c r="CL20" s="347">
        <f t="shared" si="23"/>
        <v>5488.9052503198754</v>
      </c>
      <c r="CM20" s="45">
        <v>1684.0903688600454</v>
      </c>
      <c r="CN20" s="47">
        <v>5.2941101406214655</v>
      </c>
      <c r="CO20" s="45">
        <v>1799.641093477778</v>
      </c>
      <c r="CP20" s="55">
        <v>2.0686131378424477</v>
      </c>
      <c r="CQ20" s="47">
        <f t="shared" si="24"/>
        <v>3.2592700200733855</v>
      </c>
      <c r="CR20" s="45">
        <v>1085.8559229698199</v>
      </c>
      <c r="CS20" s="55">
        <v>3.2082814935611395</v>
      </c>
      <c r="CT20" s="239"/>
      <c r="CU20" s="239"/>
      <c r="CV20" s="239"/>
      <c r="CW20" s="239"/>
      <c r="CX20" s="239"/>
      <c r="CY20" s="239"/>
      <c r="CZ20" s="239"/>
      <c r="DA20" s="239"/>
      <c r="DB20" s="239"/>
      <c r="DC20" s="239"/>
      <c r="DD20" s="239"/>
      <c r="DE20" s="239"/>
      <c r="DF20" s="239"/>
      <c r="DG20" s="239"/>
      <c r="DH20" s="239"/>
      <c r="DI20" s="239"/>
      <c r="DJ20" s="239"/>
      <c r="DK20" s="239"/>
      <c r="DL20" s="239"/>
      <c r="DM20" s="239"/>
      <c r="DN20" s="239"/>
      <c r="DO20" s="239"/>
      <c r="DP20" s="239"/>
      <c r="DQ20" s="239"/>
      <c r="DR20" s="239"/>
      <c r="DS20" s="239"/>
      <c r="DT20" s="239"/>
      <c r="DU20" s="239"/>
      <c r="DV20" s="239"/>
      <c r="DW20" s="239"/>
      <c r="DX20" s="239"/>
      <c r="DY20" s="239"/>
      <c r="DZ20" s="239"/>
      <c r="EA20" s="239"/>
      <c r="EB20" s="239"/>
      <c r="EC20" s="239"/>
      <c r="ED20" s="239"/>
      <c r="EE20" s="239"/>
      <c r="EF20" s="239"/>
      <c r="EG20" s="239"/>
      <c r="EH20" s="239"/>
      <c r="EI20" s="239"/>
      <c r="EJ20" s="239"/>
      <c r="EK20" s="239"/>
      <c r="EL20" s="239"/>
      <c r="EM20" s="239"/>
      <c r="EN20" s="239"/>
      <c r="EO20" s="239"/>
      <c r="EP20" s="239"/>
      <c r="EQ20" s="239"/>
      <c r="ER20" s="239"/>
      <c r="ES20" s="239"/>
      <c r="ET20" s="239"/>
      <c r="EU20" s="239"/>
      <c r="EV20" s="239"/>
      <c r="EW20" s="239"/>
      <c r="EX20" s="239"/>
      <c r="EY20" s="239"/>
      <c r="EZ20" s="239"/>
      <c r="FA20" s="239"/>
      <c r="FB20" s="239"/>
      <c r="FC20" s="239"/>
      <c r="FD20" s="239"/>
      <c r="FE20" s="239"/>
      <c r="FF20" s="239"/>
      <c r="FG20" s="239"/>
      <c r="FH20" s="239"/>
      <c r="FI20" s="239"/>
      <c r="FJ20" s="239"/>
      <c r="FK20" s="239"/>
      <c r="FL20" s="239"/>
      <c r="FM20" s="239"/>
      <c r="FN20" s="239"/>
      <c r="FO20" s="239"/>
      <c r="FP20" s="239"/>
      <c r="FQ20" s="239"/>
      <c r="FR20" s="239"/>
      <c r="FS20" s="239"/>
      <c r="FT20" s="239"/>
      <c r="FU20" s="239"/>
      <c r="FV20" s="239"/>
      <c r="FW20" s="239"/>
      <c r="FX20" s="239"/>
      <c r="FY20" s="239"/>
      <c r="FZ20" s="239"/>
      <c r="GA20" s="239"/>
      <c r="GB20" s="239"/>
      <c r="GC20" s="239"/>
      <c r="GD20" s="239"/>
      <c r="GE20" s="239"/>
      <c r="GF20" s="239"/>
      <c r="GG20" s="239"/>
      <c r="GH20" s="239"/>
      <c r="GI20" s="239"/>
      <c r="GJ20" s="239"/>
      <c r="GK20" s="239"/>
      <c r="GL20" s="239"/>
      <c r="GM20" s="239"/>
      <c r="GN20" s="239"/>
      <c r="GO20" s="239"/>
      <c r="GP20" s="239"/>
      <c r="GQ20" s="239"/>
      <c r="GR20" s="239"/>
      <c r="GS20" s="239"/>
      <c r="GT20" s="239"/>
      <c r="GU20" s="239"/>
      <c r="GV20" s="239"/>
      <c r="GW20" s="239"/>
      <c r="GX20" s="239"/>
      <c r="GY20" s="239"/>
      <c r="GZ20" s="239"/>
      <c r="HA20" s="239"/>
      <c r="HB20" s="239"/>
      <c r="HC20" s="239"/>
      <c r="HD20" s="239"/>
      <c r="HE20" s="239"/>
      <c r="HF20" s="239"/>
      <c r="HG20" s="239"/>
      <c r="HH20" s="239"/>
      <c r="HI20" s="239"/>
      <c r="HJ20" s="239"/>
      <c r="HK20" s="239"/>
      <c r="HL20" s="239"/>
      <c r="HM20" s="239"/>
      <c r="HN20" s="239"/>
      <c r="HO20" s="239"/>
      <c r="HP20" s="239"/>
      <c r="HQ20" s="239"/>
      <c r="HR20" s="239"/>
      <c r="HS20" s="239"/>
      <c r="HT20" s="239"/>
      <c r="HU20" s="239"/>
      <c r="HV20" s="239"/>
      <c r="HW20" s="239"/>
      <c r="HX20" s="239"/>
      <c r="HY20" s="239"/>
      <c r="HZ20" s="239"/>
      <c r="IA20" s="239"/>
      <c r="IB20" s="239"/>
      <c r="IC20" s="239"/>
      <c r="ID20" s="239"/>
      <c r="IE20" s="239"/>
      <c r="IF20" s="239"/>
      <c r="IG20" s="239"/>
      <c r="IH20" s="239"/>
      <c r="II20" s="239"/>
      <c r="IJ20" s="239"/>
      <c r="IK20" s="239"/>
      <c r="IL20" s="239"/>
      <c r="IM20" s="239"/>
      <c r="IN20" s="239"/>
      <c r="IO20" s="239"/>
      <c r="IP20" s="239"/>
      <c r="IQ20" s="239"/>
      <c r="IR20" s="239"/>
      <c r="IS20" s="239"/>
      <c r="IT20" s="239"/>
      <c r="IU20" s="239"/>
    </row>
    <row r="21" spans="1:255" s="34" customFormat="1" ht="15" customHeight="1">
      <c r="A21" s="377" t="str">
        <f t="shared" si="0"/>
        <v>BNI - Efficient Product Rebates; ENERGY STAR® Ice Making Head; COM-Refrigeration; Retail</v>
      </c>
      <c r="B21" s="42" t="s">
        <v>50</v>
      </c>
      <c r="C21" s="15" t="s">
        <v>46</v>
      </c>
      <c r="D21" s="15" t="s">
        <v>30</v>
      </c>
      <c r="E21" s="43">
        <v>8</v>
      </c>
      <c r="F21" s="44">
        <v>1232.718095250003</v>
      </c>
      <c r="G21" s="28">
        <v>124.89654377850825</v>
      </c>
      <c r="H21" s="29">
        <v>250</v>
      </c>
      <c r="I21" s="30">
        <v>0.57999999999999996</v>
      </c>
      <c r="J21" s="29">
        <v>39.446979048000095</v>
      </c>
      <c r="K21" s="29">
        <v>184.44697904800009</v>
      </c>
      <c r="L21" s="29">
        <v>105</v>
      </c>
      <c r="M21" s="29">
        <v>289.44697904800012</v>
      </c>
      <c r="N21" s="29">
        <v>614.8185740244387</v>
      </c>
      <c r="O21" s="31">
        <v>0.82</v>
      </c>
      <c r="P21" s="31">
        <v>2.0624154680227962</v>
      </c>
      <c r="Q21" s="310">
        <f t="shared" si="1"/>
        <v>2.0624154680227962</v>
      </c>
      <c r="R21" s="311">
        <f t="shared" si="18"/>
        <v>0</v>
      </c>
      <c r="S21" s="311">
        <f t="shared" si="2"/>
        <v>206.43782325654087</v>
      </c>
      <c r="T21" s="310">
        <f t="shared" si="3"/>
        <v>2.7549133492795885</v>
      </c>
      <c r="U21" s="315">
        <f t="shared" si="4"/>
        <v>0.33577031010181413</v>
      </c>
      <c r="V21" s="32">
        <v>0.14962624444203773</v>
      </c>
      <c r="W21" s="33">
        <v>1.4767981039979672</v>
      </c>
      <c r="X21" s="48" t="s">
        <v>31</v>
      </c>
      <c r="Y21" s="48" t="s">
        <v>557</v>
      </c>
      <c r="Z21" s="246" t="s">
        <v>31</v>
      </c>
      <c r="AA21" s="257">
        <f>3322/264.172</f>
        <v>12.57514043880502</v>
      </c>
      <c r="AB21" s="386">
        <v>0</v>
      </c>
      <c r="AC21" s="387">
        <f>(AA21*AC3)</f>
        <v>34.317558257498902</v>
      </c>
      <c r="AD21" s="337">
        <f t="shared" si="25"/>
        <v>0</v>
      </c>
      <c r="AE21" s="337">
        <f t="shared" si="25"/>
        <v>0</v>
      </c>
      <c r="AF21" s="337">
        <f t="shared" ref="AF21:AH21" si="35">AE21*0</f>
        <v>0</v>
      </c>
      <c r="AG21" s="337">
        <f t="shared" si="35"/>
        <v>0</v>
      </c>
      <c r="AH21" s="337">
        <f t="shared" si="35"/>
        <v>0</v>
      </c>
      <c r="AI21" s="337">
        <f t="shared" si="27"/>
        <v>34.317558257498902</v>
      </c>
      <c r="AJ21" s="337" t="s">
        <v>40</v>
      </c>
      <c r="AK21" s="337">
        <f t="shared" si="28"/>
        <v>0</v>
      </c>
      <c r="AL21" s="337">
        <f t="shared" ref="AL21:AM21" si="36">AK21*0</f>
        <v>0</v>
      </c>
      <c r="AM21" s="337">
        <f t="shared" si="36"/>
        <v>0</v>
      </c>
      <c r="AN21" s="337">
        <f t="shared" si="14"/>
        <v>34.317558257498902</v>
      </c>
      <c r="AO21" s="294" t="s">
        <v>601</v>
      </c>
      <c r="AP21" s="282" t="s">
        <v>500</v>
      </c>
      <c r="AQ21" s="136" t="s">
        <v>31</v>
      </c>
      <c r="AR21" s="294" t="s">
        <v>597</v>
      </c>
      <c r="AS21" s="142"/>
      <c r="AT21" s="142" t="s">
        <v>219</v>
      </c>
      <c r="AU21" s="146"/>
      <c r="AV21" s="32"/>
      <c r="AW21" s="131" t="s">
        <v>284</v>
      </c>
      <c r="AX21" s="131"/>
      <c r="AY21" s="131"/>
      <c r="AZ21" s="48"/>
      <c r="BA21" s="48"/>
      <c r="BB21" s="241"/>
      <c r="BC21" s="56" t="s">
        <v>50</v>
      </c>
      <c r="BD21" s="52">
        <v>4.2145934023797205</v>
      </c>
      <c r="BE21" s="53">
        <v>41.597672714212969</v>
      </c>
      <c r="BF21" s="54">
        <v>4.2145934023797205</v>
      </c>
      <c r="BG21" s="53">
        <v>41.597672714212969</v>
      </c>
      <c r="BH21" s="450">
        <v>20746.853574580604</v>
      </c>
      <c r="BI21" s="347">
        <f t="shared" si="15"/>
        <v>6966.1774583738579</v>
      </c>
      <c r="BJ21" s="347">
        <f t="shared" si="19"/>
        <v>27713.031032954463</v>
      </c>
      <c r="BK21" s="45">
        <v>10059.492811344298</v>
      </c>
      <c r="BL21" s="47">
        <v>41.152043893203512</v>
      </c>
      <c r="BM21" s="45">
        <v>10687.360763236306</v>
      </c>
      <c r="BN21" s="55">
        <v>2.0624154680227962</v>
      </c>
      <c r="BO21" s="47">
        <f t="shared" si="20"/>
        <v>2.7549133492795881</v>
      </c>
      <c r="BP21" s="45">
        <v>7590.3701777520882</v>
      </c>
      <c r="BQ21" s="55">
        <v>2.7333124852581103</v>
      </c>
      <c r="BR21" s="54">
        <v>3.3414135326432364</v>
      </c>
      <c r="BS21" s="53">
        <v>32.979462848125188</v>
      </c>
      <c r="BT21" s="54">
        <v>7.5560069350229568</v>
      </c>
      <c r="BU21" s="53">
        <v>74.577135562338157</v>
      </c>
      <c r="BV21" s="450">
        <v>17673.159296787875</v>
      </c>
      <c r="BW21" s="347">
        <f t="shared" si="16"/>
        <v>5522.9241371330527</v>
      </c>
      <c r="BX21" s="347">
        <f t="shared" si="21"/>
        <v>23196.083433920929</v>
      </c>
      <c r="BY21" s="45">
        <v>7975.3661153586145</v>
      </c>
      <c r="BZ21" s="47">
        <v>32.626159449459003</v>
      </c>
      <c r="CA21" s="45">
        <v>9697.7931814292606</v>
      </c>
      <c r="CB21" s="55">
        <v>2.2159684008428995</v>
      </c>
      <c r="CC21" s="47">
        <f t="shared" si="22"/>
        <v>2.9084662820996914</v>
      </c>
      <c r="CD21" s="45">
        <v>6017.7965483910757</v>
      </c>
      <c r="CE21" s="55">
        <v>2.9368156857202141</v>
      </c>
      <c r="CF21" s="52">
        <v>3.4924638842528228</v>
      </c>
      <c r="CG21" s="53">
        <v>34.470316766815081</v>
      </c>
      <c r="CH21" s="54">
        <v>11.04847081927578</v>
      </c>
      <c r="CI21" s="53">
        <v>109.04745232915323</v>
      </c>
      <c r="CJ21" s="450">
        <v>19940.288969544257</v>
      </c>
      <c r="CK21" s="347">
        <f t="shared" si="17"/>
        <v>5772.5908200135436</v>
      </c>
      <c r="CL21" s="347">
        <f t="shared" si="23"/>
        <v>25712.879789557803</v>
      </c>
      <c r="CM21" s="45">
        <v>8335.8967243871648</v>
      </c>
      <c r="CN21" s="47">
        <v>34.101042102673361</v>
      </c>
      <c r="CO21" s="45">
        <v>11604.392245157092</v>
      </c>
      <c r="CP21" s="55">
        <v>2.3920988501702221</v>
      </c>
      <c r="CQ21" s="47">
        <f t="shared" si="24"/>
        <v>3.0845967314270144</v>
      </c>
      <c r="CR21" s="45">
        <v>6289.834198226763</v>
      </c>
      <c r="CS21" s="55">
        <v>3.1702407950857983</v>
      </c>
      <c r="CT21" s="239"/>
      <c r="CU21" s="239"/>
      <c r="CV21" s="239"/>
      <c r="CW21" s="239"/>
      <c r="CX21" s="239"/>
      <c r="CY21" s="239"/>
      <c r="CZ21" s="239"/>
      <c r="DA21" s="239"/>
      <c r="DB21" s="239"/>
      <c r="DC21" s="239"/>
      <c r="DD21" s="239"/>
      <c r="DE21" s="239"/>
      <c r="DF21" s="239"/>
      <c r="DG21" s="239"/>
      <c r="DH21" s="239"/>
      <c r="DI21" s="239"/>
      <c r="DJ21" s="239"/>
      <c r="DK21" s="239"/>
      <c r="DL21" s="239"/>
      <c r="DM21" s="239"/>
      <c r="DN21" s="239"/>
      <c r="DO21" s="239"/>
      <c r="DP21" s="239"/>
      <c r="DQ21" s="239"/>
      <c r="DR21" s="239"/>
      <c r="DS21" s="239"/>
      <c r="DT21" s="239"/>
      <c r="DU21" s="239"/>
      <c r="DV21" s="239"/>
      <c r="DW21" s="239"/>
      <c r="DX21" s="239"/>
      <c r="DY21" s="239"/>
      <c r="DZ21" s="239"/>
      <c r="EA21" s="239"/>
      <c r="EB21" s="239"/>
      <c r="EC21" s="239"/>
      <c r="ED21" s="239"/>
      <c r="EE21" s="239"/>
      <c r="EF21" s="239"/>
      <c r="EG21" s="239"/>
      <c r="EH21" s="239"/>
      <c r="EI21" s="239"/>
      <c r="EJ21" s="239"/>
      <c r="EK21" s="239"/>
      <c r="EL21" s="239"/>
      <c r="EM21" s="239"/>
      <c r="EN21" s="239"/>
      <c r="EO21" s="239"/>
      <c r="EP21" s="239"/>
      <c r="EQ21" s="239"/>
      <c r="ER21" s="239"/>
      <c r="ES21" s="239"/>
      <c r="ET21" s="239"/>
      <c r="EU21" s="239"/>
      <c r="EV21" s="239"/>
      <c r="EW21" s="239"/>
      <c r="EX21" s="239"/>
      <c r="EY21" s="239"/>
      <c r="EZ21" s="239"/>
      <c r="FA21" s="239"/>
      <c r="FB21" s="239"/>
      <c r="FC21" s="239"/>
      <c r="FD21" s="239"/>
      <c r="FE21" s="239"/>
      <c r="FF21" s="239"/>
      <c r="FG21" s="239"/>
      <c r="FH21" s="239"/>
      <c r="FI21" s="239"/>
      <c r="FJ21" s="239"/>
      <c r="FK21" s="239"/>
      <c r="FL21" s="239"/>
      <c r="FM21" s="239"/>
      <c r="FN21" s="239"/>
      <c r="FO21" s="239"/>
      <c r="FP21" s="239"/>
      <c r="FQ21" s="239"/>
      <c r="FR21" s="239"/>
      <c r="FS21" s="239"/>
      <c r="FT21" s="239"/>
      <c r="FU21" s="239"/>
      <c r="FV21" s="239"/>
      <c r="FW21" s="239"/>
      <c r="FX21" s="239"/>
      <c r="FY21" s="239"/>
      <c r="FZ21" s="239"/>
      <c r="GA21" s="239"/>
      <c r="GB21" s="239"/>
      <c r="GC21" s="239"/>
      <c r="GD21" s="239"/>
      <c r="GE21" s="239"/>
      <c r="GF21" s="239"/>
      <c r="GG21" s="239"/>
      <c r="GH21" s="239"/>
      <c r="GI21" s="239"/>
      <c r="GJ21" s="239"/>
      <c r="GK21" s="239"/>
      <c r="GL21" s="239"/>
      <c r="GM21" s="239"/>
      <c r="GN21" s="239"/>
      <c r="GO21" s="239"/>
      <c r="GP21" s="239"/>
      <c r="GQ21" s="239"/>
      <c r="GR21" s="239"/>
      <c r="GS21" s="239"/>
      <c r="GT21" s="239"/>
      <c r="GU21" s="239"/>
      <c r="GV21" s="239"/>
      <c r="GW21" s="239"/>
      <c r="GX21" s="239"/>
      <c r="GY21" s="239"/>
      <c r="GZ21" s="239"/>
      <c r="HA21" s="239"/>
      <c r="HB21" s="239"/>
      <c r="HC21" s="239"/>
      <c r="HD21" s="239"/>
      <c r="HE21" s="239"/>
      <c r="HF21" s="239"/>
      <c r="HG21" s="239"/>
      <c r="HH21" s="239"/>
      <c r="HI21" s="239"/>
      <c r="HJ21" s="239"/>
      <c r="HK21" s="239"/>
      <c r="HL21" s="239"/>
      <c r="HM21" s="239"/>
      <c r="HN21" s="239"/>
      <c r="HO21" s="239"/>
      <c r="HP21" s="239"/>
      <c r="HQ21" s="239"/>
      <c r="HR21" s="239"/>
      <c r="HS21" s="239"/>
      <c r="HT21" s="239"/>
      <c r="HU21" s="239"/>
      <c r="HV21" s="239"/>
      <c r="HW21" s="239"/>
      <c r="HX21" s="239"/>
      <c r="HY21" s="239"/>
      <c r="HZ21" s="239"/>
      <c r="IA21" s="239"/>
      <c r="IB21" s="239"/>
      <c r="IC21" s="239"/>
      <c r="ID21" s="239"/>
      <c r="IE21" s="239"/>
      <c r="IF21" s="239"/>
      <c r="IG21" s="239"/>
      <c r="IH21" s="239"/>
      <c r="II21" s="239"/>
      <c r="IJ21" s="239"/>
      <c r="IK21" s="239"/>
      <c r="IL21" s="239"/>
      <c r="IM21" s="239"/>
      <c r="IN21" s="239"/>
      <c r="IO21" s="239"/>
      <c r="IP21" s="239"/>
      <c r="IQ21" s="239"/>
      <c r="IR21" s="239"/>
      <c r="IS21" s="239"/>
      <c r="IT21" s="239"/>
      <c r="IU21" s="239"/>
    </row>
    <row r="22" spans="1:255" s="34" customFormat="1" ht="15" customHeight="1">
      <c r="A22" s="377" t="str">
        <f t="shared" si="0"/>
        <v>BNI - Efficient Product Rebates; ENERGY STAR® Remote Condensing Head/Split System Ice Maker; COM-Refrigeration; Retail</v>
      </c>
      <c r="B22" s="42" t="s">
        <v>51</v>
      </c>
      <c r="C22" s="15" t="s">
        <v>46</v>
      </c>
      <c r="D22" s="15" t="s">
        <v>30</v>
      </c>
      <c r="E22" s="43">
        <v>8</v>
      </c>
      <c r="F22" s="44">
        <v>1447.1464702500009</v>
      </c>
      <c r="G22" s="28">
        <v>146.62199993003023</v>
      </c>
      <c r="H22" s="29">
        <v>350</v>
      </c>
      <c r="I22" s="30">
        <v>0.68571428571428572</v>
      </c>
      <c r="J22" s="29">
        <v>46.308687048000031</v>
      </c>
      <c r="K22" s="29">
        <v>286.30868704800002</v>
      </c>
      <c r="L22" s="29">
        <v>110</v>
      </c>
      <c r="M22" s="29">
        <v>396.30868704800002</v>
      </c>
      <c r="N22" s="29">
        <v>721.76479981269517</v>
      </c>
      <c r="O22" s="31">
        <v>0.82</v>
      </c>
      <c r="P22" s="31">
        <v>1.7756726987472056</v>
      </c>
      <c r="Q22" s="310">
        <f t="shared" si="1"/>
        <v>1.7756726987472056</v>
      </c>
      <c r="R22" s="311">
        <f t="shared" si="18"/>
        <v>0</v>
      </c>
      <c r="S22" s="311">
        <f t="shared" si="2"/>
        <v>163.49726459601413</v>
      </c>
      <c r="T22" s="310">
        <f t="shared" si="3"/>
        <v>2.1779057103021202</v>
      </c>
      <c r="U22" s="315">
        <f t="shared" si="4"/>
        <v>0.22652429799630475</v>
      </c>
      <c r="V22" s="32">
        <v>0.19784361357599065</v>
      </c>
      <c r="W22" s="33">
        <v>1.952699371067302</v>
      </c>
      <c r="X22" s="48" t="s">
        <v>31</v>
      </c>
      <c r="Y22" s="48" t="s">
        <v>558</v>
      </c>
      <c r="Z22" s="246" t="s">
        <v>31</v>
      </c>
      <c r="AA22" s="257">
        <f>2631/264.172</f>
        <v>9.9594203776327532</v>
      </c>
      <c r="AB22" s="386">
        <v>0</v>
      </c>
      <c r="AC22" s="387">
        <f>(AA22*AC3)</f>
        <v>27.179258210559784</v>
      </c>
      <c r="AD22" s="337">
        <f t="shared" si="25"/>
        <v>0</v>
      </c>
      <c r="AE22" s="337">
        <f t="shared" si="25"/>
        <v>0</v>
      </c>
      <c r="AF22" s="337">
        <f t="shared" ref="AF22:AH22" si="37">AE22*0</f>
        <v>0</v>
      </c>
      <c r="AG22" s="337">
        <f t="shared" si="37"/>
        <v>0</v>
      </c>
      <c r="AH22" s="337">
        <f t="shared" si="37"/>
        <v>0</v>
      </c>
      <c r="AI22" s="337">
        <f t="shared" si="27"/>
        <v>27.179258210559784</v>
      </c>
      <c r="AJ22" s="337" t="s">
        <v>40</v>
      </c>
      <c r="AK22" s="337">
        <f t="shared" si="28"/>
        <v>0</v>
      </c>
      <c r="AL22" s="337">
        <f t="shared" ref="AL22:AM22" si="38">AK22*0</f>
        <v>0</v>
      </c>
      <c r="AM22" s="337">
        <f t="shared" si="38"/>
        <v>0</v>
      </c>
      <c r="AN22" s="337">
        <f t="shared" si="14"/>
        <v>27.179258210559784</v>
      </c>
      <c r="AO22" s="294" t="s">
        <v>605</v>
      </c>
      <c r="AP22" s="282" t="s">
        <v>500</v>
      </c>
      <c r="AQ22" s="136" t="s">
        <v>31</v>
      </c>
      <c r="AR22" s="294" t="s">
        <v>597</v>
      </c>
      <c r="AS22" s="142"/>
      <c r="AT22" s="142" t="s">
        <v>219</v>
      </c>
      <c r="AU22" s="146"/>
      <c r="AV22" s="32"/>
      <c r="AW22" s="131" t="s">
        <v>284</v>
      </c>
      <c r="AX22" s="131"/>
      <c r="AY22" s="131"/>
      <c r="AZ22" s="48"/>
      <c r="BA22" s="48"/>
      <c r="BB22" s="241"/>
      <c r="BC22" s="56" t="s">
        <v>51</v>
      </c>
      <c r="BD22" s="52">
        <v>4.9032051933129912</v>
      </c>
      <c r="BE22" s="53">
        <v>48.394211590351389</v>
      </c>
      <c r="BF22" s="54">
        <v>4.9032051933129912</v>
      </c>
      <c r="BG22" s="53">
        <v>48.394211590351389</v>
      </c>
      <c r="BH22" s="450">
        <v>24136.629676862638</v>
      </c>
      <c r="BI22" s="347">
        <f t="shared" si="15"/>
        <v>5467.5330935480815</v>
      </c>
      <c r="BJ22" s="347">
        <f t="shared" si="19"/>
        <v>29604.16277041072</v>
      </c>
      <c r="BK22" s="45">
        <v>13592.949699509265</v>
      </c>
      <c r="BL22" s="47">
        <v>40.781864462931729</v>
      </c>
      <c r="BM22" s="45">
        <v>10543.679977353373</v>
      </c>
      <c r="BN22" s="55">
        <v>1.7756726987472058</v>
      </c>
      <c r="BO22" s="47">
        <f t="shared" si="20"/>
        <v>2.1779057103021202</v>
      </c>
      <c r="BP22" s="45">
        <v>11676.202069751474</v>
      </c>
      <c r="BQ22" s="55">
        <v>2.0671644369183464</v>
      </c>
      <c r="BR22" s="54">
        <v>3.8722226807544127</v>
      </c>
      <c r="BS22" s="53">
        <v>38.218503274746524</v>
      </c>
      <c r="BT22" s="54">
        <v>8.7754278740674039</v>
      </c>
      <c r="BU22" s="53">
        <v>86.612714865097914</v>
      </c>
      <c r="BV22" s="450">
        <v>20480.676097421692</v>
      </c>
      <c r="BW22" s="347">
        <f t="shared" si="16"/>
        <v>4317.8910157555702</v>
      </c>
      <c r="BX22" s="347">
        <f t="shared" si="21"/>
        <v>24798.567113177261</v>
      </c>
      <c r="BY22" s="45">
        <v>10734.800207133358</v>
      </c>
      <c r="BZ22" s="47">
        <v>32.206781954013188</v>
      </c>
      <c r="CA22" s="45">
        <v>9745.8758902883346</v>
      </c>
      <c r="CB22" s="55">
        <v>1.9078767841260915</v>
      </c>
      <c r="CC22" s="47">
        <f t="shared" si="22"/>
        <v>2.3101097956810062</v>
      </c>
      <c r="CD22" s="45">
        <v>9221.0814552947377</v>
      </c>
      <c r="CE22" s="55">
        <v>2.2210709445215566</v>
      </c>
      <c r="CF22" s="52">
        <v>4.0237149368093545</v>
      </c>
      <c r="CG22" s="53">
        <v>39.713718752128763</v>
      </c>
      <c r="CH22" s="54">
        <v>12.799142810876759</v>
      </c>
      <c r="CI22" s="53">
        <v>126.32643361722668</v>
      </c>
      <c r="CJ22" s="450">
        <v>22973.476957862742</v>
      </c>
      <c r="CK22" s="347">
        <f t="shared" si="17"/>
        <v>4486.8190721473929</v>
      </c>
      <c r="CL22" s="347">
        <f t="shared" si="23"/>
        <v>27460.296030010133</v>
      </c>
      <c r="CM22" s="45">
        <v>11154.77582211035</v>
      </c>
      <c r="CN22" s="47">
        <v>33.466801963382196</v>
      </c>
      <c r="CO22" s="45">
        <v>11818.701135752392</v>
      </c>
      <c r="CP22" s="55">
        <v>2.0595193775500218</v>
      </c>
      <c r="CQ22" s="47">
        <f t="shared" si="24"/>
        <v>2.461752389104936</v>
      </c>
      <c r="CR22" s="45">
        <v>9581.8361298313866</v>
      </c>
      <c r="CS22" s="55">
        <v>2.3976069561802253</v>
      </c>
      <c r="CT22" s="239"/>
      <c r="CU22" s="239"/>
      <c r="CV22" s="239"/>
      <c r="CW22" s="239"/>
      <c r="CX22" s="239"/>
      <c r="CY22" s="239"/>
      <c r="CZ22" s="239"/>
      <c r="DA22" s="239"/>
      <c r="DB22" s="239"/>
      <c r="DC22" s="239"/>
      <c r="DD22" s="239"/>
      <c r="DE22" s="239"/>
      <c r="DF22" s="239"/>
      <c r="DG22" s="239"/>
      <c r="DH22" s="239"/>
      <c r="DI22" s="239"/>
      <c r="DJ22" s="239"/>
      <c r="DK22" s="239"/>
      <c r="DL22" s="239"/>
      <c r="DM22" s="239"/>
      <c r="DN22" s="239"/>
      <c r="DO22" s="239"/>
      <c r="DP22" s="239"/>
      <c r="DQ22" s="239"/>
      <c r="DR22" s="239"/>
      <c r="DS22" s="239"/>
      <c r="DT22" s="239"/>
      <c r="DU22" s="239"/>
      <c r="DV22" s="239"/>
      <c r="DW22" s="239"/>
      <c r="DX22" s="239"/>
      <c r="DY22" s="239"/>
      <c r="DZ22" s="239"/>
      <c r="EA22" s="239"/>
      <c r="EB22" s="239"/>
      <c r="EC22" s="239"/>
      <c r="ED22" s="239"/>
      <c r="EE22" s="239"/>
      <c r="EF22" s="239"/>
      <c r="EG22" s="239"/>
      <c r="EH22" s="239"/>
      <c r="EI22" s="239"/>
      <c r="EJ22" s="239"/>
      <c r="EK22" s="239"/>
      <c r="EL22" s="239"/>
      <c r="EM22" s="239"/>
      <c r="EN22" s="239"/>
      <c r="EO22" s="239"/>
      <c r="EP22" s="239"/>
      <c r="EQ22" s="239"/>
      <c r="ER22" s="239"/>
      <c r="ES22" s="239"/>
      <c r="ET22" s="239"/>
      <c r="EU22" s="239"/>
      <c r="EV22" s="239"/>
      <c r="EW22" s="239"/>
      <c r="EX22" s="239"/>
      <c r="EY22" s="239"/>
      <c r="EZ22" s="239"/>
      <c r="FA22" s="239"/>
      <c r="FB22" s="239"/>
      <c r="FC22" s="239"/>
      <c r="FD22" s="239"/>
      <c r="FE22" s="239"/>
      <c r="FF22" s="239"/>
      <c r="FG22" s="239"/>
      <c r="FH22" s="239"/>
      <c r="FI22" s="239"/>
      <c r="FJ22" s="239"/>
      <c r="FK22" s="239"/>
      <c r="FL22" s="239"/>
      <c r="FM22" s="239"/>
      <c r="FN22" s="239"/>
      <c r="FO22" s="239"/>
      <c r="FP22" s="239"/>
      <c r="FQ22" s="239"/>
      <c r="FR22" s="239"/>
      <c r="FS22" s="239"/>
      <c r="FT22" s="239"/>
      <c r="FU22" s="239"/>
      <c r="FV22" s="239"/>
      <c r="FW22" s="239"/>
      <c r="FX22" s="239"/>
      <c r="FY22" s="239"/>
      <c r="FZ22" s="239"/>
      <c r="GA22" s="239"/>
      <c r="GB22" s="239"/>
      <c r="GC22" s="239"/>
      <c r="GD22" s="239"/>
      <c r="GE22" s="239"/>
      <c r="GF22" s="239"/>
      <c r="GG22" s="239"/>
      <c r="GH22" s="239"/>
      <c r="GI22" s="239"/>
      <c r="GJ22" s="239"/>
      <c r="GK22" s="239"/>
      <c r="GL22" s="239"/>
      <c r="GM22" s="239"/>
      <c r="GN22" s="239"/>
      <c r="GO22" s="239"/>
      <c r="GP22" s="239"/>
      <c r="GQ22" s="239"/>
      <c r="GR22" s="239"/>
      <c r="GS22" s="239"/>
      <c r="GT22" s="239"/>
      <c r="GU22" s="239"/>
      <c r="GV22" s="239"/>
      <c r="GW22" s="239"/>
      <c r="GX22" s="239"/>
      <c r="GY22" s="239"/>
      <c r="GZ22" s="239"/>
      <c r="HA22" s="239"/>
      <c r="HB22" s="239"/>
      <c r="HC22" s="239"/>
      <c r="HD22" s="239"/>
      <c r="HE22" s="239"/>
      <c r="HF22" s="239"/>
      <c r="HG22" s="239"/>
      <c r="HH22" s="239"/>
      <c r="HI22" s="239"/>
      <c r="HJ22" s="239"/>
      <c r="HK22" s="239"/>
      <c r="HL22" s="239"/>
      <c r="HM22" s="239"/>
      <c r="HN22" s="239"/>
      <c r="HO22" s="239"/>
      <c r="HP22" s="239"/>
      <c r="HQ22" s="239"/>
      <c r="HR22" s="239"/>
      <c r="HS22" s="239"/>
      <c r="HT22" s="239"/>
      <c r="HU22" s="239"/>
      <c r="HV22" s="239"/>
      <c r="HW22" s="239"/>
      <c r="HX22" s="239"/>
      <c r="HY22" s="239"/>
      <c r="HZ22" s="239"/>
      <c r="IA22" s="239"/>
      <c r="IB22" s="239"/>
      <c r="IC22" s="239"/>
      <c r="ID22" s="239"/>
      <c r="IE22" s="239"/>
      <c r="IF22" s="239"/>
      <c r="IG22" s="239"/>
      <c r="IH22" s="239"/>
      <c r="II22" s="239"/>
      <c r="IJ22" s="239"/>
      <c r="IK22" s="239"/>
      <c r="IL22" s="239"/>
      <c r="IM22" s="239"/>
      <c r="IN22" s="239"/>
      <c r="IO22" s="239"/>
      <c r="IP22" s="239"/>
      <c r="IQ22" s="239"/>
      <c r="IR22" s="239"/>
      <c r="IS22" s="239"/>
      <c r="IT22" s="239"/>
      <c r="IU22" s="239"/>
    </row>
    <row r="23" spans="1:255" s="34" customFormat="1" ht="13.5" customHeight="1">
      <c r="A23" s="377" t="str">
        <f t="shared" si="0"/>
        <v>BNI - Efficient Product Rebates; ENERGY STAR® Self Contained Ice Maker; COM-Refrigeration; Retail</v>
      </c>
      <c r="B23" s="42" t="s">
        <v>52</v>
      </c>
      <c r="C23" s="15" t="s">
        <v>46</v>
      </c>
      <c r="D23" s="15" t="s">
        <v>30</v>
      </c>
      <c r="E23" s="43">
        <v>8</v>
      </c>
      <c r="F23" s="44">
        <v>355.83561750375094</v>
      </c>
      <c r="G23" s="28">
        <v>36.052556501571026</v>
      </c>
      <c r="H23" s="29">
        <v>200</v>
      </c>
      <c r="I23" s="30">
        <v>0.25</v>
      </c>
      <c r="J23" s="29">
        <v>11.38673976012003</v>
      </c>
      <c r="K23" s="29">
        <v>61.38673976012003</v>
      </c>
      <c r="L23" s="29">
        <v>150</v>
      </c>
      <c r="M23" s="29">
        <v>211.38673976012004</v>
      </c>
      <c r="N23" s="29">
        <v>177.47313662690487</v>
      </c>
      <c r="O23" s="31">
        <v>0.82</v>
      </c>
      <c r="P23" s="31">
        <v>0.82975470228310022</v>
      </c>
      <c r="Q23" s="310">
        <f t="shared" si="1"/>
        <v>0.82975470228310022</v>
      </c>
      <c r="R23" s="311">
        <f t="shared" si="18"/>
        <v>0</v>
      </c>
      <c r="S23" s="311">
        <f t="shared" si="2"/>
        <v>219.11492016934471</v>
      </c>
      <c r="T23" s="310">
        <f t="shared" si="3"/>
        <v>1.8542006483369851</v>
      </c>
      <c r="U23" s="315">
        <f t="shared" si="4"/>
        <v>1.2346371080936145</v>
      </c>
      <c r="V23" s="32">
        <v>0.17251432049090179</v>
      </c>
      <c r="W23" s="33">
        <v>1.7027014369270885</v>
      </c>
      <c r="X23" s="48" t="s">
        <v>31</v>
      </c>
      <c r="Y23" s="48" t="s">
        <v>558</v>
      </c>
      <c r="Z23" s="246" t="s">
        <v>31</v>
      </c>
      <c r="AA23" s="257">
        <f>3526/264.172</f>
        <v>13.347364595793648</v>
      </c>
      <c r="AB23" s="386">
        <v>0</v>
      </c>
      <c r="AC23" s="387">
        <f>(AA23*AC3)</f>
        <v>36.424957981920869</v>
      </c>
      <c r="AD23" s="337">
        <f t="shared" si="25"/>
        <v>0</v>
      </c>
      <c r="AE23" s="337">
        <f t="shared" si="25"/>
        <v>0</v>
      </c>
      <c r="AF23" s="337">
        <f t="shared" ref="AF23:AH23" si="39">AE23*0</f>
        <v>0</v>
      </c>
      <c r="AG23" s="337">
        <f t="shared" si="39"/>
        <v>0</v>
      </c>
      <c r="AH23" s="337">
        <f t="shared" si="39"/>
        <v>0</v>
      </c>
      <c r="AI23" s="337">
        <f t="shared" si="27"/>
        <v>36.424957981920869</v>
      </c>
      <c r="AJ23" s="337" t="s">
        <v>40</v>
      </c>
      <c r="AK23" s="337">
        <f t="shared" si="28"/>
        <v>0</v>
      </c>
      <c r="AL23" s="337">
        <f t="shared" ref="AL23:AM23" si="40">AK23*0</f>
        <v>0</v>
      </c>
      <c r="AM23" s="337">
        <f t="shared" si="40"/>
        <v>0</v>
      </c>
      <c r="AN23" s="337">
        <f t="shared" si="14"/>
        <v>36.424957981920869</v>
      </c>
      <c r="AO23" s="294" t="s">
        <v>605</v>
      </c>
      <c r="AP23" s="282" t="s">
        <v>500</v>
      </c>
      <c r="AQ23" s="136" t="s">
        <v>31</v>
      </c>
      <c r="AR23" s="294" t="s">
        <v>597</v>
      </c>
      <c r="AS23" s="142"/>
      <c r="AT23" s="142" t="s">
        <v>219</v>
      </c>
      <c r="AU23" s="146"/>
      <c r="AV23" s="32"/>
      <c r="AW23" s="131" t="s">
        <v>284</v>
      </c>
      <c r="AX23" s="131"/>
      <c r="AY23" s="131"/>
      <c r="AZ23" s="48"/>
      <c r="BA23" s="48"/>
      <c r="BB23" s="241"/>
      <c r="BC23" s="56" t="s">
        <v>52</v>
      </c>
      <c r="BD23" s="57">
        <v>4.2905270466968938E-2</v>
      </c>
      <c r="BE23" s="47">
        <v>0.42347131222480866</v>
      </c>
      <c r="BF23" s="47">
        <v>4.2905270466968938E-2</v>
      </c>
      <c r="BG23" s="47">
        <v>0.42347131222480866</v>
      </c>
      <c r="BH23" s="450">
        <v>211.20646263370733</v>
      </c>
      <c r="BI23" s="347">
        <f t="shared" si="15"/>
        <v>260.76333623676243</v>
      </c>
      <c r="BJ23" s="347">
        <f t="shared" si="19"/>
        <v>471.96979887046973</v>
      </c>
      <c r="BK23" s="45">
        <v>254.54084448399638</v>
      </c>
      <c r="BL23" s="47">
        <v>1.451311797186817</v>
      </c>
      <c r="BM23" s="45">
        <v>-43.334381850289049</v>
      </c>
      <c r="BN23" s="55">
        <v>0.82975470228310022</v>
      </c>
      <c r="BO23" s="47">
        <f t="shared" si="20"/>
        <v>1.8542006483369848</v>
      </c>
      <c r="BP23" s="45">
        <v>89.09129960469923</v>
      </c>
      <c r="BQ23" s="55">
        <v>2.3706743932441974</v>
      </c>
      <c r="BR23" s="54">
        <v>7.2007407044826194E-2</v>
      </c>
      <c r="BS23" s="53">
        <v>0.71070688564133133</v>
      </c>
      <c r="BT23" s="54">
        <v>0.11491267751179514</v>
      </c>
      <c r="BU23" s="53">
        <v>1.13417819786614</v>
      </c>
      <c r="BV23" s="450">
        <v>380.8562941460184</v>
      </c>
      <c r="BW23" s="347">
        <f t="shared" si="16"/>
        <v>437.63601744972141</v>
      </c>
      <c r="BX23" s="347">
        <f t="shared" si="21"/>
        <v>818.49231159573981</v>
      </c>
      <c r="BY23" s="45">
        <v>427.19288327068273</v>
      </c>
      <c r="BZ23" s="47">
        <v>2.4357193927828469</v>
      </c>
      <c r="CA23" s="45">
        <v>-46.336589124664329</v>
      </c>
      <c r="CB23" s="55">
        <v>0.89153239452422239</v>
      </c>
      <c r="CC23" s="47">
        <f t="shared" si="22"/>
        <v>1.9159783405781075</v>
      </c>
      <c r="CD23" s="45">
        <v>149.52087249343819</v>
      </c>
      <c r="CE23" s="55">
        <v>2.5471781149667416</v>
      </c>
      <c r="CF23" s="52">
        <v>0.11480029067770166</v>
      </c>
      <c r="CG23" s="53">
        <v>1.1330689495245641</v>
      </c>
      <c r="CH23" s="54">
        <v>0.22971296818949682</v>
      </c>
      <c r="CI23" s="53">
        <v>2.2672471473907043</v>
      </c>
      <c r="CJ23" s="450">
        <v>655.45444298582595</v>
      </c>
      <c r="CK23" s="347">
        <f t="shared" si="17"/>
        <v>697.71630553206501</v>
      </c>
      <c r="CL23" s="347">
        <f t="shared" si="23"/>
        <v>1353.1707485178908</v>
      </c>
      <c r="CM23" s="45">
        <v>681.06697890663122</v>
      </c>
      <c r="CN23" s="47">
        <v>3.8832295978483904</v>
      </c>
      <c r="CO23" s="45">
        <v>-25.612535920805271</v>
      </c>
      <c r="CP23" s="55">
        <v>0.96239351383336336</v>
      </c>
      <c r="CQ23" s="47">
        <f t="shared" si="24"/>
        <v>1.9868394598872479</v>
      </c>
      <c r="CR23" s="45">
        <v>238.37880475191471</v>
      </c>
      <c r="CS23" s="55">
        <v>2.749633901671626</v>
      </c>
      <c r="CT23" s="239"/>
      <c r="CU23" s="239"/>
      <c r="CV23" s="239"/>
      <c r="CW23" s="239"/>
      <c r="CX23" s="239"/>
      <c r="CY23" s="239"/>
      <c r="CZ23" s="239"/>
      <c r="DA23" s="239"/>
      <c r="DB23" s="239"/>
      <c r="DC23" s="239"/>
      <c r="DD23" s="239"/>
      <c r="DE23" s="239"/>
      <c r="DF23" s="239"/>
      <c r="DG23" s="239"/>
      <c r="DH23" s="239"/>
      <c r="DI23" s="239"/>
      <c r="DJ23" s="239"/>
      <c r="DK23" s="239"/>
      <c r="DL23" s="239"/>
      <c r="DM23" s="239"/>
      <c r="DN23" s="239"/>
      <c r="DO23" s="239"/>
      <c r="DP23" s="239"/>
      <c r="DQ23" s="239"/>
      <c r="DR23" s="239"/>
      <c r="DS23" s="239"/>
      <c r="DT23" s="239"/>
      <c r="DU23" s="239"/>
      <c r="DV23" s="239"/>
      <c r="DW23" s="239"/>
      <c r="DX23" s="239"/>
      <c r="DY23" s="239"/>
      <c r="DZ23" s="239"/>
      <c r="EA23" s="239"/>
      <c r="EB23" s="239"/>
      <c r="EC23" s="239"/>
      <c r="ED23" s="239"/>
      <c r="EE23" s="239"/>
      <c r="EF23" s="239"/>
      <c r="EG23" s="239"/>
      <c r="EH23" s="239"/>
      <c r="EI23" s="239"/>
      <c r="EJ23" s="239"/>
      <c r="EK23" s="239"/>
      <c r="EL23" s="239"/>
      <c r="EM23" s="239"/>
      <c r="EN23" s="239"/>
      <c r="EO23" s="239"/>
      <c r="EP23" s="239"/>
      <c r="EQ23" s="239"/>
      <c r="ER23" s="239"/>
      <c r="ES23" s="239"/>
      <c r="ET23" s="239"/>
      <c r="EU23" s="239"/>
      <c r="EV23" s="239"/>
      <c r="EW23" s="239"/>
      <c r="EX23" s="239"/>
      <c r="EY23" s="239"/>
      <c r="EZ23" s="239"/>
      <c r="FA23" s="239"/>
      <c r="FB23" s="239"/>
      <c r="FC23" s="239"/>
      <c r="FD23" s="239"/>
      <c r="FE23" s="239"/>
      <c r="FF23" s="239"/>
      <c r="FG23" s="239"/>
      <c r="FH23" s="239"/>
      <c r="FI23" s="239"/>
      <c r="FJ23" s="239"/>
      <c r="FK23" s="239"/>
      <c r="FL23" s="239"/>
      <c r="FM23" s="239"/>
      <c r="FN23" s="239"/>
      <c r="FO23" s="239"/>
      <c r="FP23" s="239"/>
      <c r="FQ23" s="239"/>
      <c r="FR23" s="239"/>
      <c r="FS23" s="239"/>
      <c r="FT23" s="239"/>
      <c r="FU23" s="239"/>
      <c r="FV23" s="239"/>
      <c r="FW23" s="239"/>
      <c r="FX23" s="239"/>
      <c r="FY23" s="239"/>
      <c r="FZ23" s="239"/>
      <c r="GA23" s="239"/>
      <c r="GB23" s="239"/>
      <c r="GC23" s="239"/>
      <c r="GD23" s="239"/>
      <c r="GE23" s="239"/>
      <c r="GF23" s="239"/>
      <c r="GG23" s="239"/>
      <c r="GH23" s="239"/>
      <c r="GI23" s="239"/>
      <c r="GJ23" s="239"/>
      <c r="GK23" s="239"/>
      <c r="GL23" s="239"/>
      <c r="GM23" s="239"/>
      <c r="GN23" s="239"/>
      <c r="GO23" s="239"/>
      <c r="GP23" s="239"/>
      <c r="GQ23" s="239"/>
      <c r="GR23" s="239"/>
      <c r="GS23" s="239"/>
      <c r="GT23" s="239"/>
      <c r="GU23" s="239"/>
      <c r="GV23" s="239"/>
      <c r="GW23" s="239"/>
      <c r="GX23" s="239"/>
      <c r="GY23" s="239"/>
      <c r="GZ23" s="239"/>
      <c r="HA23" s="239"/>
      <c r="HB23" s="239"/>
      <c r="HC23" s="239"/>
      <c r="HD23" s="239"/>
      <c r="HE23" s="239"/>
      <c r="HF23" s="239"/>
      <c r="HG23" s="239"/>
      <c r="HH23" s="239"/>
      <c r="HI23" s="239"/>
      <c r="HJ23" s="239"/>
      <c r="HK23" s="239"/>
      <c r="HL23" s="239"/>
      <c r="HM23" s="239"/>
      <c r="HN23" s="239"/>
      <c r="HO23" s="239"/>
      <c r="HP23" s="239"/>
      <c r="HQ23" s="239"/>
      <c r="HR23" s="239"/>
      <c r="HS23" s="239"/>
      <c r="HT23" s="239"/>
      <c r="HU23" s="239"/>
      <c r="HV23" s="239"/>
      <c r="HW23" s="239"/>
      <c r="HX23" s="239"/>
      <c r="HY23" s="239"/>
      <c r="HZ23" s="239"/>
      <c r="IA23" s="239"/>
      <c r="IB23" s="239"/>
      <c r="IC23" s="239"/>
      <c r="ID23" s="239"/>
      <c r="IE23" s="239"/>
      <c r="IF23" s="239"/>
      <c r="IG23" s="239"/>
      <c r="IH23" s="239"/>
      <c r="II23" s="239"/>
      <c r="IJ23" s="239"/>
      <c r="IK23" s="239"/>
      <c r="IL23" s="239"/>
      <c r="IM23" s="239"/>
      <c r="IN23" s="239"/>
      <c r="IO23" s="239"/>
      <c r="IP23" s="239"/>
      <c r="IQ23" s="239"/>
      <c r="IR23" s="239"/>
      <c r="IS23" s="239"/>
      <c r="IT23" s="239"/>
      <c r="IU23" s="239"/>
    </row>
    <row r="24" spans="1:255" s="41" customFormat="1" ht="15" customHeight="1">
      <c r="A24" s="377" t="str">
        <f t="shared" si="0"/>
        <v>BNI - Efficient Product Rebates; ENERGY STAR® Commercial Electric Convection Oven; COM-Other; Retail</v>
      </c>
      <c r="B24" s="42" t="s">
        <v>53</v>
      </c>
      <c r="C24" s="15" t="s">
        <v>29</v>
      </c>
      <c r="D24" s="15" t="s">
        <v>30</v>
      </c>
      <c r="E24" s="43">
        <v>12</v>
      </c>
      <c r="F24" s="44">
        <v>2102.318175824174</v>
      </c>
      <c r="G24" s="35">
        <v>239.99088874099644</v>
      </c>
      <c r="H24" s="36">
        <v>500</v>
      </c>
      <c r="I24" s="37">
        <v>0.8</v>
      </c>
      <c r="J24" s="36">
        <v>67.274181626373576</v>
      </c>
      <c r="K24" s="36">
        <v>467.27418162637355</v>
      </c>
      <c r="L24" s="36">
        <v>100</v>
      </c>
      <c r="M24" s="36">
        <v>567.27418162637355</v>
      </c>
      <c r="N24" s="36">
        <v>1575.6245200921805</v>
      </c>
      <c r="O24" s="38">
        <v>0.82</v>
      </c>
      <c r="P24" s="38">
        <v>2.7070647359823434</v>
      </c>
      <c r="Q24" s="310">
        <f t="shared" si="1"/>
        <v>2.7070647359823434</v>
      </c>
      <c r="R24" s="311">
        <f t="shared" si="18"/>
        <v>0</v>
      </c>
      <c r="S24" s="311">
        <f t="shared" si="2"/>
        <v>0</v>
      </c>
      <c r="T24" s="310">
        <f t="shared" si="3"/>
        <v>2.7070647359823434</v>
      </c>
      <c r="U24" s="315">
        <f t="shared" si="4"/>
        <v>0</v>
      </c>
      <c r="V24" s="39">
        <v>0.22226615694990487</v>
      </c>
      <c r="W24" s="40">
        <v>1.9470496737510161</v>
      </c>
      <c r="X24" s="48" t="s">
        <v>40</v>
      </c>
      <c r="Y24" s="48" t="s">
        <v>559</v>
      </c>
      <c r="Z24" s="246" t="s">
        <v>40</v>
      </c>
      <c r="AA24" s="246"/>
      <c r="AB24" s="386">
        <v>0</v>
      </c>
      <c r="AC24" s="388">
        <v>0</v>
      </c>
      <c r="AD24" s="360">
        <f>AC24*0.01</f>
        <v>0</v>
      </c>
      <c r="AE24" s="360">
        <f>AC24*0</f>
        <v>0</v>
      </c>
      <c r="AF24" s="360">
        <f>AD24*0</f>
        <v>0</v>
      </c>
      <c r="AG24" s="360">
        <f>AE24*0</f>
        <v>0</v>
      </c>
      <c r="AH24" s="360">
        <f>AF24*0</f>
        <v>0</v>
      </c>
      <c r="AI24" s="360">
        <f>AC24*0.99</f>
        <v>0</v>
      </c>
      <c r="AJ24" s="360" t="s">
        <v>40</v>
      </c>
      <c r="AK24" s="360">
        <f>AH24*0</f>
        <v>0</v>
      </c>
      <c r="AL24" s="360">
        <f>AI24*0</f>
        <v>0</v>
      </c>
      <c r="AM24" s="360">
        <f t="shared" ref="AM24" si="41">AK24*0</f>
        <v>0</v>
      </c>
      <c r="AN24" s="360">
        <f t="shared" si="14"/>
        <v>0</v>
      </c>
      <c r="AO24" s="294" t="s">
        <v>606</v>
      </c>
      <c r="AP24" s="282" t="s">
        <v>419</v>
      </c>
      <c r="AQ24" s="136" t="s">
        <v>40</v>
      </c>
      <c r="AR24" s="289"/>
      <c r="AS24" s="142"/>
      <c r="AT24" s="142"/>
      <c r="AU24" s="146"/>
      <c r="AV24" s="39"/>
      <c r="AW24" s="131" t="s">
        <v>284</v>
      </c>
      <c r="AX24" s="131"/>
      <c r="AY24" s="131"/>
      <c r="AZ24" s="48"/>
      <c r="BA24" s="48"/>
      <c r="BB24" s="241"/>
      <c r="BC24" s="56" t="s">
        <v>53</v>
      </c>
      <c r="BD24" s="52">
        <v>5.6073591498168476</v>
      </c>
      <c r="BE24" s="53">
        <v>49.120419199565156</v>
      </c>
      <c r="BF24" s="54">
        <v>5.6073591498168476</v>
      </c>
      <c r="BG24" s="53">
        <v>49.120419199565156</v>
      </c>
      <c r="BH24" s="450">
        <v>36814.283307853817</v>
      </c>
      <c r="BI24" s="347">
        <f t="shared" si="15"/>
        <v>0</v>
      </c>
      <c r="BJ24" s="347">
        <f t="shared" si="19"/>
        <v>36814.283307853817</v>
      </c>
      <c r="BK24" s="45">
        <v>13599.336143874891</v>
      </c>
      <c r="BL24" s="47">
        <v>28.493760331919468</v>
      </c>
      <c r="BM24" s="45">
        <v>23214.947163978926</v>
      </c>
      <c r="BN24" s="55">
        <v>2.707064735982343</v>
      </c>
      <c r="BO24" s="47">
        <f t="shared" si="20"/>
        <v>2.707064735982343</v>
      </c>
      <c r="BP24" s="45">
        <v>13314.398540555696</v>
      </c>
      <c r="BQ24" s="55">
        <v>2.7649978476847754</v>
      </c>
      <c r="BR24" s="54">
        <v>4.4530006222765133</v>
      </c>
      <c r="BS24" s="53">
        <v>39.008248164252379</v>
      </c>
      <c r="BT24" s="54">
        <v>10.06035977209336</v>
      </c>
      <c r="BU24" s="53">
        <v>88.128667363817527</v>
      </c>
      <c r="BV24" s="450">
        <v>31021.099589676844</v>
      </c>
      <c r="BW24" s="347">
        <f t="shared" si="16"/>
        <v>0</v>
      </c>
      <c r="BX24" s="347">
        <f t="shared" si="21"/>
        <v>31021.099589676844</v>
      </c>
      <c r="BY24" s="45">
        <v>10799.70993354338</v>
      </c>
      <c r="BZ24" s="47">
        <v>22.627894718172204</v>
      </c>
      <c r="CA24" s="45">
        <v>20221.389656133462</v>
      </c>
      <c r="CB24" s="55">
        <v>2.8724011830472223</v>
      </c>
      <c r="CC24" s="47">
        <f t="shared" si="22"/>
        <v>2.8724011830472223</v>
      </c>
      <c r="CD24" s="45">
        <v>10573.430986361658</v>
      </c>
      <c r="CE24" s="55">
        <v>2.933872612370573</v>
      </c>
      <c r="CF24" s="52">
        <v>4.5900950909069884</v>
      </c>
      <c r="CG24" s="53">
        <v>40.209194561504376</v>
      </c>
      <c r="CH24" s="54">
        <v>14.650454863000348</v>
      </c>
      <c r="CI24" s="53">
        <v>128.3378619253219</v>
      </c>
      <c r="CJ24" s="450">
        <v>34071.429205431596</v>
      </c>
      <c r="CK24" s="347">
        <f t="shared" si="17"/>
        <v>0</v>
      </c>
      <c r="CL24" s="347">
        <f t="shared" si="23"/>
        <v>34071.429205431596</v>
      </c>
      <c r="CM24" s="45">
        <v>11132.200454046713</v>
      </c>
      <c r="CN24" s="47">
        <v>23.3245394002087</v>
      </c>
      <c r="CO24" s="45">
        <v>22939.228751384882</v>
      </c>
      <c r="CP24" s="55">
        <v>3.060619447707317</v>
      </c>
      <c r="CQ24" s="47">
        <f t="shared" si="24"/>
        <v>3.060619447707317</v>
      </c>
      <c r="CR24" s="45">
        <v>10898.955060044627</v>
      </c>
      <c r="CS24" s="55">
        <v>3.1261188818308683</v>
      </c>
      <c r="CT24" s="239"/>
      <c r="CU24" s="239"/>
      <c r="CV24" s="239"/>
      <c r="CW24" s="239"/>
      <c r="CX24" s="239"/>
      <c r="CY24" s="239"/>
      <c r="CZ24" s="239"/>
      <c r="DA24" s="239"/>
      <c r="DB24" s="239"/>
      <c r="DC24" s="239"/>
      <c r="DD24" s="239"/>
      <c r="DE24" s="239"/>
      <c r="DF24" s="239"/>
      <c r="DG24" s="239"/>
      <c r="DH24" s="239"/>
      <c r="DI24" s="239"/>
      <c r="DJ24" s="239"/>
      <c r="DK24" s="239"/>
      <c r="DL24" s="239"/>
      <c r="DM24" s="239"/>
      <c r="DN24" s="239"/>
      <c r="DO24" s="239"/>
      <c r="DP24" s="239"/>
      <c r="DQ24" s="239"/>
      <c r="DR24" s="239"/>
      <c r="DS24" s="239"/>
      <c r="DT24" s="239"/>
      <c r="DU24" s="239"/>
      <c r="DV24" s="239"/>
      <c r="DW24" s="239"/>
      <c r="DX24" s="239"/>
      <c r="DY24" s="239"/>
      <c r="DZ24" s="239"/>
      <c r="EA24" s="239"/>
      <c r="EB24" s="239"/>
      <c r="EC24" s="239"/>
      <c r="ED24" s="239"/>
      <c r="EE24" s="239"/>
      <c r="EF24" s="239"/>
      <c r="EG24" s="239"/>
      <c r="EH24" s="239"/>
      <c r="EI24" s="239"/>
      <c r="EJ24" s="239"/>
      <c r="EK24" s="239"/>
      <c r="EL24" s="239"/>
      <c r="EM24" s="239"/>
      <c r="EN24" s="239"/>
      <c r="EO24" s="239"/>
      <c r="EP24" s="239"/>
      <c r="EQ24" s="239"/>
      <c r="ER24" s="239"/>
      <c r="ES24" s="239"/>
      <c r="ET24" s="239"/>
      <c r="EU24" s="239"/>
      <c r="EV24" s="239"/>
      <c r="EW24" s="239"/>
      <c r="EX24" s="239"/>
      <c r="EY24" s="239"/>
      <c r="EZ24" s="239"/>
      <c r="FA24" s="239"/>
      <c r="FB24" s="239"/>
      <c r="FC24" s="239"/>
      <c r="FD24" s="239"/>
      <c r="FE24" s="239"/>
      <c r="FF24" s="239"/>
      <c r="FG24" s="239"/>
      <c r="FH24" s="239"/>
      <c r="FI24" s="239"/>
      <c r="FJ24" s="239"/>
      <c r="FK24" s="239"/>
      <c r="FL24" s="239"/>
      <c r="FM24" s="239"/>
      <c r="FN24" s="239"/>
      <c r="FO24" s="239"/>
      <c r="FP24" s="239"/>
      <c r="FQ24" s="239"/>
      <c r="FR24" s="239"/>
      <c r="FS24" s="239"/>
      <c r="FT24" s="239"/>
      <c r="FU24" s="239"/>
      <c r="FV24" s="239"/>
      <c r="FW24" s="239"/>
      <c r="FX24" s="239"/>
      <c r="FY24" s="239"/>
      <c r="FZ24" s="239"/>
      <c r="GA24" s="239"/>
      <c r="GB24" s="239"/>
      <c r="GC24" s="239"/>
      <c r="GD24" s="239"/>
      <c r="GE24" s="239"/>
      <c r="GF24" s="239"/>
      <c r="GG24" s="239"/>
      <c r="GH24" s="239"/>
      <c r="GI24" s="239"/>
      <c r="GJ24" s="239"/>
      <c r="GK24" s="239"/>
      <c r="GL24" s="239"/>
      <c r="GM24" s="239"/>
      <c r="GN24" s="239"/>
      <c r="GO24" s="239"/>
      <c r="GP24" s="239"/>
      <c r="GQ24" s="239"/>
      <c r="GR24" s="239"/>
      <c r="GS24" s="239"/>
      <c r="GT24" s="239"/>
      <c r="GU24" s="239"/>
      <c r="GV24" s="239"/>
      <c r="GW24" s="239"/>
      <c r="GX24" s="239"/>
      <c r="GY24" s="239"/>
      <c r="GZ24" s="239"/>
      <c r="HA24" s="239"/>
      <c r="HB24" s="239"/>
      <c r="HC24" s="239"/>
      <c r="HD24" s="239"/>
      <c r="HE24" s="239"/>
      <c r="HF24" s="239"/>
      <c r="HG24" s="239"/>
      <c r="HH24" s="239"/>
      <c r="HI24" s="239"/>
      <c r="HJ24" s="239"/>
      <c r="HK24" s="239"/>
      <c r="HL24" s="239"/>
      <c r="HM24" s="239"/>
      <c r="HN24" s="239"/>
      <c r="HO24" s="239"/>
      <c r="HP24" s="239"/>
      <c r="HQ24" s="239"/>
      <c r="HR24" s="239"/>
      <c r="HS24" s="239"/>
      <c r="HT24" s="239"/>
      <c r="HU24" s="239"/>
      <c r="HV24" s="239"/>
      <c r="HW24" s="239"/>
      <c r="HX24" s="239"/>
      <c r="HY24" s="239"/>
      <c r="HZ24" s="239"/>
      <c r="IA24" s="239"/>
      <c r="IB24" s="239"/>
      <c r="IC24" s="239"/>
      <c r="ID24" s="239"/>
      <c r="IE24" s="239"/>
      <c r="IF24" s="239"/>
      <c r="IG24" s="239"/>
      <c r="IH24" s="239"/>
      <c r="II24" s="239"/>
      <c r="IJ24" s="239"/>
      <c r="IK24" s="239"/>
      <c r="IL24" s="239"/>
      <c r="IM24" s="239"/>
      <c r="IN24" s="239"/>
      <c r="IO24" s="239"/>
      <c r="IP24" s="239"/>
      <c r="IQ24" s="239"/>
      <c r="IR24" s="239"/>
      <c r="IS24" s="239"/>
      <c r="IT24" s="239"/>
      <c r="IU24" s="239"/>
    </row>
    <row r="25" spans="1:255" s="23" customFormat="1" ht="15" customHeight="1">
      <c r="A25" s="377" t="str">
        <f t="shared" si="0"/>
        <v>BNI - Efficient Product Rebates; Variable Speed Drive for Kitchen exhaust fans (Demand Controlled Ventilation) ; COM-Motors; Other Commercial</v>
      </c>
      <c r="B25" s="42" t="s">
        <v>54</v>
      </c>
      <c r="C25" s="15" t="s">
        <v>55</v>
      </c>
      <c r="D25" s="15" t="s">
        <v>56</v>
      </c>
      <c r="E25" s="43">
        <v>15</v>
      </c>
      <c r="F25" s="44">
        <v>19911.631434449802</v>
      </c>
      <c r="G25" s="44">
        <v>2273.019459751094</v>
      </c>
      <c r="H25" s="45">
        <v>9500</v>
      </c>
      <c r="I25" s="46">
        <v>0.5</v>
      </c>
      <c r="J25" s="45">
        <v>637.17220590239367</v>
      </c>
      <c r="K25" s="45">
        <v>5387.1722059023941</v>
      </c>
      <c r="L25" s="45">
        <v>4750</v>
      </c>
      <c r="M25" s="45">
        <v>10137.172205902394</v>
      </c>
      <c r="N25" s="45">
        <v>18096.527800036682</v>
      </c>
      <c r="O25" s="47">
        <v>0.82</v>
      </c>
      <c r="P25" s="47">
        <v>1.7608697714325492</v>
      </c>
      <c r="Q25" s="310">
        <f t="shared" si="1"/>
        <v>1.7608697714325492</v>
      </c>
      <c r="R25" s="311">
        <f t="shared" si="18"/>
        <v>0</v>
      </c>
      <c r="S25" s="311">
        <f t="shared" si="2"/>
        <v>0</v>
      </c>
      <c r="T25" s="310">
        <f t="shared" si="3"/>
        <v>1.7608697714325492</v>
      </c>
      <c r="U25" s="315">
        <f t="shared" si="4"/>
        <v>0</v>
      </c>
      <c r="V25" s="48">
        <v>0.27055403388904947</v>
      </c>
      <c r="W25" s="49">
        <v>2.3700510714027558</v>
      </c>
      <c r="X25" s="48" t="s">
        <v>40</v>
      </c>
      <c r="Y25" s="48" t="s">
        <v>560</v>
      </c>
      <c r="Z25" s="246" t="s">
        <v>40</v>
      </c>
      <c r="AA25" s="246"/>
      <c r="AB25" s="386">
        <v>0</v>
      </c>
      <c r="AC25" s="388">
        <v>0</v>
      </c>
      <c r="AD25" s="294">
        <f>AC25*0.006</f>
        <v>0</v>
      </c>
      <c r="AE25" s="294">
        <f>AC25*0</f>
        <v>0</v>
      </c>
      <c r="AF25" s="294">
        <f>AC25*0</f>
        <v>0</v>
      </c>
      <c r="AG25" s="294">
        <f>AC25*0.049</f>
        <v>0</v>
      </c>
      <c r="AH25" s="294">
        <f>AC25*0.002</f>
        <v>0</v>
      </c>
      <c r="AI25" s="294">
        <f>AC25*0.948</f>
        <v>0</v>
      </c>
      <c r="AJ25" s="294" t="s">
        <v>40</v>
      </c>
      <c r="AK25" s="294">
        <f>AC25*0</f>
        <v>0</v>
      </c>
      <c r="AL25" s="294">
        <f>AC25*-0.005</f>
        <v>0</v>
      </c>
      <c r="AM25" s="294">
        <f>AC25*0</f>
        <v>0</v>
      </c>
      <c r="AN25" s="294">
        <f t="shared" si="14"/>
        <v>0</v>
      </c>
      <c r="AO25" s="294" t="s">
        <v>607</v>
      </c>
      <c r="AP25" s="282" t="s">
        <v>419</v>
      </c>
      <c r="AQ25" s="136" t="s">
        <v>40</v>
      </c>
      <c r="AR25" s="289"/>
      <c r="AS25" s="142"/>
      <c r="AT25" s="142" t="s">
        <v>218</v>
      </c>
      <c r="AU25" s="146"/>
      <c r="AV25" s="48"/>
      <c r="AW25" s="131" t="s">
        <v>284</v>
      </c>
      <c r="AX25" s="131"/>
      <c r="AY25" s="131"/>
      <c r="AZ25" s="48"/>
      <c r="BA25" s="48"/>
      <c r="BB25" s="241"/>
      <c r="BC25" s="56" t="s">
        <v>54</v>
      </c>
      <c r="BD25" s="52">
        <v>6.3137292534232001</v>
      </c>
      <c r="BE25" s="53">
        <v>55.308215392416045</v>
      </c>
      <c r="BF25" s="54">
        <v>6.3137292534232001</v>
      </c>
      <c r="BG25" s="53">
        <v>55.308215392416045</v>
      </c>
      <c r="BH25" s="450">
        <v>50266.431493283111</v>
      </c>
      <c r="BI25" s="347">
        <f t="shared" si="15"/>
        <v>0</v>
      </c>
      <c r="BJ25" s="347">
        <f t="shared" si="19"/>
        <v>50266.431493283111</v>
      </c>
      <c r="BK25" s="45">
        <v>28546.365159297977</v>
      </c>
      <c r="BL25" s="47">
        <v>3.3874192269743935</v>
      </c>
      <c r="BM25" s="45">
        <v>21720.066333985134</v>
      </c>
      <c r="BN25" s="55">
        <v>1.7608697714325492</v>
      </c>
      <c r="BO25" s="47">
        <f t="shared" si="20"/>
        <v>1.7608697714325492</v>
      </c>
      <c r="BP25" s="45">
        <v>18248.610709295826</v>
      </c>
      <c r="BQ25" s="55">
        <v>2.7545347037118519</v>
      </c>
      <c r="BR25" s="54">
        <v>6.1793205436639163</v>
      </c>
      <c r="BS25" s="53">
        <v>54.130796220386671</v>
      </c>
      <c r="BT25" s="54">
        <v>12.493049797087115</v>
      </c>
      <c r="BU25" s="53">
        <v>109.43901161280272</v>
      </c>
      <c r="BV25" s="450">
        <v>51992.536134900431</v>
      </c>
      <c r="BW25" s="347">
        <f t="shared" si="16"/>
        <v>0</v>
      </c>
      <c r="BX25" s="347">
        <f t="shared" si="21"/>
        <v>51992.536134900431</v>
      </c>
      <c r="BY25" s="45">
        <v>27938.66090791623</v>
      </c>
      <c r="BZ25" s="47">
        <v>3.3153067512193459</v>
      </c>
      <c r="CA25" s="45">
        <v>24053.875226984201</v>
      </c>
      <c r="CB25" s="55">
        <v>1.8609530466139377</v>
      </c>
      <c r="CC25" s="47">
        <f t="shared" si="22"/>
        <v>1.8609530466139377</v>
      </c>
      <c r="CD25" s="45">
        <v>17860.12838420942</v>
      </c>
      <c r="CE25" s="55">
        <v>2.9110953189378144</v>
      </c>
      <c r="CF25" s="52">
        <v>6.9242946442835169</v>
      </c>
      <c r="CG25" s="53">
        <v>60.656763103825739</v>
      </c>
      <c r="CH25" s="54">
        <v>19.417344441370634</v>
      </c>
      <c r="CI25" s="53">
        <v>170.09577471662845</v>
      </c>
      <c r="CJ25" s="450">
        <v>61851.201189179788</v>
      </c>
      <c r="CK25" s="347">
        <f t="shared" si="17"/>
        <v>0</v>
      </c>
      <c r="CL25" s="347">
        <f t="shared" si="23"/>
        <v>61851.201189179788</v>
      </c>
      <c r="CM25" s="45">
        <v>31306.924236435814</v>
      </c>
      <c r="CN25" s="47">
        <v>3.714997566385132</v>
      </c>
      <c r="CO25" s="45">
        <v>30544.276952743974</v>
      </c>
      <c r="CP25" s="55">
        <v>1.9756396611199432</v>
      </c>
      <c r="CQ25" s="47">
        <f t="shared" si="24"/>
        <v>1.9756396611199432</v>
      </c>
      <c r="CR25" s="45">
        <v>20013.331634625014</v>
      </c>
      <c r="CS25" s="55">
        <v>3.0904999886261408</v>
      </c>
      <c r="CT25" s="239"/>
      <c r="CU25" s="239"/>
      <c r="CV25" s="239"/>
      <c r="CW25" s="239"/>
      <c r="CX25" s="239"/>
      <c r="CY25" s="239"/>
      <c r="CZ25" s="239"/>
      <c r="DA25" s="239"/>
      <c r="DB25" s="239"/>
      <c r="DC25" s="239"/>
      <c r="DD25" s="239"/>
      <c r="DE25" s="239"/>
      <c r="DF25" s="239"/>
      <c r="DG25" s="239"/>
      <c r="DH25" s="239"/>
      <c r="DI25" s="239"/>
      <c r="DJ25" s="239"/>
      <c r="DK25" s="239"/>
      <c r="DL25" s="239"/>
      <c r="DM25" s="239"/>
      <c r="DN25" s="239"/>
      <c r="DO25" s="239"/>
      <c r="DP25" s="239"/>
      <c r="DQ25" s="239"/>
      <c r="DR25" s="239"/>
      <c r="DS25" s="239"/>
      <c r="DT25" s="239"/>
      <c r="DU25" s="239"/>
      <c r="DV25" s="239"/>
      <c r="DW25" s="239"/>
      <c r="DX25" s="239"/>
      <c r="DY25" s="239"/>
      <c r="DZ25" s="239"/>
      <c r="EA25" s="239"/>
      <c r="EB25" s="239"/>
      <c r="EC25" s="239"/>
      <c r="ED25" s="239"/>
      <c r="EE25" s="239"/>
      <c r="EF25" s="239"/>
      <c r="EG25" s="239"/>
      <c r="EH25" s="239"/>
      <c r="EI25" s="239"/>
      <c r="EJ25" s="239"/>
      <c r="EK25" s="239"/>
      <c r="EL25" s="239"/>
      <c r="EM25" s="239"/>
      <c r="EN25" s="239"/>
      <c r="EO25" s="239"/>
      <c r="EP25" s="239"/>
      <c r="EQ25" s="239"/>
      <c r="ER25" s="239"/>
      <c r="ES25" s="239"/>
      <c r="ET25" s="239"/>
      <c r="EU25" s="239"/>
      <c r="EV25" s="239"/>
      <c r="EW25" s="239"/>
      <c r="EX25" s="239"/>
      <c r="EY25" s="239"/>
      <c r="EZ25" s="239"/>
      <c r="FA25" s="239"/>
      <c r="FB25" s="239"/>
      <c r="FC25" s="239"/>
      <c r="FD25" s="239"/>
      <c r="FE25" s="239"/>
      <c r="FF25" s="239"/>
      <c r="FG25" s="239"/>
      <c r="FH25" s="239"/>
      <c r="FI25" s="239"/>
      <c r="FJ25" s="239"/>
      <c r="FK25" s="239"/>
      <c r="FL25" s="239"/>
      <c r="FM25" s="239"/>
      <c r="FN25" s="239"/>
      <c r="FO25" s="239"/>
      <c r="FP25" s="239"/>
      <c r="FQ25" s="239"/>
      <c r="FR25" s="239"/>
      <c r="FS25" s="239"/>
      <c r="FT25" s="239"/>
      <c r="FU25" s="239"/>
      <c r="FV25" s="239"/>
      <c r="FW25" s="239"/>
      <c r="FX25" s="239"/>
      <c r="FY25" s="239"/>
      <c r="FZ25" s="239"/>
      <c r="GA25" s="239"/>
      <c r="GB25" s="239"/>
      <c r="GC25" s="239"/>
      <c r="GD25" s="239"/>
      <c r="GE25" s="239"/>
      <c r="GF25" s="239"/>
      <c r="GG25" s="239"/>
      <c r="GH25" s="239"/>
      <c r="GI25" s="239"/>
      <c r="GJ25" s="239"/>
      <c r="GK25" s="239"/>
      <c r="GL25" s="239"/>
      <c r="GM25" s="239"/>
      <c r="GN25" s="239"/>
      <c r="GO25" s="239"/>
      <c r="GP25" s="239"/>
      <c r="GQ25" s="239"/>
      <c r="GR25" s="239"/>
      <c r="GS25" s="239"/>
      <c r="GT25" s="239"/>
      <c r="GU25" s="239"/>
      <c r="GV25" s="239"/>
      <c r="GW25" s="239"/>
      <c r="GX25" s="239"/>
      <c r="GY25" s="239"/>
      <c r="GZ25" s="239"/>
      <c r="HA25" s="239"/>
      <c r="HB25" s="239"/>
      <c r="HC25" s="239"/>
      <c r="HD25" s="239"/>
      <c r="HE25" s="239"/>
      <c r="HF25" s="239"/>
      <c r="HG25" s="239"/>
      <c r="HH25" s="239"/>
      <c r="HI25" s="239"/>
      <c r="HJ25" s="239"/>
      <c r="HK25" s="239"/>
      <c r="HL25" s="239"/>
      <c r="HM25" s="239"/>
      <c r="HN25" s="239"/>
      <c r="HO25" s="239"/>
      <c r="HP25" s="239"/>
      <c r="HQ25" s="239"/>
      <c r="HR25" s="239"/>
      <c r="HS25" s="239"/>
      <c r="HT25" s="239"/>
      <c r="HU25" s="239"/>
      <c r="HV25" s="239"/>
      <c r="HW25" s="239"/>
      <c r="HX25" s="239"/>
      <c r="HY25" s="239"/>
      <c r="HZ25" s="239"/>
      <c r="IA25" s="239"/>
      <c r="IB25" s="239"/>
      <c r="IC25" s="239"/>
      <c r="ID25" s="239"/>
      <c r="IE25" s="239"/>
      <c r="IF25" s="239"/>
      <c r="IG25" s="239"/>
      <c r="IH25" s="239"/>
      <c r="II25" s="239"/>
      <c r="IJ25" s="239"/>
      <c r="IK25" s="239"/>
      <c r="IL25" s="239"/>
      <c r="IM25" s="239"/>
      <c r="IN25" s="239"/>
      <c r="IO25" s="239"/>
      <c r="IP25" s="239"/>
      <c r="IQ25" s="239"/>
      <c r="IR25" s="239"/>
      <c r="IS25" s="239"/>
      <c r="IT25" s="239"/>
      <c r="IU25" s="239"/>
    </row>
    <row r="26" spans="1:255" s="23" customFormat="1" ht="15" customHeight="1">
      <c r="A26" s="377" t="str">
        <f t="shared" si="0"/>
        <v>BNI - Efficient Product Rebates; Variable Speed Drive for Kitchen exhaust fans (Demand Controlled Ventilation) ; COM-Motors; Retail</v>
      </c>
      <c r="B26" s="42" t="s">
        <v>54</v>
      </c>
      <c r="C26" s="15" t="s">
        <v>55</v>
      </c>
      <c r="D26" s="15" t="s">
        <v>30</v>
      </c>
      <c r="E26" s="43">
        <v>15</v>
      </c>
      <c r="F26" s="44">
        <v>6637.2104781499329</v>
      </c>
      <c r="G26" s="44">
        <v>757.69397269368289</v>
      </c>
      <c r="H26" s="45">
        <v>4416.666666666667</v>
      </c>
      <c r="I26" s="46">
        <v>0.34905660377358488</v>
      </c>
      <c r="J26" s="45">
        <v>212.39073530079784</v>
      </c>
      <c r="K26" s="45">
        <v>1754.0574019674646</v>
      </c>
      <c r="L26" s="45">
        <v>2875</v>
      </c>
      <c r="M26" s="45">
        <v>4629.0574019674641</v>
      </c>
      <c r="N26" s="45">
        <v>6032.2085455377264</v>
      </c>
      <c r="O26" s="47">
        <v>0.82</v>
      </c>
      <c r="P26" s="47">
        <v>1.2901244005378381</v>
      </c>
      <c r="Q26" s="310">
        <f t="shared" si="1"/>
        <v>1.2901244005378381</v>
      </c>
      <c r="R26" s="311">
        <f t="shared" si="18"/>
        <v>0</v>
      </c>
      <c r="S26" s="311">
        <f t="shared" si="2"/>
        <v>0</v>
      </c>
      <c r="T26" s="310">
        <f t="shared" si="3"/>
        <v>1.2901244005378381</v>
      </c>
      <c r="U26" s="315">
        <f t="shared" si="4"/>
        <v>0</v>
      </c>
      <c r="V26" s="48">
        <v>0.2642762961551271</v>
      </c>
      <c r="W26" s="49">
        <v>2.3149945296933052</v>
      </c>
      <c r="X26" s="48" t="s">
        <v>40</v>
      </c>
      <c r="Y26" s="48" t="s">
        <v>560</v>
      </c>
      <c r="Z26" s="246" t="s">
        <v>40</v>
      </c>
      <c r="AA26" s="246"/>
      <c r="AB26" s="386">
        <v>0</v>
      </c>
      <c r="AC26" s="388">
        <v>0</v>
      </c>
      <c r="AD26" s="294">
        <f>AC26*0.006</f>
        <v>0</v>
      </c>
      <c r="AE26" s="294">
        <f>AC26*0</f>
        <v>0</v>
      </c>
      <c r="AF26" s="294">
        <f>AC26*0</f>
        <v>0</v>
      </c>
      <c r="AG26" s="294">
        <f>AC26*0.049</f>
        <v>0</v>
      </c>
      <c r="AH26" s="294">
        <f>AC26*0.002</f>
        <v>0</v>
      </c>
      <c r="AI26" s="294">
        <f>AC26*0.948</f>
        <v>0</v>
      </c>
      <c r="AJ26" s="294" t="s">
        <v>40</v>
      </c>
      <c r="AK26" s="294">
        <f>AC26*0</f>
        <v>0</v>
      </c>
      <c r="AL26" s="294">
        <f>AC26*-0.005</f>
        <v>0</v>
      </c>
      <c r="AM26" s="294">
        <f>AC26*0</f>
        <v>0</v>
      </c>
      <c r="AN26" s="294">
        <f t="shared" si="14"/>
        <v>0</v>
      </c>
      <c r="AO26" s="294" t="s">
        <v>607</v>
      </c>
      <c r="AP26" s="282" t="s">
        <v>419</v>
      </c>
      <c r="AQ26" s="136" t="s">
        <v>40</v>
      </c>
      <c r="AR26" s="289"/>
      <c r="AS26" s="142"/>
      <c r="AT26" s="142" t="s">
        <v>218</v>
      </c>
      <c r="AU26" s="146"/>
      <c r="AV26" s="48"/>
      <c r="AW26" s="131" t="s">
        <v>284</v>
      </c>
      <c r="AX26" s="131"/>
      <c r="AY26" s="131"/>
      <c r="AZ26" s="48"/>
      <c r="BA26" s="48"/>
      <c r="BB26" s="241"/>
      <c r="BC26" s="56" t="s">
        <v>54</v>
      </c>
      <c r="BD26" s="52">
        <v>7.7446714387332811</v>
      </c>
      <c r="BE26" s="53">
        <v>67.841392799055598</v>
      </c>
      <c r="BF26" s="54">
        <v>7.7446714387332811</v>
      </c>
      <c r="BG26" s="53">
        <v>67.841392799055598</v>
      </c>
      <c r="BH26" s="450">
        <v>61657.44339897974</v>
      </c>
      <c r="BI26" s="347">
        <f t="shared" si="15"/>
        <v>0</v>
      </c>
      <c r="BJ26" s="347">
        <f t="shared" si="19"/>
        <v>61657.44339897974</v>
      </c>
      <c r="BK26" s="45">
        <v>47791.858965907057</v>
      </c>
      <c r="BL26" s="47">
        <v>12.465086970628672</v>
      </c>
      <c r="BM26" s="45">
        <v>13865.584433072683</v>
      </c>
      <c r="BN26" s="55">
        <v>1.2901244005378381</v>
      </c>
      <c r="BO26" s="47">
        <f t="shared" si="20"/>
        <v>1.2901244005378381</v>
      </c>
      <c r="BP26" s="45">
        <v>21864.478066999422</v>
      </c>
      <c r="BQ26" s="55">
        <v>2.8199824029662426</v>
      </c>
      <c r="BR26" s="54">
        <v>7.846331078767057</v>
      </c>
      <c r="BS26" s="53">
        <v>68.731905924873885</v>
      </c>
      <c r="BT26" s="54">
        <v>15.591002517500339</v>
      </c>
      <c r="BU26" s="53">
        <v>136.5732987239295</v>
      </c>
      <c r="BV26" s="450">
        <v>66017.253691891921</v>
      </c>
      <c r="BW26" s="347">
        <f t="shared" si="16"/>
        <v>0</v>
      </c>
      <c r="BX26" s="347">
        <f t="shared" si="21"/>
        <v>66017.253691891921</v>
      </c>
      <c r="BY26" s="45">
        <v>48419.193930011592</v>
      </c>
      <c r="BZ26" s="47">
        <v>12.628708663872652</v>
      </c>
      <c r="CA26" s="45">
        <v>17598.059761880329</v>
      </c>
      <c r="CB26" s="55">
        <v>1.363452142291294</v>
      </c>
      <c r="CC26" s="47">
        <f t="shared" si="22"/>
        <v>1.363452142291294</v>
      </c>
      <c r="CD26" s="45">
        <v>22151.479909156475</v>
      </c>
      <c r="CE26" s="55">
        <v>2.9802638000995687</v>
      </c>
      <c r="CF26" s="52">
        <v>9.1293066331881594</v>
      </c>
      <c r="CG26" s="53">
        <v>79.970452224431853</v>
      </c>
      <c r="CH26" s="54">
        <v>24.7203091506885</v>
      </c>
      <c r="CI26" s="53">
        <v>216.54375094836135</v>
      </c>
      <c r="CJ26" s="450">
        <v>81545.697919289116</v>
      </c>
      <c r="CK26" s="347">
        <f t="shared" si="17"/>
        <v>0</v>
      </c>
      <c r="CL26" s="347">
        <f t="shared" si="23"/>
        <v>81545.697919289116</v>
      </c>
      <c r="CM26" s="45">
        <v>56336.351841571566</v>
      </c>
      <c r="CN26" s="47">
        <v>14.693664161799536</v>
      </c>
      <c r="CO26" s="45">
        <v>25209.34607771755</v>
      </c>
      <c r="CP26" s="55">
        <v>1.4474792075392275</v>
      </c>
      <c r="CQ26" s="47">
        <f t="shared" si="24"/>
        <v>1.4474792075392275</v>
      </c>
      <c r="CR26" s="45">
        <v>25773.530385028538</v>
      </c>
      <c r="CS26" s="55">
        <v>3.1639320147874583</v>
      </c>
      <c r="CT26" s="239"/>
      <c r="CU26" s="239"/>
      <c r="CV26" s="239"/>
      <c r="CW26" s="239"/>
      <c r="CX26" s="239"/>
      <c r="CY26" s="239"/>
      <c r="CZ26" s="239"/>
      <c r="DA26" s="239"/>
      <c r="DB26" s="239"/>
      <c r="DC26" s="239"/>
      <c r="DD26" s="239"/>
      <c r="DE26" s="239"/>
      <c r="DF26" s="239"/>
      <c r="DG26" s="239"/>
      <c r="DH26" s="239"/>
      <c r="DI26" s="239"/>
      <c r="DJ26" s="239"/>
      <c r="DK26" s="239"/>
      <c r="DL26" s="239"/>
      <c r="DM26" s="239"/>
      <c r="DN26" s="239"/>
      <c r="DO26" s="239"/>
      <c r="DP26" s="239"/>
      <c r="DQ26" s="239"/>
      <c r="DR26" s="239"/>
      <c r="DS26" s="239"/>
      <c r="DT26" s="239"/>
      <c r="DU26" s="239"/>
      <c r="DV26" s="239"/>
      <c r="DW26" s="239"/>
      <c r="DX26" s="239"/>
      <c r="DY26" s="239"/>
      <c r="DZ26" s="239"/>
      <c r="EA26" s="239"/>
      <c r="EB26" s="239"/>
      <c r="EC26" s="239"/>
      <c r="ED26" s="239"/>
      <c r="EE26" s="239"/>
      <c r="EF26" s="239"/>
      <c r="EG26" s="239"/>
      <c r="EH26" s="239"/>
      <c r="EI26" s="239"/>
      <c r="EJ26" s="239"/>
      <c r="EK26" s="239"/>
      <c r="EL26" s="239"/>
      <c r="EM26" s="239"/>
      <c r="EN26" s="239"/>
      <c r="EO26" s="239"/>
      <c r="EP26" s="239"/>
      <c r="EQ26" s="239"/>
      <c r="ER26" s="239"/>
      <c r="ES26" s="239"/>
      <c r="ET26" s="239"/>
      <c r="EU26" s="239"/>
      <c r="EV26" s="239"/>
      <c r="EW26" s="239"/>
      <c r="EX26" s="239"/>
      <c r="EY26" s="239"/>
      <c r="EZ26" s="239"/>
      <c r="FA26" s="239"/>
      <c r="FB26" s="239"/>
      <c r="FC26" s="239"/>
      <c r="FD26" s="239"/>
      <c r="FE26" s="239"/>
      <c r="FF26" s="239"/>
      <c r="FG26" s="239"/>
      <c r="FH26" s="239"/>
      <c r="FI26" s="239"/>
      <c r="FJ26" s="239"/>
      <c r="FK26" s="239"/>
      <c r="FL26" s="239"/>
      <c r="FM26" s="239"/>
      <c r="FN26" s="239"/>
      <c r="FO26" s="239"/>
      <c r="FP26" s="239"/>
      <c r="FQ26" s="239"/>
      <c r="FR26" s="239"/>
      <c r="FS26" s="239"/>
      <c r="FT26" s="239"/>
      <c r="FU26" s="239"/>
      <c r="FV26" s="239"/>
      <c r="FW26" s="239"/>
      <c r="FX26" s="239"/>
      <c r="FY26" s="239"/>
      <c r="FZ26" s="239"/>
      <c r="GA26" s="239"/>
      <c r="GB26" s="239"/>
      <c r="GC26" s="239"/>
      <c r="GD26" s="239"/>
      <c r="GE26" s="239"/>
      <c r="GF26" s="239"/>
      <c r="GG26" s="239"/>
      <c r="GH26" s="239"/>
      <c r="GI26" s="239"/>
      <c r="GJ26" s="239"/>
      <c r="GK26" s="239"/>
      <c r="GL26" s="239"/>
      <c r="GM26" s="239"/>
      <c r="GN26" s="239"/>
      <c r="GO26" s="239"/>
      <c r="GP26" s="239"/>
      <c r="GQ26" s="239"/>
      <c r="GR26" s="239"/>
      <c r="GS26" s="239"/>
      <c r="GT26" s="239"/>
      <c r="GU26" s="239"/>
      <c r="GV26" s="239"/>
      <c r="GW26" s="239"/>
      <c r="GX26" s="239"/>
      <c r="GY26" s="239"/>
      <c r="GZ26" s="239"/>
      <c r="HA26" s="239"/>
      <c r="HB26" s="239"/>
      <c r="HC26" s="239"/>
      <c r="HD26" s="239"/>
      <c r="HE26" s="239"/>
      <c r="HF26" s="239"/>
      <c r="HG26" s="239"/>
      <c r="HH26" s="239"/>
      <c r="HI26" s="239"/>
      <c r="HJ26" s="239"/>
      <c r="HK26" s="239"/>
      <c r="HL26" s="239"/>
      <c r="HM26" s="239"/>
      <c r="HN26" s="239"/>
      <c r="HO26" s="239"/>
      <c r="HP26" s="239"/>
      <c r="HQ26" s="239"/>
      <c r="HR26" s="239"/>
      <c r="HS26" s="239"/>
      <c r="HT26" s="239"/>
      <c r="HU26" s="239"/>
      <c r="HV26" s="239"/>
      <c r="HW26" s="239"/>
      <c r="HX26" s="239"/>
      <c r="HY26" s="239"/>
      <c r="HZ26" s="239"/>
      <c r="IA26" s="239"/>
      <c r="IB26" s="239"/>
      <c r="IC26" s="239"/>
      <c r="ID26" s="239"/>
      <c r="IE26" s="239"/>
      <c r="IF26" s="239"/>
      <c r="IG26" s="239"/>
      <c r="IH26" s="239"/>
      <c r="II26" s="239"/>
      <c r="IJ26" s="239"/>
      <c r="IK26" s="239"/>
      <c r="IL26" s="239"/>
      <c r="IM26" s="239"/>
      <c r="IN26" s="239"/>
      <c r="IO26" s="239"/>
      <c r="IP26" s="239"/>
      <c r="IQ26" s="239"/>
      <c r="IR26" s="239"/>
      <c r="IS26" s="239"/>
      <c r="IT26" s="239"/>
      <c r="IU26" s="239"/>
    </row>
    <row r="27" spans="1:255" s="23" customFormat="1" ht="15" customHeight="1">
      <c r="A27" s="377" t="str">
        <f t="shared" si="0"/>
        <v>BNI - Efficient Product Rebates; ENERGY STAR®, CEE Tier 2 or CEE Tier 3 Commercial Clothes Washer; COM-Other; Other Commercial</v>
      </c>
      <c r="B27" s="42" t="s">
        <v>57</v>
      </c>
      <c r="C27" s="15" t="s">
        <v>29</v>
      </c>
      <c r="D27" s="15" t="s">
        <v>56</v>
      </c>
      <c r="E27" s="43">
        <v>7</v>
      </c>
      <c r="F27" s="44">
        <v>1370.4243799999997</v>
      </c>
      <c r="G27" s="44">
        <v>156.44128880710176</v>
      </c>
      <c r="H27" s="45">
        <v>400</v>
      </c>
      <c r="I27" s="46">
        <v>0.54166666666666663</v>
      </c>
      <c r="J27" s="45">
        <v>43.853580159999993</v>
      </c>
      <c r="K27" s="45">
        <v>260.52024682666666</v>
      </c>
      <c r="L27" s="45">
        <v>183.33333333333334</v>
      </c>
      <c r="M27" s="45">
        <v>443.85358015999998</v>
      </c>
      <c r="N27" s="45">
        <v>605.55122690767632</v>
      </c>
      <c r="O27" s="47">
        <v>0.82</v>
      </c>
      <c r="P27" s="47">
        <v>1.3353428138318306</v>
      </c>
      <c r="Q27" s="310">
        <f t="shared" si="1"/>
        <v>1.3353428138318306</v>
      </c>
      <c r="R27" s="311">
        <f t="shared" si="18"/>
        <v>0</v>
      </c>
      <c r="S27" s="311">
        <f t="shared" si="2"/>
        <v>-58.029399865737275</v>
      </c>
      <c r="T27" s="310">
        <f t="shared" si="3"/>
        <v>1.2073781782098469</v>
      </c>
      <c r="U27" s="316">
        <f>(T27-Q27)/Q27</f>
        <v>-9.5829051758464165E-2</v>
      </c>
      <c r="V27" s="48">
        <v>0.19010187692856625</v>
      </c>
      <c r="W27" s="49">
        <v>1.6652908500894437</v>
      </c>
      <c r="X27" s="48" t="s">
        <v>31</v>
      </c>
      <c r="Y27" s="48" t="s">
        <v>561</v>
      </c>
      <c r="Z27" s="246" t="s">
        <v>31</v>
      </c>
      <c r="AA27" s="257">
        <f>3984/264.172</f>
        <v>15.081083536483805</v>
      </c>
      <c r="AB27" s="386">
        <v>0</v>
      </c>
      <c r="AC27" s="387">
        <f>((AA27*AC3)-51.8526)</f>
        <v>-10.696323028935701</v>
      </c>
      <c r="AD27" s="360">
        <f>AC27*0.01</f>
        <v>-0.10696323028935702</v>
      </c>
      <c r="AE27" s="360">
        <f>AC27*0</f>
        <v>0</v>
      </c>
      <c r="AF27" s="360">
        <f>AD27*0</f>
        <v>0</v>
      </c>
      <c r="AG27" s="360">
        <f t="shared" ref="AG27:AH27" si="42">AE27*0</f>
        <v>0</v>
      </c>
      <c r="AH27" s="360">
        <f t="shared" si="42"/>
        <v>0</v>
      </c>
      <c r="AI27" s="360">
        <f>AC27*0.99</f>
        <v>-10.589359798646344</v>
      </c>
      <c r="AJ27" s="360" t="s">
        <v>40</v>
      </c>
      <c r="AK27" s="360">
        <f>AH27*0</f>
        <v>0</v>
      </c>
      <c r="AL27" s="360">
        <f t="shared" ref="AL27" si="43">AI27*0</f>
        <v>0</v>
      </c>
      <c r="AM27" s="360">
        <f t="shared" ref="AM27" si="44">AK27*0</f>
        <v>0</v>
      </c>
      <c r="AN27" s="360">
        <f t="shared" si="14"/>
        <v>-10.696323028935701</v>
      </c>
      <c r="AO27" s="294" t="s">
        <v>608</v>
      </c>
      <c r="AP27" s="282" t="s">
        <v>501</v>
      </c>
      <c r="AQ27" s="136" t="s">
        <v>31</v>
      </c>
      <c r="AR27" s="294" t="s">
        <v>597</v>
      </c>
      <c r="AS27" s="142"/>
      <c r="AT27" s="142"/>
      <c r="AU27" s="146"/>
      <c r="AV27" s="48"/>
      <c r="AW27" s="131" t="s">
        <v>284</v>
      </c>
      <c r="AX27" s="131"/>
      <c r="AY27" s="131"/>
      <c r="AZ27" s="48"/>
      <c r="BA27" s="48"/>
      <c r="BB27" s="241"/>
      <c r="BC27" s="56" t="s">
        <v>57</v>
      </c>
      <c r="BD27" s="52">
        <v>6.3916583185557414</v>
      </c>
      <c r="BE27" s="53">
        <v>55.990873350443522</v>
      </c>
      <c r="BF27" s="54">
        <v>6.3916583185557414</v>
      </c>
      <c r="BG27" s="53">
        <v>55.990873350443522</v>
      </c>
      <c r="BH27" s="450">
        <v>26859.280126549518</v>
      </c>
      <c r="BI27" s="347">
        <f t="shared" si="15"/>
        <v>-2370.8836663316956</v>
      </c>
      <c r="BJ27" s="347">
        <f t="shared" si="19"/>
        <v>24488.396460217824</v>
      </c>
      <c r="BK27" s="45">
        <v>18527.647539554957</v>
      </c>
      <c r="BL27" s="47">
        <v>49.825115389726619</v>
      </c>
      <c r="BM27" s="45">
        <v>8331.6325869945613</v>
      </c>
      <c r="BN27" s="55">
        <v>1.4496864790420496</v>
      </c>
      <c r="BO27" s="47">
        <f t="shared" si="20"/>
        <v>1.3217218434200657</v>
      </c>
      <c r="BP27" s="45">
        <v>12980.451359498726</v>
      </c>
      <c r="BQ27" s="55">
        <v>2.0692100284243704</v>
      </c>
      <c r="BR27" s="54">
        <v>4.9694732128298789</v>
      </c>
      <c r="BS27" s="53">
        <v>43.532543732852673</v>
      </c>
      <c r="BT27" s="54">
        <v>11.36113153138562</v>
      </c>
      <c r="BU27" s="53">
        <v>99.523417083296195</v>
      </c>
      <c r="BV27" s="450">
        <v>22588.636605606094</v>
      </c>
      <c r="BW27" s="347">
        <f t="shared" si="16"/>
        <v>-1843.346794112349</v>
      </c>
      <c r="BX27" s="347">
        <f t="shared" si="21"/>
        <v>20745.289811493745</v>
      </c>
      <c r="BY27" s="45">
        <v>14405.126737966257</v>
      </c>
      <c r="BZ27" s="47">
        <v>38.73870659459044</v>
      </c>
      <c r="CA27" s="45">
        <v>8183.5098676398375</v>
      </c>
      <c r="CB27" s="55">
        <v>1.5680970404842964</v>
      </c>
      <c r="CC27" s="47">
        <f t="shared" si="22"/>
        <v>1.4401324048623125</v>
      </c>
      <c r="CD27" s="45">
        <v>10092.21740376852</v>
      </c>
      <c r="CE27" s="55">
        <v>2.2382233459587688</v>
      </c>
      <c r="CF27" s="52">
        <v>5.118123029156366</v>
      </c>
      <c r="CG27" s="53">
        <v>44.83471487916384</v>
      </c>
      <c r="CH27" s="54">
        <v>16.479254560541989</v>
      </c>
      <c r="CI27" s="53">
        <v>144.35813196246005</v>
      </c>
      <c r="CJ27" s="450">
        <v>25219.129744495993</v>
      </c>
      <c r="CK27" s="347">
        <f t="shared" si="17"/>
        <v>-1898.4860715841319</v>
      </c>
      <c r="CL27" s="347">
        <f t="shared" si="23"/>
        <v>23320.643672911861</v>
      </c>
      <c r="CM27" s="45">
        <v>14836.021392600902</v>
      </c>
      <c r="CN27" s="47">
        <v>39.897481654519247</v>
      </c>
      <c r="CO27" s="45">
        <v>10383.108351895091</v>
      </c>
      <c r="CP27" s="55">
        <v>1.6998580062086868</v>
      </c>
      <c r="CQ27" s="47">
        <f t="shared" si="24"/>
        <v>1.5718933705867029</v>
      </c>
      <c r="CR27" s="45">
        <v>10394.101768397759</v>
      </c>
      <c r="CS27" s="55">
        <v>2.4262923633451683</v>
      </c>
      <c r="CT27" s="239"/>
      <c r="CU27" s="239"/>
      <c r="CV27" s="239"/>
      <c r="CW27" s="239"/>
      <c r="CX27" s="239"/>
      <c r="CY27" s="239"/>
      <c r="CZ27" s="239"/>
      <c r="DA27" s="239"/>
      <c r="DB27" s="239"/>
      <c r="DC27" s="239"/>
      <c r="DD27" s="239"/>
      <c r="DE27" s="239"/>
      <c r="DF27" s="239"/>
      <c r="DG27" s="239"/>
      <c r="DH27" s="239"/>
      <c r="DI27" s="239"/>
      <c r="DJ27" s="239"/>
      <c r="DK27" s="239"/>
      <c r="DL27" s="239"/>
      <c r="DM27" s="239"/>
      <c r="DN27" s="239"/>
      <c r="DO27" s="239"/>
      <c r="DP27" s="239"/>
      <c r="DQ27" s="239"/>
      <c r="DR27" s="239"/>
      <c r="DS27" s="239"/>
      <c r="DT27" s="239"/>
      <c r="DU27" s="239"/>
      <c r="DV27" s="239"/>
      <c r="DW27" s="239"/>
      <c r="DX27" s="239"/>
      <c r="DY27" s="239"/>
      <c r="DZ27" s="239"/>
      <c r="EA27" s="239"/>
      <c r="EB27" s="239"/>
      <c r="EC27" s="239"/>
      <c r="ED27" s="239"/>
      <c r="EE27" s="239"/>
      <c r="EF27" s="239"/>
      <c r="EG27" s="239"/>
      <c r="EH27" s="239"/>
      <c r="EI27" s="239"/>
      <c r="EJ27" s="239"/>
      <c r="EK27" s="239"/>
      <c r="EL27" s="239"/>
      <c r="EM27" s="239"/>
      <c r="EN27" s="239"/>
      <c r="EO27" s="239"/>
      <c r="EP27" s="239"/>
      <c r="EQ27" s="239"/>
      <c r="ER27" s="239"/>
      <c r="ES27" s="239"/>
      <c r="ET27" s="239"/>
      <c r="EU27" s="239"/>
      <c r="EV27" s="239"/>
      <c r="EW27" s="239"/>
      <c r="EX27" s="239"/>
      <c r="EY27" s="239"/>
      <c r="EZ27" s="239"/>
      <c r="FA27" s="239"/>
      <c r="FB27" s="239"/>
      <c r="FC27" s="239"/>
      <c r="FD27" s="239"/>
      <c r="FE27" s="239"/>
      <c r="FF27" s="239"/>
      <c r="FG27" s="239"/>
      <c r="FH27" s="239"/>
      <c r="FI27" s="239"/>
      <c r="FJ27" s="239"/>
      <c r="FK27" s="239"/>
      <c r="FL27" s="239"/>
      <c r="FM27" s="239"/>
      <c r="FN27" s="239"/>
      <c r="FO27" s="239"/>
      <c r="FP27" s="239"/>
      <c r="FQ27" s="239"/>
      <c r="FR27" s="239"/>
      <c r="FS27" s="239"/>
      <c r="FT27" s="239"/>
      <c r="FU27" s="239"/>
      <c r="FV27" s="239"/>
      <c r="FW27" s="239"/>
      <c r="FX27" s="239"/>
      <c r="FY27" s="239"/>
      <c r="FZ27" s="239"/>
      <c r="GA27" s="239"/>
      <c r="GB27" s="239"/>
      <c r="GC27" s="239"/>
      <c r="GD27" s="239"/>
      <c r="GE27" s="239"/>
      <c r="GF27" s="239"/>
      <c r="GG27" s="239"/>
      <c r="GH27" s="239"/>
      <c r="GI27" s="239"/>
      <c r="GJ27" s="239"/>
      <c r="GK27" s="239"/>
      <c r="GL27" s="239"/>
      <c r="GM27" s="239"/>
      <c r="GN27" s="239"/>
      <c r="GO27" s="239"/>
      <c r="GP27" s="239"/>
      <c r="GQ27" s="239"/>
      <c r="GR27" s="239"/>
      <c r="GS27" s="239"/>
      <c r="GT27" s="239"/>
      <c r="GU27" s="239"/>
      <c r="GV27" s="239"/>
      <c r="GW27" s="239"/>
      <c r="GX27" s="239"/>
      <c r="GY27" s="239"/>
      <c r="GZ27" s="239"/>
      <c r="HA27" s="239"/>
      <c r="HB27" s="239"/>
      <c r="HC27" s="239"/>
      <c r="HD27" s="239"/>
      <c r="HE27" s="239"/>
      <c r="HF27" s="239"/>
      <c r="HG27" s="239"/>
      <c r="HH27" s="239"/>
      <c r="HI27" s="239"/>
      <c r="HJ27" s="239"/>
      <c r="HK27" s="239"/>
      <c r="HL27" s="239"/>
      <c r="HM27" s="239"/>
      <c r="HN27" s="239"/>
      <c r="HO27" s="239"/>
      <c r="HP27" s="239"/>
      <c r="HQ27" s="239"/>
      <c r="HR27" s="239"/>
      <c r="HS27" s="239"/>
      <c r="HT27" s="239"/>
      <c r="HU27" s="239"/>
      <c r="HV27" s="239"/>
      <c r="HW27" s="239"/>
      <c r="HX27" s="239"/>
      <c r="HY27" s="239"/>
      <c r="HZ27" s="239"/>
      <c r="IA27" s="239"/>
      <c r="IB27" s="239"/>
      <c r="IC27" s="239"/>
      <c r="ID27" s="239"/>
      <c r="IE27" s="239"/>
      <c r="IF27" s="239"/>
      <c r="IG27" s="239"/>
      <c r="IH27" s="239"/>
      <c r="II27" s="239"/>
      <c r="IJ27" s="239"/>
      <c r="IK27" s="239"/>
      <c r="IL27" s="239"/>
      <c r="IM27" s="239"/>
      <c r="IN27" s="239"/>
      <c r="IO27" s="239"/>
      <c r="IP27" s="239"/>
      <c r="IQ27" s="239"/>
      <c r="IR27" s="239"/>
      <c r="IS27" s="239"/>
      <c r="IT27" s="239"/>
      <c r="IU27" s="239"/>
    </row>
    <row r="28" spans="1:255" s="34" customFormat="1" ht="15" customHeight="1">
      <c r="A28" s="377" t="str">
        <f t="shared" si="0"/>
        <v>BNI - Efficient Product Rebates; Night Covers for 3' Refrigerated Display Cases; COM-Refrigeration; Other Commercial</v>
      </c>
      <c r="B28" s="42" t="s">
        <v>58</v>
      </c>
      <c r="C28" s="15" t="s">
        <v>46</v>
      </c>
      <c r="D28" s="15" t="s">
        <v>56</v>
      </c>
      <c r="E28" s="43">
        <v>10</v>
      </c>
      <c r="F28" s="44">
        <v>133.79323500000001</v>
      </c>
      <c r="G28" s="28">
        <v>13.546647171245569</v>
      </c>
      <c r="H28" s="29">
        <v>52.859000000000002</v>
      </c>
      <c r="I28" s="30">
        <v>0.45403810136400613</v>
      </c>
      <c r="J28" s="29">
        <v>4.2813835200000003</v>
      </c>
      <c r="K28" s="29">
        <v>28.281383519999999</v>
      </c>
      <c r="L28" s="29">
        <v>28.859000000000002</v>
      </c>
      <c r="M28" s="29">
        <v>57.14038352</v>
      </c>
      <c r="N28" s="29">
        <v>83.127116615642365</v>
      </c>
      <c r="O28" s="31">
        <v>0.82</v>
      </c>
      <c r="P28" s="31">
        <v>1.4312470937332435</v>
      </c>
      <c r="Q28" s="310">
        <f t="shared" si="1"/>
        <v>1.4312470937332435</v>
      </c>
      <c r="R28" s="311">
        <f t="shared" si="18"/>
        <v>0</v>
      </c>
      <c r="S28" s="311">
        <f t="shared" si="2"/>
        <v>0</v>
      </c>
      <c r="T28" s="310">
        <f t="shared" si="3"/>
        <v>1.4312470937332435</v>
      </c>
      <c r="U28" s="316">
        <f t="shared" ref="U28:U91" si="45">(T28-Q28)/Q28</f>
        <v>0</v>
      </c>
      <c r="V28" s="32">
        <v>0.21138126692280065</v>
      </c>
      <c r="W28" s="33">
        <v>2.0877035595959659</v>
      </c>
      <c r="X28" s="48" t="s">
        <v>40</v>
      </c>
      <c r="Y28" s="48" t="s">
        <v>516</v>
      </c>
      <c r="Z28" s="246" t="s">
        <v>40</v>
      </c>
      <c r="AA28" s="246"/>
      <c r="AB28" s="386">
        <v>0</v>
      </c>
      <c r="AC28" s="388">
        <v>0</v>
      </c>
      <c r="AD28" s="337">
        <f>AC28*0</f>
        <v>0</v>
      </c>
      <c r="AE28" s="337">
        <f>AD28*0</f>
        <v>0</v>
      </c>
      <c r="AF28" s="337">
        <f t="shared" ref="AF28:AH28" si="46">AE28*0</f>
        <v>0</v>
      </c>
      <c r="AG28" s="337">
        <f t="shared" si="46"/>
        <v>0</v>
      </c>
      <c r="AH28" s="337">
        <f t="shared" si="46"/>
        <v>0</v>
      </c>
      <c r="AI28" s="337">
        <f t="shared" ref="AI28:AI55" si="47">AC28*1</f>
        <v>0</v>
      </c>
      <c r="AJ28" s="337" t="s">
        <v>40</v>
      </c>
      <c r="AK28" s="337">
        <f t="shared" ref="AK28:AK55" si="48">AI28*0</f>
        <v>0</v>
      </c>
      <c r="AL28" s="337">
        <f t="shared" ref="AL28:AM28" si="49">AK28*0</f>
        <v>0</v>
      </c>
      <c r="AM28" s="337">
        <f t="shared" si="49"/>
        <v>0</v>
      </c>
      <c r="AN28" s="337">
        <f t="shared" si="14"/>
        <v>0</v>
      </c>
      <c r="AO28" s="294" t="s">
        <v>609</v>
      </c>
      <c r="AP28" s="282" t="s">
        <v>419</v>
      </c>
      <c r="AQ28" s="136" t="s">
        <v>40</v>
      </c>
      <c r="AR28" s="289"/>
      <c r="AS28" s="142"/>
      <c r="AT28" s="142" t="s">
        <v>219</v>
      </c>
      <c r="AU28" s="146"/>
      <c r="AV28" s="32"/>
      <c r="AW28" s="131" t="s">
        <v>284</v>
      </c>
      <c r="AX28" s="131"/>
      <c r="AY28" s="131"/>
      <c r="AZ28" s="48"/>
      <c r="BA28" s="48"/>
      <c r="BB28" s="241"/>
      <c r="BC28" s="56" t="s">
        <v>58</v>
      </c>
      <c r="BD28" s="52">
        <v>1.5278916857674574</v>
      </c>
      <c r="BE28" s="53">
        <v>15.09019676856585</v>
      </c>
      <c r="BF28" s="54">
        <v>1.5278916857674574</v>
      </c>
      <c r="BG28" s="53">
        <v>15.09019676856585</v>
      </c>
      <c r="BH28" s="450">
        <v>9375.6948662879895</v>
      </c>
      <c r="BI28" s="347">
        <f t="shared" si="15"/>
        <v>0</v>
      </c>
      <c r="BJ28" s="347">
        <f t="shared" si="19"/>
        <v>9375.6948662879895</v>
      </c>
      <c r="BK28" s="45">
        <v>6550.7171384589983</v>
      </c>
      <c r="BL28" s="47">
        <v>137.54566130384629</v>
      </c>
      <c r="BM28" s="45">
        <v>2824.9777278289912</v>
      </c>
      <c r="BN28" s="55">
        <v>1.4312470937332433</v>
      </c>
      <c r="BO28" s="47">
        <f t="shared" si="20"/>
        <v>1.4312470937332433</v>
      </c>
      <c r="BP28" s="45">
        <v>3889.9815988461005</v>
      </c>
      <c r="BQ28" s="55">
        <v>2.4102157370279427</v>
      </c>
      <c r="BR28" s="54">
        <v>1.4674865322173516</v>
      </c>
      <c r="BS28" s="53">
        <v>14.493606276322499</v>
      </c>
      <c r="BT28" s="54">
        <v>2.995378217984809</v>
      </c>
      <c r="BU28" s="53">
        <v>29.583803044888349</v>
      </c>
      <c r="BV28" s="450">
        <v>9569.5801533350968</v>
      </c>
      <c r="BW28" s="347">
        <f t="shared" si="16"/>
        <v>0</v>
      </c>
      <c r="BX28" s="347">
        <f t="shared" si="21"/>
        <v>9569.5801533350968</v>
      </c>
      <c r="BY28" s="45">
        <v>6291.7347260943634</v>
      </c>
      <c r="BZ28" s="47">
        <v>132.10779756742812</v>
      </c>
      <c r="CA28" s="45">
        <v>3277.8454272407334</v>
      </c>
      <c r="CB28" s="55">
        <v>1.5209764190543802</v>
      </c>
      <c r="CC28" s="47">
        <f t="shared" si="22"/>
        <v>1.5209764190543802</v>
      </c>
      <c r="CD28" s="45">
        <v>3736.1912889869577</v>
      </c>
      <c r="CE28" s="55">
        <v>2.5613196469739168</v>
      </c>
      <c r="CF28" s="52">
        <v>1.6124860710795286</v>
      </c>
      <c r="CG28" s="53">
        <v>15.925691805135687</v>
      </c>
      <c r="CH28" s="54">
        <v>4.6078642890643371</v>
      </c>
      <c r="CI28" s="53">
        <v>45.509494850024033</v>
      </c>
      <c r="CJ28" s="450">
        <v>11230.652949440042</v>
      </c>
      <c r="CK28" s="347">
        <f t="shared" si="17"/>
        <v>0</v>
      </c>
      <c r="CL28" s="347">
        <f t="shared" si="23"/>
        <v>11230.652949440042</v>
      </c>
      <c r="CM28" s="45">
        <v>6913.4090065038454</v>
      </c>
      <c r="CN28" s="47">
        <v>145.16111649528983</v>
      </c>
      <c r="CO28" s="45">
        <v>4317.2439429361966</v>
      </c>
      <c r="CP28" s="55">
        <v>1.62447396629864</v>
      </c>
      <c r="CQ28" s="47">
        <f t="shared" si="24"/>
        <v>1.62447396629864</v>
      </c>
      <c r="CR28" s="45">
        <v>4105.3572077946901</v>
      </c>
      <c r="CS28" s="55">
        <v>2.7356092006115365</v>
      </c>
      <c r="CT28" s="239"/>
      <c r="CU28" s="239"/>
      <c r="CV28" s="239"/>
      <c r="CW28" s="239"/>
      <c r="CX28" s="239"/>
      <c r="CY28" s="239"/>
      <c r="CZ28" s="239"/>
      <c r="DA28" s="239"/>
      <c r="DB28" s="239"/>
      <c r="DC28" s="239"/>
      <c r="DD28" s="239"/>
      <c r="DE28" s="239"/>
      <c r="DF28" s="239"/>
      <c r="DG28" s="239"/>
      <c r="DH28" s="239"/>
      <c r="DI28" s="239"/>
      <c r="DJ28" s="239"/>
      <c r="DK28" s="239"/>
      <c r="DL28" s="239"/>
      <c r="DM28" s="239"/>
      <c r="DN28" s="239"/>
      <c r="DO28" s="239"/>
      <c r="DP28" s="239"/>
      <c r="DQ28" s="239"/>
      <c r="DR28" s="239"/>
      <c r="DS28" s="239"/>
      <c r="DT28" s="239"/>
      <c r="DU28" s="239"/>
      <c r="DV28" s="239"/>
      <c r="DW28" s="239"/>
      <c r="DX28" s="239"/>
      <c r="DY28" s="239"/>
      <c r="DZ28" s="239"/>
      <c r="EA28" s="239"/>
      <c r="EB28" s="239"/>
      <c r="EC28" s="239"/>
      <c r="ED28" s="239"/>
      <c r="EE28" s="239"/>
      <c r="EF28" s="239"/>
      <c r="EG28" s="239"/>
      <c r="EH28" s="239"/>
      <c r="EI28" s="239"/>
      <c r="EJ28" s="239"/>
      <c r="EK28" s="239"/>
      <c r="EL28" s="239"/>
      <c r="EM28" s="239"/>
      <c r="EN28" s="239"/>
      <c r="EO28" s="239"/>
      <c r="EP28" s="239"/>
      <c r="EQ28" s="239"/>
      <c r="ER28" s="239"/>
      <c r="ES28" s="239"/>
      <c r="ET28" s="239"/>
      <c r="EU28" s="239"/>
      <c r="EV28" s="239"/>
      <c r="EW28" s="239"/>
      <c r="EX28" s="239"/>
      <c r="EY28" s="239"/>
      <c r="EZ28" s="239"/>
      <c r="FA28" s="239"/>
      <c r="FB28" s="239"/>
      <c r="FC28" s="239"/>
      <c r="FD28" s="239"/>
      <c r="FE28" s="239"/>
      <c r="FF28" s="239"/>
      <c r="FG28" s="239"/>
      <c r="FH28" s="239"/>
      <c r="FI28" s="239"/>
      <c r="FJ28" s="239"/>
      <c r="FK28" s="239"/>
      <c r="FL28" s="239"/>
      <c r="FM28" s="239"/>
      <c r="FN28" s="239"/>
      <c r="FO28" s="239"/>
      <c r="FP28" s="239"/>
      <c r="FQ28" s="239"/>
      <c r="FR28" s="239"/>
      <c r="FS28" s="239"/>
      <c r="FT28" s="239"/>
      <c r="FU28" s="239"/>
      <c r="FV28" s="239"/>
      <c r="FW28" s="239"/>
      <c r="FX28" s="239"/>
      <c r="FY28" s="239"/>
      <c r="FZ28" s="239"/>
      <c r="GA28" s="239"/>
      <c r="GB28" s="239"/>
      <c r="GC28" s="239"/>
      <c r="GD28" s="239"/>
      <c r="GE28" s="239"/>
      <c r="GF28" s="239"/>
      <c r="GG28" s="239"/>
      <c r="GH28" s="239"/>
      <c r="GI28" s="239"/>
      <c r="GJ28" s="239"/>
      <c r="GK28" s="239"/>
      <c r="GL28" s="239"/>
      <c r="GM28" s="239"/>
      <c r="GN28" s="239"/>
      <c r="GO28" s="239"/>
      <c r="GP28" s="239"/>
      <c r="GQ28" s="239"/>
      <c r="GR28" s="239"/>
      <c r="GS28" s="239"/>
      <c r="GT28" s="239"/>
      <c r="GU28" s="239"/>
      <c r="GV28" s="239"/>
      <c r="GW28" s="239"/>
      <c r="GX28" s="239"/>
      <c r="GY28" s="239"/>
      <c r="GZ28" s="239"/>
      <c r="HA28" s="239"/>
      <c r="HB28" s="239"/>
      <c r="HC28" s="239"/>
      <c r="HD28" s="239"/>
      <c r="HE28" s="239"/>
      <c r="HF28" s="239"/>
      <c r="HG28" s="239"/>
      <c r="HH28" s="239"/>
      <c r="HI28" s="239"/>
      <c r="HJ28" s="239"/>
      <c r="HK28" s="239"/>
      <c r="HL28" s="239"/>
      <c r="HM28" s="239"/>
      <c r="HN28" s="239"/>
      <c r="HO28" s="239"/>
      <c r="HP28" s="239"/>
      <c r="HQ28" s="239"/>
      <c r="HR28" s="239"/>
      <c r="HS28" s="239"/>
      <c r="HT28" s="239"/>
      <c r="HU28" s="239"/>
      <c r="HV28" s="239"/>
      <c r="HW28" s="239"/>
      <c r="HX28" s="239"/>
      <c r="HY28" s="239"/>
      <c r="HZ28" s="239"/>
      <c r="IA28" s="239"/>
      <c r="IB28" s="239"/>
      <c r="IC28" s="239"/>
      <c r="ID28" s="239"/>
      <c r="IE28" s="239"/>
      <c r="IF28" s="239"/>
      <c r="IG28" s="239"/>
      <c r="IH28" s="239"/>
      <c r="II28" s="239"/>
      <c r="IJ28" s="239"/>
      <c r="IK28" s="239"/>
      <c r="IL28" s="239"/>
      <c r="IM28" s="239"/>
      <c r="IN28" s="239"/>
      <c r="IO28" s="239"/>
      <c r="IP28" s="239"/>
      <c r="IQ28" s="239"/>
      <c r="IR28" s="239"/>
      <c r="IS28" s="239"/>
      <c r="IT28" s="239"/>
      <c r="IU28" s="239"/>
    </row>
    <row r="29" spans="1:255" s="34" customFormat="1" ht="15" customHeight="1">
      <c r="A29" s="377" t="str">
        <f t="shared" si="0"/>
        <v>BNI - Efficient Product Rebates; Night Covers for 3' Refrigerated Display Cases; COM-Refrigeration; Retail</v>
      </c>
      <c r="B29" s="42" t="s">
        <v>58</v>
      </c>
      <c r="C29" s="15" t="s">
        <v>46</v>
      </c>
      <c r="D29" s="15" t="s">
        <v>30</v>
      </c>
      <c r="E29" s="43">
        <v>10</v>
      </c>
      <c r="F29" s="44">
        <v>103.2837</v>
      </c>
      <c r="G29" s="28">
        <v>10.464498905599465</v>
      </c>
      <c r="H29" s="29">
        <v>52.859000000000002</v>
      </c>
      <c r="I29" s="30">
        <v>0.45403810136400613</v>
      </c>
      <c r="J29" s="29">
        <v>3.3050783999999997</v>
      </c>
      <c r="K29" s="29">
        <v>27.305078399999999</v>
      </c>
      <c r="L29" s="29">
        <v>28.859000000000002</v>
      </c>
      <c r="M29" s="29">
        <v>56.164078400000001</v>
      </c>
      <c r="N29" s="29">
        <v>64.179007963785665</v>
      </c>
      <c r="O29" s="31">
        <v>0.82</v>
      </c>
      <c r="P29" s="31">
        <v>1.1281328515982136</v>
      </c>
      <c r="Q29" s="310">
        <f t="shared" si="1"/>
        <v>1.1281328515982136</v>
      </c>
      <c r="R29" s="311">
        <f t="shared" si="18"/>
        <v>0</v>
      </c>
      <c r="S29" s="311">
        <f t="shared" si="2"/>
        <v>0</v>
      </c>
      <c r="T29" s="310">
        <f t="shared" si="3"/>
        <v>1.1281328515982136</v>
      </c>
      <c r="U29" s="316">
        <f t="shared" si="45"/>
        <v>0</v>
      </c>
      <c r="V29" s="32">
        <v>0.26436967691901048</v>
      </c>
      <c r="W29" s="33">
        <v>2.6093058679942414</v>
      </c>
      <c r="X29" s="48" t="s">
        <v>40</v>
      </c>
      <c r="Y29" s="48" t="s">
        <v>516</v>
      </c>
      <c r="Z29" s="246" t="s">
        <v>40</v>
      </c>
      <c r="AA29" s="246"/>
      <c r="AB29" s="386">
        <v>0</v>
      </c>
      <c r="AC29" s="388">
        <v>0</v>
      </c>
      <c r="AD29" s="337">
        <f t="shared" ref="AD29:AD55" si="50">AC29*0</f>
        <v>0</v>
      </c>
      <c r="AE29" s="337">
        <f t="shared" ref="AE29:AE55" si="51">AD29*0</f>
        <v>0</v>
      </c>
      <c r="AF29" s="337">
        <f t="shared" ref="AF29:AH29" si="52">AE29*0</f>
        <v>0</v>
      </c>
      <c r="AG29" s="337">
        <f t="shared" si="52"/>
        <v>0</v>
      </c>
      <c r="AH29" s="337">
        <f t="shared" si="52"/>
        <v>0</v>
      </c>
      <c r="AI29" s="337">
        <f t="shared" si="47"/>
        <v>0</v>
      </c>
      <c r="AJ29" s="337" t="s">
        <v>40</v>
      </c>
      <c r="AK29" s="337">
        <f t="shared" si="48"/>
        <v>0</v>
      </c>
      <c r="AL29" s="337">
        <f t="shared" ref="AL29:AM29" si="53">AK29*0</f>
        <v>0</v>
      </c>
      <c r="AM29" s="337">
        <f t="shared" si="53"/>
        <v>0</v>
      </c>
      <c r="AN29" s="337">
        <f t="shared" si="14"/>
        <v>0</v>
      </c>
      <c r="AO29" s="294" t="s">
        <v>609</v>
      </c>
      <c r="AP29" s="282" t="s">
        <v>419</v>
      </c>
      <c r="AQ29" s="136" t="s">
        <v>40</v>
      </c>
      <c r="AR29" s="289"/>
      <c r="AS29" s="142"/>
      <c r="AT29" s="142" t="s">
        <v>219</v>
      </c>
      <c r="AU29" s="146"/>
      <c r="AV29" s="32"/>
      <c r="AW29" s="131" t="s">
        <v>284</v>
      </c>
      <c r="AX29" s="131"/>
      <c r="AY29" s="131"/>
      <c r="AZ29" s="48"/>
      <c r="BA29" s="48"/>
      <c r="BB29" s="241"/>
      <c r="BC29" s="56" t="s">
        <v>58</v>
      </c>
      <c r="BD29" s="52">
        <v>1.6859516489937258</v>
      </c>
      <c r="BE29" s="53">
        <v>16.640197098782924</v>
      </c>
      <c r="BF29" s="54">
        <v>1.6859516489937258</v>
      </c>
      <c r="BG29" s="53">
        <v>16.640197098782924</v>
      </c>
      <c r="BH29" s="450">
        <v>10339.979513918963</v>
      </c>
      <c r="BI29" s="347">
        <f t="shared" si="15"/>
        <v>0</v>
      </c>
      <c r="BJ29" s="347">
        <f t="shared" si="19"/>
        <v>10339.979513918963</v>
      </c>
      <c r="BK29" s="45">
        <v>9165.5690189949073</v>
      </c>
      <c r="BL29" s="47">
        <v>196.47750120492088</v>
      </c>
      <c r="BM29" s="45">
        <v>1174.4104949240555</v>
      </c>
      <c r="BN29" s="55">
        <v>1.1281328515982132</v>
      </c>
      <c r="BO29" s="47">
        <f t="shared" si="20"/>
        <v>1.1281328515982132</v>
      </c>
      <c r="BP29" s="45">
        <v>5364.8335742364598</v>
      </c>
      <c r="BQ29" s="55">
        <v>1.9273625865254509</v>
      </c>
      <c r="BR29" s="54">
        <v>1.6167824604152363</v>
      </c>
      <c r="BS29" s="53">
        <v>15.957503184164478</v>
      </c>
      <c r="BT29" s="54">
        <v>3.3027341094089619</v>
      </c>
      <c r="BU29" s="53">
        <v>32.5977002829474</v>
      </c>
      <c r="BV29" s="450">
        <v>10537.539978145465</v>
      </c>
      <c r="BW29" s="347">
        <f t="shared" si="16"/>
        <v>0</v>
      </c>
      <c r="BX29" s="347">
        <f t="shared" si="21"/>
        <v>10537.539978145465</v>
      </c>
      <c r="BY29" s="45">
        <v>8789.5351201091289</v>
      </c>
      <c r="BZ29" s="47">
        <v>188.41665951922667</v>
      </c>
      <c r="CA29" s="45">
        <v>1748.0048580363364</v>
      </c>
      <c r="CB29" s="55">
        <v>1.1988734141396358</v>
      </c>
      <c r="CC29" s="47">
        <f t="shared" si="22"/>
        <v>1.1988734141396358</v>
      </c>
      <c r="CD29" s="45">
        <v>5144.7316600385911</v>
      </c>
      <c r="CE29" s="55">
        <v>2.04821955243948</v>
      </c>
      <c r="CF29" s="52">
        <v>1.7743697318237786</v>
      </c>
      <c r="CG29" s="53">
        <v>17.512875936439237</v>
      </c>
      <c r="CH29" s="54">
        <v>5.0771038412327405</v>
      </c>
      <c r="CI29" s="53">
        <v>50.110576219386637</v>
      </c>
      <c r="CJ29" s="450">
        <v>12351.696007474082</v>
      </c>
      <c r="CK29" s="347">
        <f t="shared" si="17"/>
        <v>0</v>
      </c>
      <c r="CL29" s="347">
        <f t="shared" si="23"/>
        <v>12351.696007474082</v>
      </c>
      <c r="CM29" s="45">
        <v>9646.2483084571832</v>
      </c>
      <c r="CN29" s="47">
        <v>206.78157130452738</v>
      </c>
      <c r="CO29" s="45">
        <v>2705.4476990168987</v>
      </c>
      <c r="CP29" s="55">
        <v>1.2804663131722354</v>
      </c>
      <c r="CQ29" s="47">
        <f t="shared" si="24"/>
        <v>1.2804663131722354</v>
      </c>
      <c r="CR29" s="45">
        <v>5646.1870161453098</v>
      </c>
      <c r="CS29" s="55">
        <v>2.187617231266751</v>
      </c>
      <c r="CT29" s="239"/>
      <c r="CU29" s="239"/>
      <c r="CV29" s="239"/>
      <c r="CW29" s="239"/>
      <c r="CX29" s="239"/>
      <c r="CY29" s="239"/>
      <c r="CZ29" s="239"/>
      <c r="DA29" s="239"/>
      <c r="DB29" s="239"/>
      <c r="DC29" s="239"/>
      <c r="DD29" s="239"/>
      <c r="DE29" s="239"/>
      <c r="DF29" s="239"/>
      <c r="DG29" s="239"/>
      <c r="DH29" s="239"/>
      <c r="DI29" s="239"/>
      <c r="DJ29" s="239"/>
      <c r="DK29" s="239"/>
      <c r="DL29" s="239"/>
      <c r="DM29" s="239"/>
      <c r="DN29" s="239"/>
      <c r="DO29" s="239"/>
      <c r="DP29" s="239"/>
      <c r="DQ29" s="239"/>
      <c r="DR29" s="239"/>
      <c r="DS29" s="239"/>
      <c r="DT29" s="239"/>
      <c r="DU29" s="239"/>
      <c r="DV29" s="239"/>
      <c r="DW29" s="239"/>
      <c r="DX29" s="239"/>
      <c r="DY29" s="239"/>
      <c r="DZ29" s="239"/>
      <c r="EA29" s="239"/>
      <c r="EB29" s="239"/>
      <c r="EC29" s="239"/>
      <c r="ED29" s="239"/>
      <c r="EE29" s="239"/>
      <c r="EF29" s="239"/>
      <c r="EG29" s="239"/>
      <c r="EH29" s="239"/>
      <c r="EI29" s="239"/>
      <c r="EJ29" s="239"/>
      <c r="EK29" s="239"/>
      <c r="EL29" s="239"/>
      <c r="EM29" s="239"/>
      <c r="EN29" s="239"/>
      <c r="EO29" s="239"/>
      <c r="EP29" s="239"/>
      <c r="EQ29" s="239"/>
      <c r="ER29" s="239"/>
      <c r="ES29" s="239"/>
      <c r="ET29" s="239"/>
      <c r="EU29" s="239"/>
      <c r="EV29" s="239"/>
      <c r="EW29" s="239"/>
      <c r="EX29" s="239"/>
      <c r="EY29" s="239"/>
      <c r="EZ29" s="239"/>
      <c r="FA29" s="239"/>
      <c r="FB29" s="239"/>
      <c r="FC29" s="239"/>
      <c r="FD29" s="239"/>
      <c r="FE29" s="239"/>
      <c r="FF29" s="239"/>
      <c r="FG29" s="239"/>
      <c r="FH29" s="239"/>
      <c r="FI29" s="239"/>
      <c r="FJ29" s="239"/>
      <c r="FK29" s="239"/>
      <c r="FL29" s="239"/>
      <c r="FM29" s="239"/>
      <c r="FN29" s="239"/>
      <c r="FO29" s="239"/>
      <c r="FP29" s="239"/>
      <c r="FQ29" s="239"/>
      <c r="FR29" s="239"/>
      <c r="FS29" s="239"/>
      <c r="FT29" s="239"/>
      <c r="FU29" s="239"/>
      <c r="FV29" s="239"/>
      <c r="FW29" s="239"/>
      <c r="FX29" s="239"/>
      <c r="FY29" s="239"/>
      <c r="FZ29" s="239"/>
      <c r="GA29" s="239"/>
      <c r="GB29" s="239"/>
      <c r="GC29" s="239"/>
      <c r="GD29" s="239"/>
      <c r="GE29" s="239"/>
      <c r="GF29" s="239"/>
      <c r="GG29" s="239"/>
      <c r="GH29" s="239"/>
      <c r="GI29" s="239"/>
      <c r="GJ29" s="239"/>
      <c r="GK29" s="239"/>
      <c r="GL29" s="239"/>
      <c r="GM29" s="239"/>
      <c r="GN29" s="239"/>
      <c r="GO29" s="239"/>
      <c r="GP29" s="239"/>
      <c r="GQ29" s="239"/>
      <c r="GR29" s="239"/>
      <c r="GS29" s="239"/>
      <c r="GT29" s="239"/>
      <c r="GU29" s="239"/>
      <c r="GV29" s="239"/>
      <c r="GW29" s="239"/>
      <c r="GX29" s="239"/>
      <c r="GY29" s="239"/>
      <c r="GZ29" s="239"/>
      <c r="HA29" s="239"/>
      <c r="HB29" s="239"/>
      <c r="HC29" s="239"/>
      <c r="HD29" s="239"/>
      <c r="HE29" s="239"/>
      <c r="HF29" s="239"/>
      <c r="HG29" s="239"/>
      <c r="HH29" s="239"/>
      <c r="HI29" s="239"/>
      <c r="HJ29" s="239"/>
      <c r="HK29" s="239"/>
      <c r="HL29" s="239"/>
      <c r="HM29" s="239"/>
      <c r="HN29" s="239"/>
      <c r="HO29" s="239"/>
      <c r="HP29" s="239"/>
      <c r="HQ29" s="239"/>
      <c r="HR29" s="239"/>
      <c r="HS29" s="239"/>
      <c r="HT29" s="239"/>
      <c r="HU29" s="239"/>
      <c r="HV29" s="239"/>
      <c r="HW29" s="239"/>
      <c r="HX29" s="239"/>
      <c r="HY29" s="239"/>
      <c r="HZ29" s="239"/>
      <c r="IA29" s="239"/>
      <c r="IB29" s="239"/>
      <c r="IC29" s="239"/>
      <c r="ID29" s="239"/>
      <c r="IE29" s="239"/>
      <c r="IF29" s="239"/>
      <c r="IG29" s="239"/>
      <c r="IH29" s="239"/>
      <c r="II29" s="239"/>
      <c r="IJ29" s="239"/>
      <c r="IK29" s="239"/>
      <c r="IL29" s="239"/>
      <c r="IM29" s="239"/>
      <c r="IN29" s="239"/>
      <c r="IO29" s="239"/>
      <c r="IP29" s="239"/>
      <c r="IQ29" s="239"/>
      <c r="IR29" s="239"/>
      <c r="IS29" s="239"/>
      <c r="IT29" s="239"/>
      <c r="IU29" s="239"/>
    </row>
    <row r="30" spans="1:255" s="34" customFormat="1" ht="15" customHeight="1">
      <c r="A30" s="377" t="str">
        <f t="shared" si="0"/>
        <v>BNI - Efficient Product Rebates; Night Covers for 3' Refrigerated Display Cases; COM-Refrigeration; School</v>
      </c>
      <c r="B30" s="42" t="s">
        <v>58</v>
      </c>
      <c r="C30" s="15" t="s">
        <v>46</v>
      </c>
      <c r="D30" s="15" t="s">
        <v>59</v>
      </c>
      <c r="E30" s="43">
        <v>10</v>
      </c>
      <c r="F30" s="44">
        <v>144.56360999999998</v>
      </c>
      <c r="G30" s="28">
        <v>14.615371209297102</v>
      </c>
      <c r="H30" s="29">
        <v>52.859000000000002</v>
      </c>
      <c r="I30" s="30">
        <v>0.45403810136400613</v>
      </c>
      <c r="J30" s="29">
        <v>4.6260355199999994</v>
      </c>
      <c r="K30" s="29">
        <v>28.626035519999999</v>
      </c>
      <c r="L30" s="29">
        <v>28.859000000000002</v>
      </c>
      <c r="M30" s="29">
        <v>57.485035519999997</v>
      </c>
      <c r="N30" s="29">
        <v>89.794515111205754</v>
      </c>
      <c r="O30" s="31">
        <v>0.82</v>
      </c>
      <c r="P30" s="31">
        <v>1.534935680523551</v>
      </c>
      <c r="Q30" s="310">
        <f t="shared" si="1"/>
        <v>1.534935680523551</v>
      </c>
      <c r="R30" s="311">
        <f t="shared" si="18"/>
        <v>0</v>
      </c>
      <c r="S30" s="311">
        <f t="shared" si="2"/>
        <v>0</v>
      </c>
      <c r="T30" s="310">
        <f t="shared" si="3"/>
        <v>1.534935680523551</v>
      </c>
      <c r="U30" s="316">
        <f t="shared" si="45"/>
        <v>0</v>
      </c>
      <c r="V30" s="32">
        <v>0.19801688350200997</v>
      </c>
      <c r="W30" s="33">
        <v>1.9586252795132879</v>
      </c>
      <c r="X30" s="48" t="s">
        <v>40</v>
      </c>
      <c r="Y30" s="48" t="s">
        <v>516</v>
      </c>
      <c r="Z30" s="246" t="s">
        <v>40</v>
      </c>
      <c r="AA30" s="246"/>
      <c r="AB30" s="386">
        <v>0</v>
      </c>
      <c r="AC30" s="388">
        <v>0</v>
      </c>
      <c r="AD30" s="337">
        <f t="shared" si="50"/>
        <v>0</v>
      </c>
      <c r="AE30" s="337">
        <f t="shared" si="51"/>
        <v>0</v>
      </c>
      <c r="AF30" s="337">
        <f t="shared" ref="AF30:AH30" si="54">AE30*0</f>
        <v>0</v>
      </c>
      <c r="AG30" s="337">
        <f t="shared" si="54"/>
        <v>0</v>
      </c>
      <c r="AH30" s="337">
        <f t="shared" si="54"/>
        <v>0</v>
      </c>
      <c r="AI30" s="337">
        <f t="shared" si="47"/>
        <v>0</v>
      </c>
      <c r="AJ30" s="337" t="s">
        <v>40</v>
      </c>
      <c r="AK30" s="337">
        <f t="shared" si="48"/>
        <v>0</v>
      </c>
      <c r="AL30" s="337">
        <f t="shared" ref="AL30:AM30" si="55">AK30*0</f>
        <v>0</v>
      </c>
      <c r="AM30" s="337">
        <f t="shared" si="55"/>
        <v>0</v>
      </c>
      <c r="AN30" s="337">
        <f t="shared" si="14"/>
        <v>0</v>
      </c>
      <c r="AO30" s="294" t="s">
        <v>609</v>
      </c>
      <c r="AP30" s="282" t="s">
        <v>419</v>
      </c>
      <c r="AQ30" s="136" t="s">
        <v>40</v>
      </c>
      <c r="AR30" s="289"/>
      <c r="AS30" s="142"/>
      <c r="AT30" s="142" t="s">
        <v>219</v>
      </c>
      <c r="AU30" s="146"/>
      <c r="AV30" s="32"/>
      <c r="AW30" s="131" t="s">
        <v>284</v>
      </c>
      <c r="AX30" s="131"/>
      <c r="AY30" s="131"/>
      <c r="AZ30" s="48"/>
      <c r="BA30" s="48"/>
      <c r="BB30" s="241"/>
      <c r="BC30" s="56" t="s">
        <v>58</v>
      </c>
      <c r="BD30" s="52">
        <v>1.880625562966703</v>
      </c>
      <c r="BE30" s="53">
        <v>18.601650040048757</v>
      </c>
      <c r="BF30" s="54">
        <v>1.880625562966703</v>
      </c>
      <c r="BG30" s="53">
        <v>18.601650040048757</v>
      </c>
      <c r="BH30" s="450">
        <v>11554.264213618622</v>
      </c>
      <c r="BI30" s="347">
        <f t="shared" si="15"/>
        <v>0</v>
      </c>
      <c r="BJ30" s="347">
        <f t="shared" si="19"/>
        <v>11554.264213618622</v>
      </c>
      <c r="BK30" s="45">
        <v>7527.523374580478</v>
      </c>
      <c r="BL30" s="47">
        <v>156.92012030711044</v>
      </c>
      <c r="BM30" s="45">
        <v>4026.7408390381443</v>
      </c>
      <c r="BN30" s="55">
        <v>1.5349356805235508</v>
      </c>
      <c r="BO30" s="47">
        <f t="shared" si="20"/>
        <v>1.5349356805235508</v>
      </c>
      <c r="BP30" s="45">
        <v>4492.0009377140168</v>
      </c>
      <c r="BQ30" s="55">
        <v>2.5721865097157788</v>
      </c>
      <c r="BR30" s="54">
        <v>1.8060801284723074</v>
      </c>
      <c r="BS30" s="53">
        <v>17.864305981851096</v>
      </c>
      <c r="BT30" s="54">
        <v>3.6867056914390108</v>
      </c>
      <c r="BU30" s="53">
        <v>36.465956021899856</v>
      </c>
      <c r="BV30" s="450">
        <v>11791.611462819221</v>
      </c>
      <c r="BW30" s="347">
        <f t="shared" si="16"/>
        <v>0</v>
      </c>
      <c r="BX30" s="347">
        <f t="shared" si="21"/>
        <v>11791.611462819221</v>
      </c>
      <c r="BY30" s="45">
        <v>7229.1426061410575</v>
      </c>
      <c r="BZ30" s="47">
        <v>150.70002058095696</v>
      </c>
      <c r="CA30" s="45">
        <v>4562.4688566781633</v>
      </c>
      <c r="CB30" s="55">
        <v>1.6311217118337669</v>
      </c>
      <c r="CC30" s="47">
        <f t="shared" si="22"/>
        <v>1.6311217118337669</v>
      </c>
      <c r="CD30" s="45">
        <v>4313.9441420152052</v>
      </c>
      <c r="CE30" s="55">
        <v>2.733371382345001</v>
      </c>
      <c r="CF30" s="52">
        <v>1.9840324156987217</v>
      </c>
      <c r="CG30" s="53">
        <v>19.624468257636671</v>
      </c>
      <c r="CH30" s="54">
        <v>5.6707381071377325</v>
      </c>
      <c r="CI30" s="53">
        <v>56.090424279536528</v>
      </c>
      <c r="CJ30" s="450">
        <v>13834.548831955633</v>
      </c>
      <c r="CK30" s="347">
        <f t="shared" si="17"/>
        <v>0</v>
      </c>
      <c r="CL30" s="347">
        <f t="shared" si="23"/>
        <v>13834.548831955633</v>
      </c>
      <c r="CM30" s="45">
        <v>7941.4268736928389</v>
      </c>
      <c r="CN30" s="47">
        <v>165.54842787179675</v>
      </c>
      <c r="CO30" s="45">
        <v>5893.1219582627946</v>
      </c>
      <c r="CP30" s="55">
        <v>1.742073439948763</v>
      </c>
      <c r="CQ30" s="47">
        <f t="shared" si="24"/>
        <v>1.742073439948763</v>
      </c>
      <c r="CR30" s="45">
        <v>4738.9951765382111</v>
      </c>
      <c r="CS30" s="55">
        <v>2.9193000449647291</v>
      </c>
      <c r="CT30" s="239"/>
      <c r="CU30" s="239"/>
      <c r="CV30" s="239"/>
      <c r="CW30" s="239"/>
      <c r="CX30" s="239"/>
      <c r="CY30" s="239"/>
      <c r="CZ30" s="239"/>
      <c r="DA30" s="239"/>
      <c r="DB30" s="239"/>
      <c r="DC30" s="239"/>
      <c r="DD30" s="239"/>
      <c r="DE30" s="239"/>
      <c r="DF30" s="239"/>
      <c r="DG30" s="239"/>
      <c r="DH30" s="239"/>
      <c r="DI30" s="239"/>
      <c r="DJ30" s="239"/>
      <c r="DK30" s="239"/>
      <c r="DL30" s="239"/>
      <c r="DM30" s="239"/>
      <c r="DN30" s="239"/>
      <c r="DO30" s="239"/>
      <c r="DP30" s="239"/>
      <c r="DQ30" s="239"/>
      <c r="DR30" s="239"/>
      <c r="DS30" s="239"/>
      <c r="DT30" s="239"/>
      <c r="DU30" s="239"/>
      <c r="DV30" s="239"/>
      <c r="DW30" s="239"/>
      <c r="DX30" s="239"/>
      <c r="DY30" s="239"/>
      <c r="DZ30" s="239"/>
      <c r="EA30" s="239"/>
      <c r="EB30" s="239"/>
      <c r="EC30" s="239"/>
      <c r="ED30" s="239"/>
      <c r="EE30" s="239"/>
      <c r="EF30" s="239"/>
      <c r="EG30" s="239"/>
      <c r="EH30" s="239"/>
      <c r="EI30" s="239"/>
      <c r="EJ30" s="239"/>
      <c r="EK30" s="239"/>
      <c r="EL30" s="239"/>
      <c r="EM30" s="239"/>
      <c r="EN30" s="239"/>
      <c r="EO30" s="239"/>
      <c r="EP30" s="239"/>
      <c r="EQ30" s="239"/>
      <c r="ER30" s="239"/>
      <c r="ES30" s="239"/>
      <c r="ET30" s="239"/>
      <c r="EU30" s="239"/>
      <c r="EV30" s="239"/>
      <c r="EW30" s="239"/>
      <c r="EX30" s="239"/>
      <c r="EY30" s="239"/>
      <c r="EZ30" s="239"/>
      <c r="FA30" s="239"/>
      <c r="FB30" s="239"/>
      <c r="FC30" s="239"/>
      <c r="FD30" s="239"/>
      <c r="FE30" s="239"/>
      <c r="FF30" s="239"/>
      <c r="FG30" s="239"/>
      <c r="FH30" s="239"/>
      <c r="FI30" s="239"/>
      <c r="FJ30" s="239"/>
      <c r="FK30" s="239"/>
      <c r="FL30" s="239"/>
      <c r="FM30" s="239"/>
      <c r="FN30" s="239"/>
      <c r="FO30" s="239"/>
      <c r="FP30" s="239"/>
      <c r="FQ30" s="239"/>
      <c r="FR30" s="239"/>
      <c r="FS30" s="239"/>
      <c r="FT30" s="239"/>
      <c r="FU30" s="239"/>
      <c r="FV30" s="239"/>
      <c r="FW30" s="239"/>
      <c r="FX30" s="239"/>
      <c r="FY30" s="239"/>
      <c r="FZ30" s="239"/>
      <c r="GA30" s="239"/>
      <c r="GB30" s="239"/>
      <c r="GC30" s="239"/>
      <c r="GD30" s="239"/>
      <c r="GE30" s="239"/>
      <c r="GF30" s="239"/>
      <c r="GG30" s="239"/>
      <c r="GH30" s="239"/>
      <c r="GI30" s="239"/>
      <c r="GJ30" s="239"/>
      <c r="GK30" s="239"/>
      <c r="GL30" s="239"/>
      <c r="GM30" s="239"/>
      <c r="GN30" s="239"/>
      <c r="GO30" s="239"/>
      <c r="GP30" s="239"/>
      <c r="GQ30" s="239"/>
      <c r="GR30" s="239"/>
      <c r="GS30" s="239"/>
      <c r="GT30" s="239"/>
      <c r="GU30" s="239"/>
      <c r="GV30" s="239"/>
      <c r="GW30" s="239"/>
      <c r="GX30" s="239"/>
      <c r="GY30" s="239"/>
      <c r="GZ30" s="239"/>
      <c r="HA30" s="239"/>
      <c r="HB30" s="239"/>
      <c r="HC30" s="239"/>
      <c r="HD30" s="239"/>
      <c r="HE30" s="239"/>
      <c r="HF30" s="239"/>
      <c r="HG30" s="239"/>
      <c r="HH30" s="239"/>
      <c r="HI30" s="239"/>
      <c r="HJ30" s="239"/>
      <c r="HK30" s="239"/>
      <c r="HL30" s="239"/>
      <c r="HM30" s="239"/>
      <c r="HN30" s="239"/>
      <c r="HO30" s="239"/>
      <c r="HP30" s="239"/>
      <c r="HQ30" s="239"/>
      <c r="HR30" s="239"/>
      <c r="HS30" s="239"/>
      <c r="HT30" s="239"/>
      <c r="HU30" s="239"/>
      <c r="HV30" s="239"/>
      <c r="HW30" s="239"/>
      <c r="HX30" s="239"/>
      <c r="HY30" s="239"/>
      <c r="HZ30" s="239"/>
      <c r="IA30" s="239"/>
      <c r="IB30" s="239"/>
      <c r="IC30" s="239"/>
      <c r="ID30" s="239"/>
      <c r="IE30" s="239"/>
      <c r="IF30" s="239"/>
      <c r="IG30" s="239"/>
      <c r="IH30" s="239"/>
      <c r="II30" s="239"/>
      <c r="IJ30" s="239"/>
      <c r="IK30" s="239"/>
      <c r="IL30" s="239"/>
      <c r="IM30" s="239"/>
      <c r="IN30" s="239"/>
      <c r="IO30" s="239"/>
      <c r="IP30" s="239"/>
      <c r="IQ30" s="239"/>
      <c r="IR30" s="239"/>
      <c r="IS30" s="239"/>
      <c r="IT30" s="239"/>
      <c r="IU30" s="239"/>
    </row>
    <row r="31" spans="1:255" s="23" customFormat="1" ht="15" customHeight="1">
      <c r="A31" s="377" t="str">
        <f t="shared" si="0"/>
        <v>BNI - Efficient Product Rebates; Zero Energy Doors for Reach-In Coolers and Freezers; COM-Refrigeration; Other Commercial</v>
      </c>
      <c r="B31" s="42" t="s">
        <v>60</v>
      </c>
      <c r="C31" s="15" t="s">
        <v>46</v>
      </c>
      <c r="D31" s="15" t="s">
        <v>56</v>
      </c>
      <c r="E31" s="43">
        <v>10</v>
      </c>
      <c r="F31" s="44">
        <v>1617.4025999999999</v>
      </c>
      <c r="G31" s="44">
        <v>163.76300607467354</v>
      </c>
      <c r="H31" s="45">
        <v>618.125</v>
      </c>
      <c r="I31" s="46">
        <v>0.19413549039433772</v>
      </c>
      <c r="J31" s="45">
        <v>51.756883199999997</v>
      </c>
      <c r="K31" s="45">
        <v>171.7568832</v>
      </c>
      <c r="L31" s="45">
        <v>498.125</v>
      </c>
      <c r="M31" s="45">
        <v>669.88188319999995</v>
      </c>
      <c r="N31" s="45">
        <v>1004.9089144502947</v>
      </c>
      <c r="O31" s="47">
        <v>0.82</v>
      </c>
      <c r="P31" s="47">
        <v>1.4751104860144455</v>
      </c>
      <c r="Q31" s="310">
        <f t="shared" si="1"/>
        <v>1.4751104860144455</v>
      </c>
      <c r="R31" s="311">
        <f t="shared" si="18"/>
        <v>0</v>
      </c>
      <c r="S31" s="311">
        <f t="shared" si="2"/>
        <v>0</v>
      </c>
      <c r="T31" s="310">
        <f t="shared" si="3"/>
        <v>1.4751104860144455</v>
      </c>
      <c r="U31" s="316">
        <f t="shared" si="45"/>
        <v>0</v>
      </c>
      <c r="V31" s="48">
        <v>0.10619303023254693</v>
      </c>
      <c r="W31" s="49">
        <v>1.0488136931345859</v>
      </c>
      <c r="X31" s="226" t="s">
        <v>40</v>
      </c>
      <c r="Y31" s="226" t="s">
        <v>515</v>
      </c>
      <c r="Z31" s="248" t="s">
        <v>40</v>
      </c>
      <c r="AA31" s="248"/>
      <c r="AB31" s="386">
        <v>0</v>
      </c>
      <c r="AC31" s="389">
        <v>0</v>
      </c>
      <c r="AD31" s="337">
        <f t="shared" si="50"/>
        <v>0</v>
      </c>
      <c r="AE31" s="337">
        <f t="shared" si="51"/>
        <v>0</v>
      </c>
      <c r="AF31" s="337">
        <f t="shared" ref="AF31:AH31" si="56">AE31*0</f>
        <v>0</v>
      </c>
      <c r="AG31" s="337">
        <f t="shared" si="56"/>
        <v>0</v>
      </c>
      <c r="AH31" s="337">
        <f t="shared" si="56"/>
        <v>0</v>
      </c>
      <c r="AI31" s="337">
        <f t="shared" si="47"/>
        <v>0</v>
      </c>
      <c r="AJ31" s="337" t="s">
        <v>40</v>
      </c>
      <c r="AK31" s="337">
        <f t="shared" si="48"/>
        <v>0</v>
      </c>
      <c r="AL31" s="337">
        <f t="shared" ref="AL31:AM31" si="57">AK31*0</f>
        <v>0</v>
      </c>
      <c r="AM31" s="337">
        <f t="shared" si="57"/>
        <v>0</v>
      </c>
      <c r="AN31" s="337">
        <f t="shared" si="14"/>
        <v>0</v>
      </c>
      <c r="AO31" s="294" t="s">
        <v>610</v>
      </c>
      <c r="AP31" s="282" t="s">
        <v>356</v>
      </c>
      <c r="AQ31" s="136"/>
      <c r="AR31" s="495" t="s">
        <v>589</v>
      </c>
      <c r="AS31" s="142"/>
      <c r="AT31" s="142" t="s">
        <v>219</v>
      </c>
      <c r="AU31" s="146"/>
      <c r="AV31" s="48"/>
      <c r="AW31" s="131" t="s">
        <v>284</v>
      </c>
      <c r="AX31" s="131"/>
      <c r="AY31" s="131"/>
      <c r="AZ31" s="48"/>
      <c r="BA31" s="48"/>
      <c r="BB31" s="50"/>
      <c r="BC31" s="51" t="s">
        <v>60</v>
      </c>
      <c r="BD31" s="52">
        <v>2.2973097799435567</v>
      </c>
      <c r="BE31" s="53">
        <v>22.689341751529906</v>
      </c>
      <c r="BF31" s="54">
        <v>2.2973097799435567</v>
      </c>
      <c r="BG31" s="53">
        <v>22.689341751529906</v>
      </c>
      <c r="BH31" s="450">
        <v>14097.122008534958</v>
      </c>
      <c r="BI31" s="347">
        <f t="shared" si="15"/>
        <v>0</v>
      </c>
      <c r="BJ31" s="347">
        <f t="shared" si="19"/>
        <v>14097.122008534958</v>
      </c>
      <c r="BK31" s="45">
        <v>9556.6550046183511</v>
      </c>
      <c r="BL31" s="47">
        <v>17.107632302112272</v>
      </c>
      <c r="BM31" s="45">
        <v>4540.4670039166067</v>
      </c>
      <c r="BN31" s="55">
        <v>1.4751104860144455</v>
      </c>
      <c r="BO31" s="47">
        <f t="shared" si="20"/>
        <v>1.4751104860144455</v>
      </c>
      <c r="BP31" s="45">
        <v>2938.3536031424446</v>
      </c>
      <c r="BQ31" s="55">
        <v>4.7976261241869196</v>
      </c>
      <c r="BR31" s="54">
        <v>2.4435753159547171</v>
      </c>
      <c r="BS31" s="53">
        <v>24.133930880084204</v>
      </c>
      <c r="BT31" s="54">
        <v>4.7408850958982738</v>
      </c>
      <c r="BU31" s="53">
        <v>46.82327263161411</v>
      </c>
      <c r="BV31" s="450">
        <v>15934.721943517208</v>
      </c>
      <c r="BW31" s="347">
        <f t="shared" si="16"/>
        <v>0</v>
      </c>
      <c r="BX31" s="347">
        <f t="shared" si="21"/>
        <v>15934.721943517208</v>
      </c>
      <c r="BY31" s="45">
        <v>10165.109849902034</v>
      </c>
      <c r="BZ31" s="47">
        <v>18.196844140409404</v>
      </c>
      <c r="CA31" s="45">
        <v>5769.6120936151747</v>
      </c>
      <c r="CB31" s="55">
        <v>1.567589743623949</v>
      </c>
      <c r="CC31" s="47">
        <f t="shared" si="22"/>
        <v>1.567589743623949</v>
      </c>
      <c r="CD31" s="45">
        <v>3125.4332336329026</v>
      </c>
      <c r="CE31" s="55">
        <v>5.0984042058691497</v>
      </c>
      <c r="CF31" s="52">
        <v>2.985339837598973</v>
      </c>
      <c r="CG31" s="53">
        <v>29.484659148320915</v>
      </c>
      <c r="CH31" s="54">
        <v>7.7262249334972459</v>
      </c>
      <c r="CI31" s="53">
        <v>76.307931779935018</v>
      </c>
      <c r="CJ31" s="450">
        <v>20792.313343684185</v>
      </c>
      <c r="CK31" s="347">
        <f t="shared" si="17"/>
        <v>0</v>
      </c>
      <c r="CL31" s="347">
        <f t="shared" si="23"/>
        <v>20792.313343684185</v>
      </c>
      <c r="CM31" s="45">
        <v>12418.81401827216</v>
      </c>
      <c r="CN31" s="47">
        <v>22.231262272232879</v>
      </c>
      <c r="CO31" s="45">
        <v>8373.4993254120254</v>
      </c>
      <c r="CP31" s="55">
        <v>1.6742591774940709</v>
      </c>
      <c r="CQ31" s="47">
        <f t="shared" si="24"/>
        <v>1.6742591774940709</v>
      </c>
      <c r="CR31" s="45">
        <v>3818.3723174804691</v>
      </c>
      <c r="CS31" s="55">
        <v>5.4453341934460369</v>
      </c>
    </row>
    <row r="32" spans="1:255" s="23" customFormat="1" ht="15" customHeight="1">
      <c r="A32" s="377" t="str">
        <f t="shared" si="0"/>
        <v>BNI - Efficient Product Rebates; Zero Energy Doors for Reach-In Coolers and Freezers; COM-Refrigeration; Retail</v>
      </c>
      <c r="B32" s="42" t="s">
        <v>60</v>
      </c>
      <c r="C32" s="15" t="s">
        <v>46</v>
      </c>
      <c r="D32" s="15" t="s">
        <v>30</v>
      </c>
      <c r="E32" s="43">
        <v>10</v>
      </c>
      <c r="F32" s="44">
        <v>1617.4025999999999</v>
      </c>
      <c r="G32" s="44">
        <v>163.87201211433873</v>
      </c>
      <c r="H32" s="45">
        <v>618.125</v>
      </c>
      <c r="I32" s="46">
        <v>0.19413549039433772</v>
      </c>
      <c r="J32" s="45">
        <v>51.756883199999997</v>
      </c>
      <c r="K32" s="45">
        <v>171.7568832</v>
      </c>
      <c r="L32" s="45">
        <v>498.125</v>
      </c>
      <c r="M32" s="45">
        <v>669.88188319999995</v>
      </c>
      <c r="N32" s="45">
        <v>1005.0307487633347</v>
      </c>
      <c r="O32" s="47">
        <v>0.82</v>
      </c>
      <c r="P32" s="47">
        <v>1.4752893271712284</v>
      </c>
      <c r="Q32" s="310">
        <f t="shared" si="1"/>
        <v>1.4752893271712284</v>
      </c>
      <c r="R32" s="311">
        <f t="shared" si="18"/>
        <v>0</v>
      </c>
      <c r="S32" s="311">
        <f t="shared" si="2"/>
        <v>0</v>
      </c>
      <c r="T32" s="310">
        <f t="shared" si="3"/>
        <v>1.4752893271712284</v>
      </c>
      <c r="U32" s="316">
        <f t="shared" si="45"/>
        <v>0</v>
      </c>
      <c r="V32" s="48">
        <v>0.10619303023254693</v>
      </c>
      <c r="W32" s="49">
        <v>1.0481160326521148</v>
      </c>
      <c r="X32" s="226" t="s">
        <v>40</v>
      </c>
      <c r="Y32" s="226" t="s">
        <v>515</v>
      </c>
      <c r="Z32" s="248" t="s">
        <v>40</v>
      </c>
      <c r="AA32" s="248"/>
      <c r="AB32" s="386">
        <v>0</v>
      </c>
      <c r="AC32" s="389">
        <v>0</v>
      </c>
      <c r="AD32" s="337">
        <f t="shared" si="50"/>
        <v>0</v>
      </c>
      <c r="AE32" s="337">
        <f t="shared" si="51"/>
        <v>0</v>
      </c>
      <c r="AF32" s="337">
        <f t="shared" ref="AF32:AH32" si="58">AE32*0</f>
        <v>0</v>
      </c>
      <c r="AG32" s="337">
        <f t="shared" si="58"/>
        <v>0</v>
      </c>
      <c r="AH32" s="337">
        <f t="shared" si="58"/>
        <v>0</v>
      </c>
      <c r="AI32" s="337">
        <f t="shared" si="47"/>
        <v>0</v>
      </c>
      <c r="AJ32" s="337" t="s">
        <v>40</v>
      </c>
      <c r="AK32" s="337">
        <f t="shared" si="48"/>
        <v>0</v>
      </c>
      <c r="AL32" s="337">
        <f t="shared" ref="AL32:AM32" si="59">AK32*0</f>
        <v>0</v>
      </c>
      <c r="AM32" s="337">
        <f t="shared" si="59"/>
        <v>0</v>
      </c>
      <c r="AN32" s="337">
        <f t="shared" si="14"/>
        <v>0</v>
      </c>
      <c r="AO32" s="294" t="s">
        <v>610</v>
      </c>
      <c r="AP32" s="282" t="s">
        <v>356</v>
      </c>
      <c r="AQ32" s="136"/>
      <c r="AR32" s="495" t="s">
        <v>589</v>
      </c>
      <c r="AS32" s="142"/>
      <c r="AT32" s="142" t="s">
        <v>219</v>
      </c>
      <c r="AU32" s="146"/>
      <c r="AV32" s="48"/>
      <c r="AW32" s="131" t="s">
        <v>284</v>
      </c>
      <c r="AX32" s="131"/>
      <c r="AY32" s="131"/>
      <c r="AZ32" s="48"/>
      <c r="BA32" s="48"/>
      <c r="BB32" s="50"/>
      <c r="BC32" s="51" t="s">
        <v>60</v>
      </c>
      <c r="BD32" s="52">
        <v>3.2890460181062737</v>
      </c>
      <c r="BE32" s="53">
        <v>32.462600004526713</v>
      </c>
      <c r="BF32" s="54">
        <v>3.2890460181062737</v>
      </c>
      <c r="BG32" s="53">
        <v>32.462600004526713</v>
      </c>
      <c r="BH32" s="450">
        <v>20171.793460301178</v>
      </c>
      <c r="BI32" s="347">
        <f t="shared" si="15"/>
        <v>0</v>
      </c>
      <c r="BJ32" s="347">
        <f t="shared" si="19"/>
        <v>20171.793460301178</v>
      </c>
      <c r="BK32" s="45">
        <v>13673.110141031986</v>
      </c>
      <c r="BL32" s="47">
        <v>24.476612434582609</v>
      </c>
      <c r="BM32" s="45">
        <v>6498.683319269192</v>
      </c>
      <c r="BN32" s="55">
        <v>1.4752893271712284</v>
      </c>
      <c r="BO32" s="47">
        <f t="shared" si="20"/>
        <v>1.4752893271712284</v>
      </c>
      <c r="BP32" s="45">
        <v>4204.0266630582728</v>
      </c>
      <c r="BQ32" s="55">
        <v>4.7982077843500042</v>
      </c>
      <c r="BR32" s="54">
        <v>3.4984535969202684</v>
      </c>
      <c r="BS32" s="53">
        <v>34.529434713294066</v>
      </c>
      <c r="BT32" s="54">
        <v>6.787499615026543</v>
      </c>
      <c r="BU32" s="53">
        <v>66.992034717820786</v>
      </c>
      <c r="BV32" s="450">
        <v>22801.518164519246</v>
      </c>
      <c r="BW32" s="347">
        <f t="shared" si="16"/>
        <v>0</v>
      </c>
      <c r="BX32" s="347">
        <f t="shared" si="21"/>
        <v>22801.518164519246</v>
      </c>
      <c r="BY32" s="45">
        <v>14543.652199041606</v>
      </c>
      <c r="BZ32" s="47">
        <v>26.034993837359576</v>
      </c>
      <c r="CA32" s="45">
        <v>8257.8659654776402</v>
      </c>
      <c r="CB32" s="55">
        <v>1.567798641803454</v>
      </c>
      <c r="CC32" s="47">
        <f t="shared" si="22"/>
        <v>1.567798641803454</v>
      </c>
      <c r="CD32" s="45">
        <v>4471.6893956360882</v>
      </c>
      <c r="CE32" s="55">
        <v>5.0990836230197916</v>
      </c>
      <c r="CF32" s="52">
        <v>4.2740949397735042</v>
      </c>
      <c r="CG32" s="53">
        <v>42.184947746984001</v>
      </c>
      <c r="CH32" s="54">
        <v>11.061594554800047</v>
      </c>
      <c r="CI32" s="53">
        <v>109.17698246480478</v>
      </c>
      <c r="CJ32" s="450">
        <v>29752.717517844034</v>
      </c>
      <c r="CK32" s="347">
        <f t="shared" si="17"/>
        <v>0</v>
      </c>
      <c r="CL32" s="347">
        <f t="shared" si="23"/>
        <v>29752.717517844034</v>
      </c>
      <c r="CM32" s="45">
        <v>17768.12198523101</v>
      </c>
      <c r="CN32" s="47">
        <v>31.807206336894275</v>
      </c>
      <c r="CO32" s="45">
        <v>11984.595532613024</v>
      </c>
      <c r="CP32" s="55">
        <v>1.6744998454296243</v>
      </c>
      <c r="CQ32" s="47">
        <f t="shared" si="24"/>
        <v>1.6744998454296243</v>
      </c>
      <c r="CR32" s="45">
        <v>5463.1066237242494</v>
      </c>
      <c r="CS32" s="55">
        <v>5.4461169380511443</v>
      </c>
    </row>
    <row r="33" spans="1:97" s="23" customFormat="1" ht="15" customHeight="1">
      <c r="A33" s="377" t="str">
        <f t="shared" si="0"/>
        <v>BNI - Efficient Product Rebates; Zero Energy Doors for Reach-In Coolers and Freezers; COM-Refrigeration; School</v>
      </c>
      <c r="B33" s="42" t="s">
        <v>60</v>
      </c>
      <c r="C33" s="15" t="s">
        <v>46</v>
      </c>
      <c r="D33" s="15" t="s">
        <v>59</v>
      </c>
      <c r="E33" s="43">
        <v>10</v>
      </c>
      <c r="F33" s="44">
        <v>1617.4025999999999</v>
      </c>
      <c r="G33" s="44">
        <v>163.51929364438448</v>
      </c>
      <c r="H33" s="45">
        <v>618.125</v>
      </c>
      <c r="I33" s="46">
        <v>0.19413549039433772</v>
      </c>
      <c r="J33" s="45">
        <v>51.756883199999997</v>
      </c>
      <c r="K33" s="45">
        <v>171.7568832</v>
      </c>
      <c r="L33" s="45">
        <v>498.125</v>
      </c>
      <c r="M33" s="45">
        <v>669.88188319999995</v>
      </c>
      <c r="N33" s="45">
        <v>1004.6365209515968</v>
      </c>
      <c r="O33" s="47">
        <v>0.82</v>
      </c>
      <c r="P33" s="47">
        <v>1.4747106383262882</v>
      </c>
      <c r="Q33" s="310">
        <f t="shared" si="1"/>
        <v>1.4747106383262882</v>
      </c>
      <c r="R33" s="311">
        <f t="shared" si="18"/>
        <v>0</v>
      </c>
      <c r="S33" s="311">
        <f t="shared" si="2"/>
        <v>0</v>
      </c>
      <c r="T33" s="310">
        <f t="shared" si="3"/>
        <v>1.4747106383262882</v>
      </c>
      <c r="U33" s="316">
        <f t="shared" si="45"/>
        <v>0</v>
      </c>
      <c r="V33" s="48">
        <v>0.10619303023254693</v>
      </c>
      <c r="W33" s="49">
        <v>1.0503768660689687</v>
      </c>
      <c r="X33" s="226" t="s">
        <v>40</v>
      </c>
      <c r="Y33" s="226" t="s">
        <v>515</v>
      </c>
      <c r="Z33" s="248" t="s">
        <v>40</v>
      </c>
      <c r="AA33" s="248"/>
      <c r="AB33" s="386">
        <v>0</v>
      </c>
      <c r="AC33" s="389">
        <v>0</v>
      </c>
      <c r="AD33" s="337">
        <f t="shared" si="50"/>
        <v>0</v>
      </c>
      <c r="AE33" s="337">
        <f t="shared" si="51"/>
        <v>0</v>
      </c>
      <c r="AF33" s="337">
        <f t="shared" ref="AF33:AH33" si="60">AE33*0</f>
        <v>0</v>
      </c>
      <c r="AG33" s="337">
        <f t="shared" si="60"/>
        <v>0</v>
      </c>
      <c r="AH33" s="337">
        <f t="shared" si="60"/>
        <v>0</v>
      </c>
      <c r="AI33" s="337">
        <f t="shared" si="47"/>
        <v>0</v>
      </c>
      <c r="AJ33" s="337" t="s">
        <v>40</v>
      </c>
      <c r="AK33" s="337">
        <f t="shared" si="48"/>
        <v>0</v>
      </c>
      <c r="AL33" s="337">
        <f t="shared" ref="AL33:AM33" si="61">AK33*0</f>
        <v>0</v>
      </c>
      <c r="AM33" s="337">
        <f t="shared" si="61"/>
        <v>0</v>
      </c>
      <c r="AN33" s="337">
        <f t="shared" si="14"/>
        <v>0</v>
      </c>
      <c r="AO33" s="294" t="s">
        <v>610</v>
      </c>
      <c r="AP33" s="282" t="s">
        <v>356</v>
      </c>
      <c r="AQ33" s="136"/>
      <c r="AR33" s="495" t="s">
        <v>589</v>
      </c>
      <c r="AS33" s="142"/>
      <c r="AT33" s="142" t="s">
        <v>219</v>
      </c>
      <c r="AU33" s="146"/>
      <c r="AV33" s="48"/>
      <c r="AW33" s="131" t="s">
        <v>284</v>
      </c>
      <c r="AX33" s="131"/>
      <c r="AY33" s="131"/>
      <c r="AZ33" s="48"/>
      <c r="BA33" s="48"/>
      <c r="BB33" s="50"/>
      <c r="BC33" s="51" t="s">
        <v>60</v>
      </c>
      <c r="BD33" s="52">
        <v>3.2712412871411343</v>
      </c>
      <c r="BE33" s="53">
        <v>32.356513076407332</v>
      </c>
      <c r="BF33" s="54">
        <v>3.2712412871411343</v>
      </c>
      <c r="BG33" s="53">
        <v>32.356513076407332</v>
      </c>
      <c r="BH33" s="450">
        <v>20097.985948091533</v>
      </c>
      <c r="BI33" s="347">
        <f t="shared" si="15"/>
        <v>0</v>
      </c>
      <c r="BJ33" s="347">
        <f t="shared" si="19"/>
        <v>20097.985948091533</v>
      </c>
      <c r="BK33" s="45">
        <v>13628.426774558018</v>
      </c>
      <c r="BL33" s="47">
        <v>24.396623505057818</v>
      </c>
      <c r="BM33" s="45">
        <v>6469.5591735335147</v>
      </c>
      <c r="BN33" s="55">
        <v>1.4747106383262882</v>
      </c>
      <c r="BO33" s="47">
        <f t="shared" si="20"/>
        <v>1.4747106383262882</v>
      </c>
      <c r="BP33" s="45">
        <v>4190.28801383259</v>
      </c>
      <c r="BQ33" s="55">
        <v>4.7963256658601807</v>
      </c>
      <c r="BR33" s="54">
        <v>3.4795152711126347</v>
      </c>
      <c r="BS33" s="53">
        <v>34.416593423381308</v>
      </c>
      <c r="BT33" s="54">
        <v>6.7507565582537685</v>
      </c>
      <c r="BU33" s="53">
        <v>66.773106499788639</v>
      </c>
      <c r="BV33" s="450">
        <v>22717.204795676029</v>
      </c>
      <c r="BW33" s="347">
        <f t="shared" si="16"/>
        <v>0</v>
      </c>
      <c r="BX33" s="347">
        <f t="shared" si="21"/>
        <v>22717.204795676029</v>
      </c>
      <c r="BY33" s="45">
        <v>14496.123923881327</v>
      </c>
      <c r="BZ33" s="47">
        <v>25.949912158152497</v>
      </c>
      <c r="CA33" s="45">
        <v>8221.080871794702</v>
      </c>
      <c r="CB33" s="55">
        <v>1.5671226953469306</v>
      </c>
      <c r="CC33" s="47">
        <f t="shared" si="22"/>
        <v>1.5671226953469306</v>
      </c>
      <c r="CD33" s="45">
        <v>4457.0760315980588</v>
      </c>
      <c r="CE33" s="55">
        <v>5.0968851854050392</v>
      </c>
      <c r="CF33" s="52">
        <v>4.250957802104038</v>
      </c>
      <c r="CG33" s="53">
        <v>42.047088440621287</v>
      </c>
      <c r="CH33" s="54">
        <v>11.001714360357807</v>
      </c>
      <c r="CI33" s="53">
        <v>108.82019494040992</v>
      </c>
      <c r="CJ33" s="450">
        <v>29641.694777995763</v>
      </c>
      <c r="CK33" s="347">
        <f t="shared" si="17"/>
        <v>0</v>
      </c>
      <c r="CL33" s="347">
        <f t="shared" si="23"/>
        <v>29641.694777995763</v>
      </c>
      <c r="CM33" s="45">
        <v>17710.056227109329</v>
      </c>
      <c r="CN33" s="47">
        <v>31.703261218146238</v>
      </c>
      <c r="CO33" s="45">
        <v>11931.638550886433</v>
      </c>
      <c r="CP33" s="55">
        <v>1.673721099350453</v>
      </c>
      <c r="CQ33" s="47">
        <f t="shared" si="24"/>
        <v>1.673721099350453</v>
      </c>
      <c r="CR33" s="45">
        <v>5445.2533341042326</v>
      </c>
      <c r="CS33" s="55">
        <v>5.4435841565619185</v>
      </c>
    </row>
    <row r="34" spans="1:97" s="23" customFormat="1" ht="15" customHeight="1">
      <c r="A34" s="377" t="str">
        <f t="shared" si="0"/>
        <v>BNI - Efficient Product Rebates; Humidity-Based Door Heater Controls for Reach-In Coolers and Freezers; COM-Refrigeration; Other Commercial</v>
      </c>
      <c r="B34" s="42" t="s">
        <v>61</v>
      </c>
      <c r="C34" s="15" t="s">
        <v>46</v>
      </c>
      <c r="D34" s="15" t="s">
        <v>56</v>
      </c>
      <c r="E34" s="43">
        <v>10</v>
      </c>
      <c r="F34" s="44">
        <v>1779.1428599999997</v>
      </c>
      <c r="G34" s="28">
        <v>1217.7118226250841</v>
      </c>
      <c r="H34" s="29">
        <v>345</v>
      </c>
      <c r="I34" s="30">
        <v>0.2318840579710145</v>
      </c>
      <c r="J34" s="29">
        <v>56.932571519999989</v>
      </c>
      <c r="K34" s="29">
        <v>136.93257151999998</v>
      </c>
      <c r="L34" s="29">
        <v>265</v>
      </c>
      <c r="M34" s="29">
        <v>401.93257152000001</v>
      </c>
      <c r="N34" s="29">
        <v>2265.0780686539956</v>
      </c>
      <c r="O34" s="31">
        <v>0.82</v>
      </c>
      <c r="P34" s="31">
        <v>5.4655267680454402</v>
      </c>
      <c r="Q34" s="310">
        <f t="shared" si="1"/>
        <v>5.4655267680454402</v>
      </c>
      <c r="R34" s="311">
        <f t="shared" si="18"/>
        <v>0</v>
      </c>
      <c r="S34" s="311">
        <f t="shared" si="2"/>
        <v>0</v>
      </c>
      <c r="T34" s="310">
        <f t="shared" si="3"/>
        <v>5.4655267680454402</v>
      </c>
      <c r="U34" s="316">
        <f t="shared" si="45"/>
        <v>0</v>
      </c>
      <c r="V34" s="32">
        <v>7.6965472868210261E-2</v>
      </c>
      <c r="W34" s="33">
        <v>0.11245072025728335</v>
      </c>
      <c r="X34" s="48" t="s">
        <v>40</v>
      </c>
      <c r="Y34" s="48" t="s">
        <v>517</v>
      </c>
      <c r="Z34" s="246" t="s">
        <v>40</v>
      </c>
      <c r="AA34" s="246"/>
      <c r="AB34" s="386">
        <v>0</v>
      </c>
      <c r="AC34" s="388">
        <v>0</v>
      </c>
      <c r="AD34" s="337">
        <f t="shared" si="50"/>
        <v>0</v>
      </c>
      <c r="AE34" s="337">
        <f t="shared" si="51"/>
        <v>0</v>
      </c>
      <c r="AF34" s="337">
        <f t="shared" ref="AF34:AH34" si="62">AE34*0</f>
        <v>0</v>
      </c>
      <c r="AG34" s="337">
        <f t="shared" si="62"/>
        <v>0</v>
      </c>
      <c r="AH34" s="337">
        <f t="shared" si="62"/>
        <v>0</v>
      </c>
      <c r="AI34" s="337">
        <f t="shared" si="47"/>
        <v>0</v>
      </c>
      <c r="AJ34" s="337" t="s">
        <v>40</v>
      </c>
      <c r="AK34" s="337">
        <f t="shared" si="48"/>
        <v>0</v>
      </c>
      <c r="AL34" s="337">
        <f t="shared" ref="AL34:AM34" si="63">AK34*0</f>
        <v>0</v>
      </c>
      <c r="AM34" s="337">
        <f t="shared" si="63"/>
        <v>0</v>
      </c>
      <c r="AN34" s="337">
        <f t="shared" si="14"/>
        <v>0</v>
      </c>
      <c r="AO34" s="294" t="s">
        <v>611</v>
      </c>
      <c r="AP34" s="282" t="s">
        <v>419</v>
      </c>
      <c r="AQ34" s="136" t="s">
        <v>40</v>
      </c>
      <c r="AR34" s="289"/>
      <c r="AS34" s="142"/>
      <c r="AT34" s="142" t="s">
        <v>219</v>
      </c>
      <c r="AU34" s="146"/>
      <c r="AV34" s="48"/>
      <c r="AW34" s="131" t="s">
        <v>284</v>
      </c>
      <c r="AX34" s="131"/>
      <c r="AY34" s="131"/>
      <c r="AZ34" s="48"/>
      <c r="BA34" s="48"/>
      <c r="BB34" s="50"/>
      <c r="BC34" s="51" t="s">
        <v>61</v>
      </c>
      <c r="BD34" s="52">
        <v>26.412101699646506</v>
      </c>
      <c r="BE34" s="53">
        <v>38.589509671688354</v>
      </c>
      <c r="BF34" s="54">
        <v>26.412101699646506</v>
      </c>
      <c r="BG34" s="53">
        <v>38.589509671688354</v>
      </c>
      <c r="BH34" s="450">
        <v>49129.417318096974</v>
      </c>
      <c r="BI34" s="347">
        <f t="shared" si="15"/>
        <v>0</v>
      </c>
      <c r="BJ34" s="347">
        <f t="shared" si="19"/>
        <v>49129.417318096974</v>
      </c>
      <c r="BK34" s="45">
        <v>8988.9628947268757</v>
      </c>
      <c r="BL34" s="47">
        <v>26.451151678960986</v>
      </c>
      <c r="BM34" s="45">
        <v>40140.454423370102</v>
      </c>
      <c r="BN34" s="55">
        <v>5.4655267680454411</v>
      </c>
      <c r="BO34" s="47">
        <f t="shared" si="20"/>
        <v>5.4655267680454411</v>
      </c>
      <c r="BP34" s="45">
        <v>3622.0242190656927</v>
      </c>
      <c r="BQ34" s="55">
        <v>13.564077528661581</v>
      </c>
      <c r="BR34" s="54">
        <v>26.33578675980435</v>
      </c>
      <c r="BS34" s="53">
        <v>38.478009415380747</v>
      </c>
      <c r="BT34" s="54">
        <v>52.747888459450856</v>
      </c>
      <c r="BU34" s="53">
        <v>77.067519087069101</v>
      </c>
      <c r="BV34" s="450">
        <v>54701.449735224531</v>
      </c>
      <c r="BW34" s="347">
        <f t="shared" si="16"/>
        <v>0</v>
      </c>
      <c r="BX34" s="347">
        <f t="shared" si="21"/>
        <v>54701.449735224531</v>
      </c>
      <c r="BY34" s="45">
        <v>8962.9902489164269</v>
      </c>
      <c r="BZ34" s="47">
        <v>26.374723908384787</v>
      </c>
      <c r="CA34" s="45">
        <v>45738.4594863081</v>
      </c>
      <c r="CB34" s="55">
        <v>6.1030357298266189</v>
      </c>
      <c r="CC34" s="47">
        <f t="shared" si="22"/>
        <v>6.1030357298266189</v>
      </c>
      <c r="CD34" s="45">
        <v>3611.5587679051537</v>
      </c>
      <c r="CE34" s="55">
        <v>15.146216149475404</v>
      </c>
      <c r="CF34" s="52">
        <v>29.994338392549864</v>
      </c>
      <c r="CG34" s="53">
        <v>43.82335130531046</v>
      </c>
      <c r="CH34" s="54">
        <v>82.742226852000712</v>
      </c>
      <c r="CI34" s="53">
        <v>120.89087039237955</v>
      </c>
      <c r="CJ34" s="450">
        <v>69343.798867049103</v>
      </c>
      <c r="CK34" s="347">
        <f t="shared" si="17"/>
        <v>0</v>
      </c>
      <c r="CL34" s="347">
        <f t="shared" si="23"/>
        <v>69343.798867049103</v>
      </c>
      <c r="CM34" s="45">
        <v>10208.123455246312</v>
      </c>
      <c r="CN34" s="47">
        <v>30.03868466635647</v>
      </c>
      <c r="CO34" s="45">
        <v>59135.675411802789</v>
      </c>
      <c r="CP34" s="55">
        <v>6.7930015904549919</v>
      </c>
      <c r="CQ34" s="47">
        <f t="shared" si="24"/>
        <v>6.7930015904549919</v>
      </c>
      <c r="CR34" s="45">
        <v>4113.2743364425842</v>
      </c>
      <c r="CS34" s="55">
        <v>16.85853974112068</v>
      </c>
    </row>
    <row r="35" spans="1:97" s="23" customFormat="1" ht="15" customHeight="1">
      <c r="A35" s="377" t="str">
        <f t="shared" si="0"/>
        <v>BNI - Efficient Product Rebates; Humidity-Based Door Heater Controls for Reach-In Coolers and Freezers; COM-Refrigeration; Retail</v>
      </c>
      <c r="B35" s="42" t="s">
        <v>61</v>
      </c>
      <c r="C35" s="15" t="s">
        <v>46</v>
      </c>
      <c r="D35" s="15" t="s">
        <v>30</v>
      </c>
      <c r="E35" s="43">
        <v>10</v>
      </c>
      <c r="F35" s="44">
        <v>1779.1428599999997</v>
      </c>
      <c r="G35" s="28">
        <v>1236.4543298054157</v>
      </c>
      <c r="H35" s="29">
        <v>345</v>
      </c>
      <c r="I35" s="30">
        <v>0.2318840579710145</v>
      </c>
      <c r="J35" s="29">
        <v>56.932571519999989</v>
      </c>
      <c r="K35" s="29">
        <v>136.93257151999998</v>
      </c>
      <c r="L35" s="29">
        <v>265</v>
      </c>
      <c r="M35" s="29">
        <v>401.93257152000001</v>
      </c>
      <c r="N35" s="29">
        <v>2286.0262701846386</v>
      </c>
      <c r="O35" s="31">
        <v>0.82</v>
      </c>
      <c r="P35" s="31">
        <v>5.5160737923588998</v>
      </c>
      <c r="Q35" s="310">
        <f t="shared" si="1"/>
        <v>5.5160737923588998</v>
      </c>
      <c r="R35" s="311">
        <f t="shared" si="18"/>
        <v>0</v>
      </c>
      <c r="S35" s="311">
        <f t="shared" si="2"/>
        <v>0</v>
      </c>
      <c r="T35" s="310">
        <f t="shared" si="3"/>
        <v>5.5160737923588998</v>
      </c>
      <c r="U35" s="316">
        <f t="shared" si="45"/>
        <v>0</v>
      </c>
      <c r="V35" s="32">
        <v>7.6965472868210261E-2</v>
      </c>
      <c r="W35" s="33">
        <v>0.11074616200466494</v>
      </c>
      <c r="X35" s="48" t="s">
        <v>40</v>
      </c>
      <c r="Y35" s="48" t="s">
        <v>518</v>
      </c>
      <c r="Z35" s="246" t="s">
        <v>40</v>
      </c>
      <c r="AA35" s="246"/>
      <c r="AB35" s="386">
        <v>0</v>
      </c>
      <c r="AC35" s="388">
        <v>0</v>
      </c>
      <c r="AD35" s="337">
        <f t="shared" si="50"/>
        <v>0</v>
      </c>
      <c r="AE35" s="337">
        <f t="shared" si="51"/>
        <v>0</v>
      </c>
      <c r="AF35" s="337">
        <f t="shared" ref="AF35:AH35" si="64">AE35*0</f>
        <v>0</v>
      </c>
      <c r="AG35" s="337">
        <f t="shared" si="64"/>
        <v>0</v>
      </c>
      <c r="AH35" s="337">
        <f t="shared" si="64"/>
        <v>0</v>
      </c>
      <c r="AI35" s="337">
        <f t="shared" si="47"/>
        <v>0</v>
      </c>
      <c r="AJ35" s="337" t="s">
        <v>40</v>
      </c>
      <c r="AK35" s="337">
        <f t="shared" si="48"/>
        <v>0</v>
      </c>
      <c r="AL35" s="337">
        <f t="shared" ref="AL35:AM35" si="65">AK35*0</f>
        <v>0</v>
      </c>
      <c r="AM35" s="337">
        <f t="shared" si="65"/>
        <v>0</v>
      </c>
      <c r="AN35" s="337">
        <f t="shared" si="14"/>
        <v>0</v>
      </c>
      <c r="AO35" s="294" t="s">
        <v>611</v>
      </c>
      <c r="AP35" s="282" t="s">
        <v>419</v>
      </c>
      <c r="AQ35" s="136" t="s">
        <v>40</v>
      </c>
      <c r="AR35" s="289"/>
      <c r="AS35" s="142"/>
      <c r="AT35" s="142" t="s">
        <v>219</v>
      </c>
      <c r="AU35" s="146"/>
      <c r="AV35" s="48"/>
      <c r="AW35" s="131" t="s">
        <v>284</v>
      </c>
      <c r="AX35" s="131"/>
      <c r="AY35" s="131"/>
      <c r="AZ35" s="48"/>
      <c r="BA35" s="48"/>
      <c r="BB35" s="50"/>
      <c r="BC35" s="51" t="s">
        <v>61</v>
      </c>
      <c r="BD35" s="52">
        <v>38.370540947692902</v>
      </c>
      <c r="BE35" s="53">
        <v>55.211642125244346</v>
      </c>
      <c r="BF35" s="54">
        <v>38.370540947692902</v>
      </c>
      <c r="BG35" s="53">
        <v>55.211642125244346</v>
      </c>
      <c r="BH35" s="450">
        <v>70941.613040754601</v>
      </c>
      <c r="BI35" s="347">
        <f t="shared" si="15"/>
        <v>0</v>
      </c>
      <c r="BJ35" s="347">
        <f t="shared" si="19"/>
        <v>70941.613040754601</v>
      </c>
      <c r="BK35" s="45">
        <v>12860.889051017761</v>
      </c>
      <c r="BL35" s="47">
        <v>37.844780426707466</v>
      </c>
      <c r="BM35" s="45">
        <v>58080.723989736842</v>
      </c>
      <c r="BN35" s="55">
        <v>5.5160737923589007</v>
      </c>
      <c r="BO35" s="47">
        <f t="shared" si="20"/>
        <v>5.5160737923589007</v>
      </c>
      <c r="BP35" s="45">
        <v>5182.1831024388157</v>
      </c>
      <c r="BQ35" s="55">
        <v>13.689522666107337</v>
      </c>
      <c r="BR35" s="54">
        <v>38.259673378067681</v>
      </c>
      <c r="BS35" s="53">
        <v>55.052113996991274</v>
      </c>
      <c r="BT35" s="54">
        <v>76.630214325760591</v>
      </c>
      <c r="BU35" s="53">
        <v>110.26375612223562</v>
      </c>
      <c r="BV35" s="450">
        <v>79020.817197004275</v>
      </c>
      <c r="BW35" s="347">
        <f t="shared" si="16"/>
        <v>0</v>
      </c>
      <c r="BX35" s="347">
        <f t="shared" si="21"/>
        <v>79020.817197004275</v>
      </c>
      <c r="BY35" s="45">
        <v>12823.728889156873</v>
      </c>
      <c r="BZ35" s="47">
        <v>37.735431985812951</v>
      </c>
      <c r="CA35" s="45">
        <v>66197.0883078474</v>
      </c>
      <c r="CB35" s="55">
        <v>6.1620779634401401</v>
      </c>
      <c r="CC35" s="47">
        <f t="shared" si="22"/>
        <v>6.1620779634401401</v>
      </c>
      <c r="CD35" s="45">
        <v>5167.2097392354281</v>
      </c>
      <c r="CE35" s="55">
        <v>15.29274428266128</v>
      </c>
      <c r="CF35" s="52">
        <v>43.574684157213277</v>
      </c>
      <c r="CG35" s="53">
        <v>62.699920511630651</v>
      </c>
      <c r="CH35" s="54">
        <v>120.20489848297386</v>
      </c>
      <c r="CI35" s="53">
        <v>172.96367663386627</v>
      </c>
      <c r="CJ35" s="450">
        <v>100206.57075179729</v>
      </c>
      <c r="CK35" s="347">
        <f t="shared" si="17"/>
        <v>0</v>
      </c>
      <c r="CL35" s="347">
        <f t="shared" si="23"/>
        <v>100206.57075179729</v>
      </c>
      <c r="CM35" s="45">
        <v>14605.193581790169</v>
      </c>
      <c r="CN35" s="47">
        <v>42.97761546653458</v>
      </c>
      <c r="CO35" s="45">
        <v>85601.377170007123</v>
      </c>
      <c r="CP35" s="55">
        <v>6.8610231141842153</v>
      </c>
      <c r="CQ35" s="47">
        <f t="shared" si="24"/>
        <v>6.8610231141842153</v>
      </c>
      <c r="CR35" s="45">
        <v>5885.0354036303042</v>
      </c>
      <c r="CS35" s="55">
        <v>17.027352238184129</v>
      </c>
    </row>
    <row r="36" spans="1:97" s="23" customFormat="1" ht="15" customHeight="1">
      <c r="A36" s="377" t="str">
        <f t="shared" si="0"/>
        <v>BNI - Efficient Product Rebates; Humidity-Based Door Heater Controls for Reach-In Coolers and Freezers; COM-Refrigeration; School</v>
      </c>
      <c r="B36" s="42" t="s">
        <v>61</v>
      </c>
      <c r="C36" s="15" t="s">
        <v>46</v>
      </c>
      <c r="D36" s="15" t="s">
        <v>59</v>
      </c>
      <c r="E36" s="43">
        <v>10</v>
      </c>
      <c r="F36" s="44">
        <v>1779.1428599999997</v>
      </c>
      <c r="G36" s="28">
        <v>1177.710578117792</v>
      </c>
      <c r="H36" s="29">
        <v>345</v>
      </c>
      <c r="I36" s="30">
        <v>0.2318840579710145</v>
      </c>
      <c r="J36" s="29">
        <v>56.932571519999989</v>
      </c>
      <c r="K36" s="29">
        <v>136.93257151999998</v>
      </c>
      <c r="L36" s="29">
        <v>265</v>
      </c>
      <c r="M36" s="29">
        <v>401.93257152000001</v>
      </c>
      <c r="N36" s="29">
        <v>2220.3693152650885</v>
      </c>
      <c r="O36" s="31">
        <v>0.82</v>
      </c>
      <c r="P36" s="31">
        <v>5.357646650448336</v>
      </c>
      <c r="Q36" s="310">
        <f t="shared" si="1"/>
        <v>5.357646650448336</v>
      </c>
      <c r="R36" s="311">
        <f t="shared" si="18"/>
        <v>0</v>
      </c>
      <c r="S36" s="311">
        <f t="shared" si="2"/>
        <v>0</v>
      </c>
      <c r="T36" s="310">
        <f t="shared" si="3"/>
        <v>5.357646650448336</v>
      </c>
      <c r="U36" s="316">
        <f t="shared" si="45"/>
        <v>0</v>
      </c>
      <c r="V36" s="32">
        <v>7.6965472868210261E-2</v>
      </c>
      <c r="W36" s="33">
        <v>0.11627013806638688</v>
      </c>
      <c r="X36" s="48" t="s">
        <v>40</v>
      </c>
      <c r="Y36" s="48" t="s">
        <v>519</v>
      </c>
      <c r="Z36" s="246" t="s">
        <v>40</v>
      </c>
      <c r="AA36" s="246"/>
      <c r="AB36" s="386">
        <v>0</v>
      </c>
      <c r="AC36" s="388">
        <v>0</v>
      </c>
      <c r="AD36" s="337">
        <f t="shared" si="50"/>
        <v>0</v>
      </c>
      <c r="AE36" s="337">
        <f t="shared" si="51"/>
        <v>0</v>
      </c>
      <c r="AF36" s="337">
        <f t="shared" ref="AF36:AH36" si="66">AE36*0</f>
        <v>0</v>
      </c>
      <c r="AG36" s="337">
        <f t="shared" si="66"/>
        <v>0</v>
      </c>
      <c r="AH36" s="337">
        <f t="shared" si="66"/>
        <v>0</v>
      </c>
      <c r="AI36" s="337">
        <f t="shared" si="47"/>
        <v>0</v>
      </c>
      <c r="AJ36" s="337" t="s">
        <v>40</v>
      </c>
      <c r="AK36" s="337">
        <f t="shared" si="48"/>
        <v>0</v>
      </c>
      <c r="AL36" s="337">
        <f t="shared" ref="AL36:AM36" si="67">AK36*0</f>
        <v>0</v>
      </c>
      <c r="AM36" s="337">
        <f t="shared" si="67"/>
        <v>0</v>
      </c>
      <c r="AN36" s="337">
        <f t="shared" si="14"/>
        <v>0</v>
      </c>
      <c r="AO36" s="294" t="s">
        <v>611</v>
      </c>
      <c r="AP36" s="282" t="s">
        <v>419</v>
      </c>
      <c r="AQ36" s="136" t="s">
        <v>40</v>
      </c>
      <c r="AR36" s="289"/>
      <c r="AS36" s="142"/>
      <c r="AT36" s="142" t="s">
        <v>219</v>
      </c>
      <c r="AU36" s="146"/>
      <c r="AV36" s="48"/>
      <c r="AW36" s="131" t="s">
        <v>284</v>
      </c>
      <c r="AX36" s="131"/>
      <c r="AY36" s="131"/>
      <c r="AZ36" s="48"/>
      <c r="BA36" s="48"/>
      <c r="BB36" s="50"/>
      <c r="BC36" s="51" t="s">
        <v>61</v>
      </c>
      <c r="BD36" s="52">
        <v>36.428126073833816</v>
      </c>
      <c r="BE36" s="53">
        <v>55.031211922220692</v>
      </c>
      <c r="BF36" s="54">
        <v>36.428126073833816</v>
      </c>
      <c r="BG36" s="53">
        <v>55.031211922220692</v>
      </c>
      <c r="BH36" s="450">
        <v>68678.922351378293</v>
      </c>
      <c r="BI36" s="347">
        <f t="shared" si="15"/>
        <v>0</v>
      </c>
      <c r="BJ36" s="347">
        <f t="shared" si="19"/>
        <v>68678.922351378293</v>
      </c>
      <c r="BK36" s="45">
        <v>12818.860001831428</v>
      </c>
      <c r="BL36" s="47">
        <v>37.721104673679015</v>
      </c>
      <c r="BM36" s="45">
        <v>55860.062349546861</v>
      </c>
      <c r="BN36" s="55">
        <v>5.3576466504483351</v>
      </c>
      <c r="BO36" s="47">
        <f t="shared" si="20"/>
        <v>5.3576466504483351</v>
      </c>
      <c r="BP36" s="45">
        <v>5165.2478635419575</v>
      </c>
      <c r="BQ36" s="55">
        <v>13.296345919067512</v>
      </c>
      <c r="BR36" s="54">
        <v>36.322870904006685</v>
      </c>
      <c r="BS36" s="53">
        <v>54.872205127720036</v>
      </c>
      <c r="BT36" s="54">
        <v>72.750996977840501</v>
      </c>
      <c r="BU36" s="53">
        <v>109.90341704994073</v>
      </c>
      <c r="BV36" s="450">
        <v>76397.261361293335</v>
      </c>
      <c r="BW36" s="347">
        <f t="shared" si="16"/>
        <v>0</v>
      </c>
      <c r="BX36" s="347">
        <f t="shared" si="21"/>
        <v>76397.261361293335</v>
      </c>
      <c r="BY36" s="45">
        <v>12781.821278407991</v>
      </c>
      <c r="BZ36" s="47">
        <v>37.612113580630542</v>
      </c>
      <c r="CA36" s="45">
        <v>63615.44008288534</v>
      </c>
      <c r="CB36" s="55">
        <v>5.9770246897716603</v>
      </c>
      <c r="CC36" s="47">
        <f t="shared" si="22"/>
        <v>5.9770246897716603</v>
      </c>
      <c r="CD36" s="45">
        <v>5150.3234328980543</v>
      </c>
      <c r="CE36" s="55">
        <v>14.833488101601628</v>
      </c>
      <c r="CF36" s="52">
        <v>41.368822250130258</v>
      </c>
      <c r="CG36" s="53">
        <v>62.495018810612201</v>
      </c>
      <c r="CH36" s="54">
        <v>114.11981922797075</v>
      </c>
      <c r="CI36" s="53">
        <v>172.39843586055292</v>
      </c>
      <c r="CJ36" s="450">
        <v>96775.495889926242</v>
      </c>
      <c r="CK36" s="347">
        <f t="shared" si="17"/>
        <v>0</v>
      </c>
      <c r="CL36" s="347">
        <f t="shared" si="23"/>
        <v>96775.495889926242</v>
      </c>
      <c r="CM36" s="45">
        <v>14557.464190999995</v>
      </c>
      <c r="CN36" s="47">
        <v>42.837165742787704</v>
      </c>
      <c r="CO36" s="45">
        <v>82218.03169892625</v>
      </c>
      <c r="CP36" s="55">
        <v>6.6478264772072535</v>
      </c>
      <c r="CQ36" s="47">
        <f t="shared" si="24"/>
        <v>6.6478264772072535</v>
      </c>
      <c r="CR36" s="45">
        <v>5865.8032617883709</v>
      </c>
      <c r="CS36" s="55">
        <v>16.498251231907368</v>
      </c>
    </row>
    <row r="37" spans="1:97" s="23" customFormat="1" ht="15" customHeight="1">
      <c r="A37" s="377" t="str">
        <f t="shared" ref="A37:A68" si="68">CONCATENATE($B$4,"; ",B37,"; ",C37,"; ",D37)</f>
        <v>BNI - Efficient Product Rebates; Evaporator Fan Motor Controls for Walk-In Freezers and Coolers; COM-Refrigeration; Other Commercial</v>
      </c>
      <c r="B37" s="42" t="s">
        <v>62</v>
      </c>
      <c r="C37" s="15" t="s">
        <v>46</v>
      </c>
      <c r="D37" s="15" t="s">
        <v>56</v>
      </c>
      <c r="E37" s="43">
        <v>15</v>
      </c>
      <c r="F37" s="44">
        <v>2719.5889536000013</v>
      </c>
      <c r="G37" s="44">
        <v>1861.3882538242619</v>
      </c>
      <c r="H37" s="45">
        <v>2254</v>
      </c>
      <c r="I37" s="46">
        <v>0.22182786157941436</v>
      </c>
      <c r="J37" s="45">
        <v>87.026846515200049</v>
      </c>
      <c r="K37" s="45">
        <v>587.02684651520008</v>
      </c>
      <c r="L37" s="45">
        <v>1754</v>
      </c>
      <c r="M37" s="45">
        <v>2341.0268465152003</v>
      </c>
      <c r="N37" s="45">
        <v>4901.103501777734</v>
      </c>
      <c r="O37" s="47">
        <v>0.82</v>
      </c>
      <c r="P37" s="47">
        <v>2.07662411709769</v>
      </c>
      <c r="Q37" s="310">
        <f t="shared" ref="Q37:Q68" si="69">N37*O37/(O37*H37+J37)</f>
        <v>2.07662411709769</v>
      </c>
      <c r="R37" s="311">
        <f t="shared" si="18"/>
        <v>0</v>
      </c>
      <c r="S37" s="311">
        <f t="shared" ref="S37:S68" si="70">-PV(RDR,E37,AC37)</f>
        <v>0</v>
      </c>
      <c r="T37" s="310">
        <f t="shared" ref="T37:T68" si="71">(N37+SUM(R37:S37))*O37/(O37*H37+J37)</f>
        <v>2.07662411709769</v>
      </c>
      <c r="U37" s="316">
        <f t="shared" si="45"/>
        <v>0</v>
      </c>
      <c r="V37" s="48">
        <v>0.21585131302218855</v>
      </c>
      <c r="W37" s="49">
        <v>0.31537044746529419</v>
      </c>
      <c r="X37" s="48" t="s">
        <v>40</v>
      </c>
      <c r="Y37" s="48" t="s">
        <v>520</v>
      </c>
      <c r="Z37" s="246" t="s">
        <v>40</v>
      </c>
      <c r="AA37" s="246"/>
      <c r="AB37" s="386">
        <v>0</v>
      </c>
      <c r="AC37" s="388">
        <v>0</v>
      </c>
      <c r="AD37" s="337">
        <f t="shared" si="50"/>
        <v>0</v>
      </c>
      <c r="AE37" s="337">
        <f t="shared" si="51"/>
        <v>0</v>
      </c>
      <c r="AF37" s="337">
        <f t="shared" ref="AF37:AH37" si="72">AE37*0</f>
        <v>0</v>
      </c>
      <c r="AG37" s="337">
        <f t="shared" si="72"/>
        <v>0</v>
      </c>
      <c r="AH37" s="337">
        <f t="shared" si="72"/>
        <v>0</v>
      </c>
      <c r="AI37" s="337">
        <f t="shared" si="47"/>
        <v>0</v>
      </c>
      <c r="AJ37" s="337" t="s">
        <v>40</v>
      </c>
      <c r="AK37" s="337">
        <f t="shared" si="48"/>
        <v>0</v>
      </c>
      <c r="AL37" s="337">
        <f t="shared" ref="AL37:AM37" si="73">AK37*0</f>
        <v>0</v>
      </c>
      <c r="AM37" s="337">
        <f t="shared" si="73"/>
        <v>0</v>
      </c>
      <c r="AN37" s="337">
        <f t="shared" ref="AN37:AN68" si="74">SUM(AD37:AM37)</f>
        <v>0</v>
      </c>
      <c r="AO37" s="294" t="s">
        <v>612</v>
      </c>
      <c r="AP37" s="282" t="s">
        <v>419</v>
      </c>
      <c r="AQ37" s="136" t="s">
        <v>40</v>
      </c>
      <c r="AR37" s="289"/>
      <c r="AS37" s="142"/>
      <c r="AT37" s="142" t="s">
        <v>219</v>
      </c>
      <c r="AU37" s="146"/>
      <c r="AV37" s="48"/>
      <c r="AW37" s="131" t="s">
        <v>284</v>
      </c>
      <c r="AX37" s="131"/>
      <c r="AY37" s="131"/>
      <c r="AZ37" s="48"/>
      <c r="BA37" s="48"/>
      <c r="BB37" s="50"/>
      <c r="BC37" s="51" t="s">
        <v>62</v>
      </c>
      <c r="BD37" s="52">
        <v>9.3327148598430956</v>
      </c>
      <c r="BE37" s="53">
        <v>13.635601378584912</v>
      </c>
      <c r="BF37" s="54">
        <v>9.3327148598430956</v>
      </c>
      <c r="BG37" s="53">
        <v>13.635601378584912</v>
      </c>
      <c r="BH37" s="450">
        <v>24573.38031799387</v>
      </c>
      <c r="BI37" s="347">
        <f t="shared" ref="BI37:BI68" si="75">SUM(R37:S37)*O37*BL37</f>
        <v>0</v>
      </c>
      <c r="BJ37" s="347">
        <f t="shared" si="19"/>
        <v>24573.38031799387</v>
      </c>
      <c r="BK37" s="45">
        <v>11833.330892996593</v>
      </c>
      <c r="BL37" s="47">
        <v>6.1144468714634153</v>
      </c>
      <c r="BM37" s="45">
        <v>12740.049424997276</v>
      </c>
      <c r="BN37" s="55">
        <v>2.07662411709769</v>
      </c>
      <c r="BO37" s="47">
        <f t="shared" si="20"/>
        <v>2.07662411709769</v>
      </c>
      <c r="BP37" s="45">
        <v>3589.3444651398991</v>
      </c>
      <c r="BQ37" s="55">
        <v>6.8462028530984398</v>
      </c>
      <c r="BR37" s="54">
        <v>9.8191399603516754</v>
      </c>
      <c r="BS37" s="53">
        <v>14.346294769595103</v>
      </c>
      <c r="BT37" s="54">
        <v>19.151854820194771</v>
      </c>
      <c r="BU37" s="53">
        <v>27.981896148180013</v>
      </c>
      <c r="BV37" s="450">
        <v>28083.765013525932</v>
      </c>
      <c r="BW37" s="347">
        <f t="shared" ref="BW37:BW68" si="76">SUM(R37:S37)*O37*BZ37</f>
        <v>0</v>
      </c>
      <c r="BX37" s="347">
        <f t="shared" si="21"/>
        <v>28083.765013525932</v>
      </c>
      <c r="BY37" s="45">
        <v>12450.089173456254</v>
      </c>
      <c r="BZ37" s="47">
        <v>6.4331344643741843</v>
      </c>
      <c r="CA37" s="45">
        <v>15633.675840069678</v>
      </c>
      <c r="CB37" s="55">
        <v>2.2557079409038185</v>
      </c>
      <c r="CC37" s="47">
        <f t="shared" si="22"/>
        <v>2.2557079409038185</v>
      </c>
      <c r="CD37" s="45">
        <v>3776.4226378298281</v>
      </c>
      <c r="CE37" s="55">
        <v>7.4366054085685294</v>
      </c>
      <c r="CF37" s="52">
        <v>11.963405880982034</v>
      </c>
      <c r="CG37" s="53">
        <v>17.479183300156244</v>
      </c>
      <c r="CH37" s="54">
        <v>31.115260701176805</v>
      </c>
      <c r="CI37" s="53">
        <v>45.461079448336257</v>
      </c>
      <c r="CJ37" s="450">
        <v>37182.792253210246</v>
      </c>
      <c r="CK37" s="347">
        <f t="shared" ref="CK37:CK68" si="77">SUM(R37:S37)*O37*CN37</f>
        <v>0</v>
      </c>
      <c r="CL37" s="347">
        <f t="shared" si="23"/>
        <v>37182.792253210246</v>
      </c>
      <c r="CM37" s="45">
        <v>15168.891637953879</v>
      </c>
      <c r="CN37" s="47">
        <v>7.8379775616810647</v>
      </c>
      <c r="CO37" s="45">
        <v>22013.900615256367</v>
      </c>
      <c r="CP37" s="55">
        <v>2.4512530737694562</v>
      </c>
      <c r="CQ37" s="47">
        <f t="shared" si="24"/>
        <v>2.4512530737694562</v>
      </c>
      <c r="CR37" s="45">
        <v>4601.1032510905325</v>
      </c>
      <c r="CS37" s="55">
        <v>8.0812775162994548</v>
      </c>
    </row>
    <row r="38" spans="1:97" s="23" customFormat="1" ht="15" customHeight="1">
      <c r="A38" s="377" t="str">
        <f t="shared" si="68"/>
        <v>BNI - Efficient Product Rebates; Evaporator Fan Motor Controls for Walk-In Freezers and Coolers; COM-Refrigeration; Retail</v>
      </c>
      <c r="B38" s="42" t="s">
        <v>62</v>
      </c>
      <c r="C38" s="15" t="s">
        <v>46</v>
      </c>
      <c r="D38" s="15" t="s">
        <v>30</v>
      </c>
      <c r="E38" s="43">
        <v>15</v>
      </c>
      <c r="F38" s="44">
        <v>2709.4815488000013</v>
      </c>
      <c r="G38" s="44">
        <v>1883.0135948395091</v>
      </c>
      <c r="H38" s="45">
        <v>2254</v>
      </c>
      <c r="I38" s="46">
        <v>0.22182786157941436</v>
      </c>
      <c r="J38" s="45">
        <v>86.70340956160004</v>
      </c>
      <c r="K38" s="45">
        <v>586.70340956159998</v>
      </c>
      <c r="L38" s="45">
        <v>1754</v>
      </c>
      <c r="M38" s="45">
        <v>2340.7034095616</v>
      </c>
      <c r="N38" s="45">
        <v>4927.5994105960199</v>
      </c>
      <c r="O38" s="47">
        <v>0.82</v>
      </c>
      <c r="P38" s="47">
        <v>2.0881995663230017</v>
      </c>
      <c r="Q38" s="310">
        <f t="shared" si="69"/>
        <v>2.0881995663230017</v>
      </c>
      <c r="R38" s="311">
        <f t="shared" si="18"/>
        <v>0</v>
      </c>
      <c r="S38" s="311">
        <f t="shared" si="70"/>
        <v>0</v>
      </c>
      <c r="T38" s="310">
        <f t="shared" si="71"/>
        <v>2.0881995663230017</v>
      </c>
      <c r="U38" s="316">
        <f t="shared" si="45"/>
        <v>0</v>
      </c>
      <c r="V38" s="48">
        <v>0.21653714889530962</v>
      </c>
      <c r="W38" s="49">
        <v>0.31157683150535365</v>
      </c>
      <c r="X38" s="48" t="s">
        <v>40</v>
      </c>
      <c r="Y38" s="48" t="s">
        <v>520</v>
      </c>
      <c r="Z38" s="246" t="s">
        <v>40</v>
      </c>
      <c r="AA38" s="246"/>
      <c r="AB38" s="386">
        <v>0</v>
      </c>
      <c r="AC38" s="388">
        <v>0</v>
      </c>
      <c r="AD38" s="337">
        <f t="shared" si="50"/>
        <v>0</v>
      </c>
      <c r="AE38" s="337">
        <f t="shared" si="51"/>
        <v>0</v>
      </c>
      <c r="AF38" s="337">
        <f t="shared" ref="AF38:AH38" si="78">AE38*0</f>
        <v>0</v>
      </c>
      <c r="AG38" s="337">
        <f t="shared" si="78"/>
        <v>0</v>
      </c>
      <c r="AH38" s="337">
        <f t="shared" si="78"/>
        <v>0</v>
      </c>
      <c r="AI38" s="337">
        <f t="shared" si="47"/>
        <v>0</v>
      </c>
      <c r="AJ38" s="337" t="s">
        <v>40</v>
      </c>
      <c r="AK38" s="337">
        <f t="shared" si="48"/>
        <v>0</v>
      </c>
      <c r="AL38" s="337">
        <f t="shared" ref="AL38:AM38" si="79">AK38*0</f>
        <v>0</v>
      </c>
      <c r="AM38" s="337">
        <f t="shared" si="79"/>
        <v>0</v>
      </c>
      <c r="AN38" s="337">
        <f t="shared" si="74"/>
        <v>0</v>
      </c>
      <c r="AO38" s="294" t="s">
        <v>612</v>
      </c>
      <c r="AP38" s="282" t="s">
        <v>419</v>
      </c>
      <c r="AQ38" s="136" t="s">
        <v>40</v>
      </c>
      <c r="AR38" s="289"/>
      <c r="AS38" s="142"/>
      <c r="AT38" s="142" t="s">
        <v>219</v>
      </c>
      <c r="AU38" s="146"/>
      <c r="AV38" s="48"/>
      <c r="AW38" s="131" t="s">
        <v>284</v>
      </c>
      <c r="AX38" s="131"/>
      <c r="AY38" s="131"/>
      <c r="AZ38" s="48"/>
      <c r="BA38" s="48"/>
      <c r="BB38" s="50"/>
      <c r="BC38" s="51" t="s">
        <v>62</v>
      </c>
      <c r="BD38" s="52">
        <v>13.508036313246365</v>
      </c>
      <c r="BE38" s="53">
        <v>19.436808768436347</v>
      </c>
      <c r="BF38" s="54">
        <v>13.508036313246365</v>
      </c>
      <c r="BG38" s="53">
        <v>19.436808768436347</v>
      </c>
      <c r="BH38" s="450">
        <v>35348.757947302845</v>
      </c>
      <c r="BI38" s="347">
        <f t="shared" si="75"/>
        <v>0</v>
      </c>
      <c r="BJ38" s="347">
        <f t="shared" si="19"/>
        <v>35348.757947302845</v>
      </c>
      <c r="BK38" s="45">
        <v>16927.86384854326</v>
      </c>
      <c r="BL38" s="47">
        <v>8.7483250579282874</v>
      </c>
      <c r="BM38" s="45">
        <v>18420.894098759585</v>
      </c>
      <c r="BN38" s="55">
        <v>2.0881995663230013</v>
      </c>
      <c r="BO38" s="47">
        <f t="shared" si="20"/>
        <v>2.0881995663230013</v>
      </c>
      <c r="BP38" s="45">
        <v>5132.6721394397082</v>
      </c>
      <c r="BQ38" s="55">
        <v>6.8870087523575156</v>
      </c>
      <c r="BR38" s="54">
        <v>14.212497162224183</v>
      </c>
      <c r="BS38" s="53">
        <v>20.450462454946276</v>
      </c>
      <c r="BT38" s="54">
        <v>27.72053347547055</v>
      </c>
      <c r="BU38" s="53">
        <v>39.887271223382626</v>
      </c>
      <c r="BV38" s="450">
        <v>40409.716570879194</v>
      </c>
      <c r="BW38" s="347">
        <f t="shared" si="76"/>
        <v>0</v>
      </c>
      <c r="BX38" s="347">
        <f t="shared" si="21"/>
        <v>40409.716570879194</v>
      </c>
      <c r="BY38" s="45">
        <v>17810.672945408933</v>
      </c>
      <c r="BZ38" s="47">
        <v>9.2045610610399038</v>
      </c>
      <c r="CA38" s="45">
        <v>22599.043625470262</v>
      </c>
      <c r="CB38" s="55">
        <v>2.2688483862871465</v>
      </c>
      <c r="CC38" s="47">
        <f t="shared" si="22"/>
        <v>2.2688483862871465</v>
      </c>
      <c r="CD38" s="45">
        <v>5400.3473580300506</v>
      </c>
      <c r="CE38" s="55">
        <v>7.4827995111818009</v>
      </c>
      <c r="CF38" s="52">
        <v>17.316971842400935</v>
      </c>
      <c r="CG38" s="53">
        <v>24.917512978483582</v>
      </c>
      <c r="CH38" s="54">
        <v>45.037505317871485</v>
      </c>
      <c r="CI38" s="53">
        <v>64.804784201866212</v>
      </c>
      <c r="CJ38" s="450">
        <v>53515.867657642259</v>
      </c>
      <c r="CK38" s="347">
        <f t="shared" si="77"/>
        <v>0</v>
      </c>
      <c r="CL38" s="347">
        <f t="shared" si="23"/>
        <v>53515.867657642259</v>
      </c>
      <c r="CM38" s="45">
        <v>21701.107016551294</v>
      </c>
      <c r="CN38" s="47">
        <v>11.215138542954232</v>
      </c>
      <c r="CO38" s="45">
        <v>31814.760641090965</v>
      </c>
      <c r="CP38" s="55">
        <v>2.4660432123036879</v>
      </c>
      <c r="CQ38" s="47">
        <f t="shared" si="24"/>
        <v>2.4660432123036879</v>
      </c>
      <c r="CR38" s="45">
        <v>6579.9600218569631</v>
      </c>
      <c r="CS38" s="55">
        <v>8.1331600009538167</v>
      </c>
    </row>
    <row r="39" spans="1:97" s="23" customFormat="1" ht="15" customHeight="1">
      <c r="A39" s="377" t="str">
        <f t="shared" si="68"/>
        <v>BNI - Efficient Product Rebates; Evaporator Fan Motor Controls for Walk-In Freezers and Coolers; COM-Refrigeration; School</v>
      </c>
      <c r="B39" s="42" t="s">
        <v>62</v>
      </c>
      <c r="C39" s="15" t="s">
        <v>46</v>
      </c>
      <c r="D39" s="15" t="s">
        <v>59</v>
      </c>
      <c r="E39" s="43">
        <v>15</v>
      </c>
      <c r="F39" s="44">
        <v>2719.5889536000013</v>
      </c>
      <c r="G39" s="44">
        <v>1800.2425498236937</v>
      </c>
      <c r="H39" s="45">
        <v>2254</v>
      </c>
      <c r="I39" s="46">
        <v>0.22182786157941436</v>
      </c>
      <c r="J39" s="45">
        <v>87.026846515200049</v>
      </c>
      <c r="K39" s="45">
        <v>587.02684651520008</v>
      </c>
      <c r="L39" s="45">
        <v>1754</v>
      </c>
      <c r="M39" s="45">
        <v>2341.0268465152003</v>
      </c>
      <c r="N39" s="45">
        <v>4805.3230614194435</v>
      </c>
      <c r="O39" s="47">
        <v>0.82</v>
      </c>
      <c r="P39" s="47">
        <v>2.0360414253993575</v>
      </c>
      <c r="Q39" s="310">
        <f t="shared" si="69"/>
        <v>2.0360414253993575</v>
      </c>
      <c r="R39" s="311">
        <f t="shared" si="18"/>
        <v>0</v>
      </c>
      <c r="S39" s="311">
        <f t="shared" si="70"/>
        <v>0</v>
      </c>
      <c r="T39" s="310">
        <f t="shared" si="71"/>
        <v>2.0360414253993575</v>
      </c>
      <c r="U39" s="316">
        <f t="shared" si="45"/>
        <v>0</v>
      </c>
      <c r="V39" s="48">
        <v>0.21585131302218855</v>
      </c>
      <c r="W39" s="49">
        <v>0.32608208631258628</v>
      </c>
      <c r="X39" s="48" t="s">
        <v>40</v>
      </c>
      <c r="Y39" s="48" t="s">
        <v>521</v>
      </c>
      <c r="Z39" s="246" t="s">
        <v>40</v>
      </c>
      <c r="AA39" s="246"/>
      <c r="AB39" s="386">
        <v>0</v>
      </c>
      <c r="AC39" s="388">
        <v>0</v>
      </c>
      <c r="AD39" s="337">
        <f t="shared" si="50"/>
        <v>0</v>
      </c>
      <c r="AE39" s="337">
        <f t="shared" si="51"/>
        <v>0</v>
      </c>
      <c r="AF39" s="337">
        <f t="shared" ref="AF39:AH39" si="80">AE39*0</f>
        <v>0</v>
      </c>
      <c r="AG39" s="337">
        <f t="shared" si="80"/>
        <v>0</v>
      </c>
      <c r="AH39" s="337">
        <f t="shared" si="80"/>
        <v>0</v>
      </c>
      <c r="AI39" s="337">
        <f t="shared" si="47"/>
        <v>0</v>
      </c>
      <c r="AJ39" s="337" t="s">
        <v>40</v>
      </c>
      <c r="AK39" s="337">
        <f t="shared" si="48"/>
        <v>0</v>
      </c>
      <c r="AL39" s="337">
        <f t="shared" ref="AL39:AM39" si="81">AK39*0</f>
        <v>0</v>
      </c>
      <c r="AM39" s="337">
        <f t="shared" si="81"/>
        <v>0</v>
      </c>
      <c r="AN39" s="337">
        <f t="shared" si="74"/>
        <v>0</v>
      </c>
      <c r="AO39" s="294" t="s">
        <v>612</v>
      </c>
      <c r="AP39" s="282" t="s">
        <v>419</v>
      </c>
      <c r="AQ39" s="136" t="s">
        <v>40</v>
      </c>
      <c r="AR39" s="289"/>
      <c r="AS39" s="142"/>
      <c r="AT39" s="142" t="s">
        <v>219</v>
      </c>
      <c r="AU39" s="146"/>
      <c r="AV39" s="48"/>
      <c r="AW39" s="131" t="s">
        <v>284</v>
      </c>
      <c r="AX39" s="131"/>
      <c r="AY39" s="131"/>
      <c r="AZ39" s="48"/>
      <c r="BA39" s="48"/>
      <c r="BB39" s="50"/>
      <c r="BC39" s="51" t="s">
        <v>62</v>
      </c>
      <c r="BD39" s="52">
        <v>12.871876588679674</v>
      </c>
      <c r="BE39" s="53">
        <v>19.445276074662292</v>
      </c>
      <c r="BF39" s="54">
        <v>12.871876588679674</v>
      </c>
      <c r="BG39" s="53">
        <v>19.445276074662292</v>
      </c>
      <c r="BH39" s="450">
        <v>34358.439878773599</v>
      </c>
      <c r="BI39" s="347">
        <f t="shared" si="75"/>
        <v>0</v>
      </c>
      <c r="BJ39" s="347">
        <f t="shared" si="19"/>
        <v>34358.439878773599</v>
      </c>
      <c r="BK39" s="45">
        <v>16875.118281070532</v>
      </c>
      <c r="BL39" s="47">
        <v>8.7196086302575857</v>
      </c>
      <c r="BM39" s="45">
        <v>17483.321597703067</v>
      </c>
      <c r="BN39" s="55">
        <v>2.0360414253993575</v>
      </c>
      <c r="BO39" s="47">
        <f t="shared" si="20"/>
        <v>2.0360414253993575</v>
      </c>
      <c r="BP39" s="45">
        <v>5118.6443570668334</v>
      </c>
      <c r="BQ39" s="55">
        <v>6.7124100605540438</v>
      </c>
      <c r="BR39" s="54">
        <v>13.542764316142911</v>
      </c>
      <c r="BS39" s="53">
        <v>20.458772202111071</v>
      </c>
      <c r="BT39" s="54">
        <v>26.414640904822587</v>
      </c>
      <c r="BU39" s="53">
        <v>39.904048276773366</v>
      </c>
      <c r="BV39" s="450">
        <v>39245.09867994699</v>
      </c>
      <c r="BW39" s="347">
        <f t="shared" si="76"/>
        <v>0</v>
      </c>
      <c r="BX39" s="347">
        <f t="shared" si="21"/>
        <v>39245.09867994699</v>
      </c>
      <c r="BY39" s="45">
        <v>17754.656682193603</v>
      </c>
      <c r="BZ39" s="47">
        <v>9.1740783711706637</v>
      </c>
      <c r="CA39" s="45">
        <v>21490.441997753387</v>
      </c>
      <c r="CB39" s="55">
        <v>2.2104115772233692</v>
      </c>
      <c r="CC39" s="47">
        <f t="shared" si="22"/>
        <v>2.2104115772233692</v>
      </c>
      <c r="CD39" s="45">
        <v>5385.4302959116176</v>
      </c>
      <c r="CE39" s="55">
        <v>7.2872726084190802</v>
      </c>
      <c r="CF39" s="52">
        <v>16.500180964799593</v>
      </c>
      <c r="CG39" s="53">
        <v>24.926479983858108</v>
      </c>
      <c r="CH39" s="54">
        <v>42.914821869622173</v>
      </c>
      <c r="CI39" s="53">
        <v>64.830528260631468</v>
      </c>
      <c r="CJ39" s="450">
        <v>51936.697810254977</v>
      </c>
      <c r="CK39" s="347">
        <f t="shared" si="77"/>
        <v>0</v>
      </c>
      <c r="CL39" s="347">
        <f t="shared" si="23"/>
        <v>51936.697810254977</v>
      </c>
      <c r="CM39" s="45">
        <v>21631.850144130596</v>
      </c>
      <c r="CN39" s="47">
        <v>11.17747822939906</v>
      </c>
      <c r="CO39" s="45">
        <v>30304.84766612438</v>
      </c>
      <c r="CP39" s="55">
        <v>2.4009364647132156</v>
      </c>
      <c r="CQ39" s="47">
        <f t="shared" si="24"/>
        <v>2.4009364647132156</v>
      </c>
      <c r="CR39" s="45">
        <v>6561.479796996432</v>
      </c>
      <c r="CS39" s="55">
        <v>7.9153939990837738</v>
      </c>
    </row>
    <row r="40" spans="1:97" s="23" customFormat="1" ht="15" customHeight="1">
      <c r="A40" s="377" t="str">
        <f t="shared" si="68"/>
        <v>BNI - Efficient Product Rebates; Intelligent (Electronic) Defrost Control For Freezer Display Cases; COM-Refrigeration; Other Commercial</v>
      </c>
      <c r="B40" s="42" t="s">
        <v>63</v>
      </c>
      <c r="C40" s="15" t="s">
        <v>46</v>
      </c>
      <c r="D40" s="15" t="s">
        <v>56</v>
      </c>
      <c r="E40" s="43">
        <v>10</v>
      </c>
      <c r="F40" s="44">
        <v>242.52460350264144</v>
      </c>
      <c r="G40" s="28">
        <v>165.99289669331412</v>
      </c>
      <c r="H40" s="29">
        <v>91</v>
      </c>
      <c r="I40" s="30">
        <v>0.5494505494505495</v>
      </c>
      <c r="J40" s="29">
        <v>7.7607873120845259</v>
      </c>
      <c r="K40" s="29">
        <v>57.760787312084531</v>
      </c>
      <c r="L40" s="29">
        <v>40.999999999999993</v>
      </c>
      <c r="M40" s="29">
        <v>98.760787312084517</v>
      </c>
      <c r="N40" s="29">
        <v>308.76506482612609</v>
      </c>
      <c r="O40" s="31">
        <v>0.82</v>
      </c>
      <c r="P40" s="31">
        <v>3.0733786531836542</v>
      </c>
      <c r="Q40" s="310">
        <f t="shared" si="69"/>
        <v>3.0733786531836542</v>
      </c>
      <c r="R40" s="311">
        <f t="shared" si="18"/>
        <v>0</v>
      </c>
      <c r="S40" s="311">
        <f t="shared" si="70"/>
        <v>0</v>
      </c>
      <c r="T40" s="310">
        <f t="shared" si="71"/>
        <v>3.0733786531836542</v>
      </c>
      <c r="U40" s="316">
        <f t="shared" si="45"/>
        <v>0</v>
      </c>
      <c r="V40" s="32">
        <v>0.23816465001026352</v>
      </c>
      <c r="W40" s="33">
        <v>0.34797144012013032</v>
      </c>
      <c r="X40" s="48" t="s">
        <v>40</v>
      </c>
      <c r="Y40" s="48" t="s">
        <v>522</v>
      </c>
      <c r="Z40" s="246" t="s">
        <v>40</v>
      </c>
      <c r="AA40" s="246"/>
      <c r="AB40" s="386">
        <v>0</v>
      </c>
      <c r="AC40" s="388">
        <v>0</v>
      </c>
      <c r="AD40" s="337">
        <f t="shared" si="50"/>
        <v>0</v>
      </c>
      <c r="AE40" s="337">
        <f t="shared" si="51"/>
        <v>0</v>
      </c>
      <c r="AF40" s="337">
        <f t="shared" ref="AF40:AH40" si="82">AE40*0</f>
        <v>0</v>
      </c>
      <c r="AG40" s="337">
        <f t="shared" si="82"/>
        <v>0</v>
      </c>
      <c r="AH40" s="337">
        <f t="shared" si="82"/>
        <v>0</v>
      </c>
      <c r="AI40" s="337">
        <f t="shared" si="47"/>
        <v>0</v>
      </c>
      <c r="AJ40" s="337" t="s">
        <v>40</v>
      </c>
      <c r="AK40" s="337">
        <f t="shared" si="48"/>
        <v>0</v>
      </c>
      <c r="AL40" s="337">
        <f t="shared" ref="AL40:AM40" si="83">AK40*0</f>
        <v>0</v>
      </c>
      <c r="AM40" s="337">
        <f t="shared" si="83"/>
        <v>0</v>
      </c>
      <c r="AN40" s="337">
        <f t="shared" si="74"/>
        <v>0</v>
      </c>
      <c r="AO40" s="294" t="s">
        <v>613</v>
      </c>
      <c r="AP40" s="282" t="s">
        <v>419</v>
      </c>
      <c r="AQ40" s="136" t="s">
        <v>40</v>
      </c>
      <c r="AR40" s="289"/>
      <c r="AS40" s="142"/>
      <c r="AT40" s="142" t="s">
        <v>219</v>
      </c>
      <c r="AU40" s="146"/>
      <c r="AV40" s="48"/>
      <c r="AW40" s="131" t="s">
        <v>284</v>
      </c>
      <c r="AX40" s="131"/>
      <c r="AY40" s="131"/>
      <c r="AZ40" s="48"/>
      <c r="BA40" s="48"/>
      <c r="BB40" s="50"/>
      <c r="BC40" s="51" t="s">
        <v>63</v>
      </c>
      <c r="BD40" s="52">
        <v>1.5177907166096627</v>
      </c>
      <c r="BE40" s="53">
        <v>2.2175743605815086</v>
      </c>
      <c r="BF40" s="54">
        <v>1.5177907166096627</v>
      </c>
      <c r="BG40" s="53">
        <v>2.2175743605815086</v>
      </c>
      <c r="BH40" s="450">
        <v>2823.2578522461008</v>
      </c>
      <c r="BI40" s="347">
        <f t="shared" si="75"/>
        <v>0</v>
      </c>
      <c r="BJ40" s="347">
        <f t="shared" si="19"/>
        <v>2823.2578522461008</v>
      </c>
      <c r="BK40" s="45">
        <v>918.6169915384628</v>
      </c>
      <c r="BL40" s="47">
        <v>11.150864437098067</v>
      </c>
      <c r="BM40" s="45">
        <v>1904.640860707638</v>
      </c>
      <c r="BN40" s="55">
        <v>3.0733786531836538</v>
      </c>
      <c r="BO40" s="47">
        <f t="shared" si="20"/>
        <v>3.0733786531836538</v>
      </c>
      <c r="BP40" s="45">
        <v>644.08270909710859</v>
      </c>
      <c r="BQ40" s="55">
        <v>4.3833778059401949</v>
      </c>
      <c r="BR40" s="54">
        <v>1.4286806671989629</v>
      </c>
      <c r="BS40" s="53">
        <v>2.0873797568849444</v>
      </c>
      <c r="BT40" s="54">
        <v>2.9464713838086256</v>
      </c>
      <c r="BU40" s="53">
        <v>4.304954117466453</v>
      </c>
      <c r="BV40" s="450">
        <v>2967.4793624829508</v>
      </c>
      <c r="BW40" s="347">
        <f t="shared" si="76"/>
        <v>0</v>
      </c>
      <c r="BX40" s="347">
        <f t="shared" si="21"/>
        <v>2967.4793624829508</v>
      </c>
      <c r="BY40" s="45">
        <v>864.68465119028247</v>
      </c>
      <c r="BZ40" s="47">
        <v>10.496193097968137</v>
      </c>
      <c r="CA40" s="45">
        <v>2102.7947112926686</v>
      </c>
      <c r="CB40" s="55">
        <v>3.4318631172625351</v>
      </c>
      <c r="CC40" s="47">
        <f t="shared" si="22"/>
        <v>3.4318631172625351</v>
      </c>
      <c r="CD40" s="45">
        <v>606.26837711830717</v>
      </c>
      <c r="CE40" s="55">
        <v>4.8946629487552462</v>
      </c>
      <c r="CF40" s="52">
        <v>1.5421160125779414</v>
      </c>
      <c r="CG40" s="53">
        <v>2.2531149341681664</v>
      </c>
      <c r="CH40" s="54">
        <v>4.488587396386567</v>
      </c>
      <c r="CI40" s="53">
        <v>6.5580690516346198</v>
      </c>
      <c r="CJ40" s="450">
        <v>3565.2122479361592</v>
      </c>
      <c r="CK40" s="347">
        <f t="shared" si="77"/>
        <v>0</v>
      </c>
      <c r="CL40" s="347">
        <f t="shared" si="23"/>
        <v>3565.2122479361592</v>
      </c>
      <c r="CM40" s="45">
        <v>933.33946279627685</v>
      </c>
      <c r="CN40" s="47">
        <v>11.329576874040926</v>
      </c>
      <c r="CO40" s="45">
        <v>2631.8727851398826</v>
      </c>
      <c r="CP40" s="55">
        <v>3.8198451796464434</v>
      </c>
      <c r="CQ40" s="47">
        <f t="shared" si="24"/>
        <v>3.8198451796464434</v>
      </c>
      <c r="CR40" s="45">
        <v>654.40528015738937</v>
      </c>
      <c r="CS40" s="55">
        <v>5.4480187676338723</v>
      </c>
    </row>
    <row r="41" spans="1:97" s="23" customFormat="1" ht="15" customHeight="1">
      <c r="A41" s="377" t="str">
        <f t="shared" si="68"/>
        <v>BNI - Efficient Product Rebates; Intelligent (Electronic) Defrost Control For Freezer Display Cases; COM-Refrigeration; Retail</v>
      </c>
      <c r="B41" s="42" t="s">
        <v>63</v>
      </c>
      <c r="C41" s="15" t="s">
        <v>46</v>
      </c>
      <c r="D41" s="15" t="s">
        <v>30</v>
      </c>
      <c r="E41" s="43">
        <v>10</v>
      </c>
      <c r="F41" s="44">
        <v>242.52460350264144</v>
      </c>
      <c r="G41" s="28">
        <v>168.54778940302901</v>
      </c>
      <c r="H41" s="29">
        <v>91</v>
      </c>
      <c r="I41" s="30">
        <v>0.5494505494505495</v>
      </c>
      <c r="J41" s="29">
        <v>7.7607873120845259</v>
      </c>
      <c r="K41" s="29">
        <v>57.760787312084531</v>
      </c>
      <c r="L41" s="29">
        <v>40.999999999999993</v>
      </c>
      <c r="M41" s="29">
        <v>98.760787312084517</v>
      </c>
      <c r="N41" s="29">
        <v>311.62062768425011</v>
      </c>
      <c r="O41" s="31">
        <v>0.82</v>
      </c>
      <c r="P41" s="31">
        <v>3.1018022895685688</v>
      </c>
      <c r="Q41" s="310">
        <f t="shared" si="69"/>
        <v>3.1018022895685688</v>
      </c>
      <c r="R41" s="311">
        <f t="shared" si="18"/>
        <v>0</v>
      </c>
      <c r="S41" s="311">
        <f t="shared" si="70"/>
        <v>0</v>
      </c>
      <c r="T41" s="310">
        <f t="shared" si="71"/>
        <v>3.1018022895685688</v>
      </c>
      <c r="U41" s="316">
        <f t="shared" si="45"/>
        <v>0</v>
      </c>
      <c r="V41" s="32">
        <v>0.23816465001026352</v>
      </c>
      <c r="W41" s="33">
        <v>0.34269679547067672</v>
      </c>
      <c r="X41" s="48" t="s">
        <v>40</v>
      </c>
      <c r="Y41" s="48" t="s">
        <v>522</v>
      </c>
      <c r="Z41" s="246" t="s">
        <v>40</v>
      </c>
      <c r="AA41" s="246"/>
      <c r="AB41" s="386">
        <v>0</v>
      </c>
      <c r="AC41" s="388">
        <v>0</v>
      </c>
      <c r="AD41" s="337">
        <f t="shared" si="50"/>
        <v>0</v>
      </c>
      <c r="AE41" s="337">
        <f t="shared" si="51"/>
        <v>0</v>
      </c>
      <c r="AF41" s="337">
        <f t="shared" ref="AF41:AH41" si="84">AE41*0</f>
        <v>0</v>
      </c>
      <c r="AG41" s="337">
        <f t="shared" si="84"/>
        <v>0</v>
      </c>
      <c r="AH41" s="337">
        <f t="shared" si="84"/>
        <v>0</v>
      </c>
      <c r="AI41" s="337">
        <f t="shared" si="47"/>
        <v>0</v>
      </c>
      <c r="AJ41" s="337" t="s">
        <v>40</v>
      </c>
      <c r="AK41" s="337">
        <f t="shared" si="48"/>
        <v>0</v>
      </c>
      <c r="AL41" s="337">
        <f t="shared" ref="AL41:AM41" si="85">AK41*0</f>
        <v>0</v>
      </c>
      <c r="AM41" s="337">
        <f t="shared" si="85"/>
        <v>0</v>
      </c>
      <c r="AN41" s="337">
        <f t="shared" si="74"/>
        <v>0</v>
      </c>
      <c r="AO41" s="294" t="s">
        <v>613</v>
      </c>
      <c r="AP41" s="282" t="s">
        <v>419</v>
      </c>
      <c r="AQ41" s="136" t="s">
        <v>40</v>
      </c>
      <c r="AR41" s="289"/>
      <c r="AS41" s="142"/>
      <c r="AT41" s="142" t="s">
        <v>219</v>
      </c>
      <c r="AU41" s="146"/>
      <c r="AV41" s="48"/>
      <c r="AW41" s="131" t="s">
        <v>284</v>
      </c>
      <c r="AX41" s="131"/>
      <c r="AY41" s="131"/>
      <c r="AZ41" s="48"/>
      <c r="BA41" s="48"/>
      <c r="BB41" s="50"/>
      <c r="BC41" s="51" t="s">
        <v>63</v>
      </c>
      <c r="BD41" s="52">
        <v>2.2049911629137289</v>
      </c>
      <c r="BE41" s="53">
        <v>3.1727773434854081</v>
      </c>
      <c r="BF41" s="54">
        <v>2.2049911629137289</v>
      </c>
      <c r="BG41" s="53">
        <v>3.1727773434854081</v>
      </c>
      <c r="BH41" s="450">
        <v>4076.7116119355778</v>
      </c>
      <c r="BI41" s="347">
        <f t="shared" si="75"/>
        <v>0</v>
      </c>
      <c r="BJ41" s="347">
        <f t="shared" si="19"/>
        <v>4076.7116119355778</v>
      </c>
      <c r="BK41" s="45">
        <v>1314.3041468650829</v>
      </c>
      <c r="BL41" s="47">
        <v>15.954012940979581</v>
      </c>
      <c r="BM41" s="45">
        <v>2762.4074650704952</v>
      </c>
      <c r="BN41" s="55">
        <v>3.1018022895685684</v>
      </c>
      <c r="BO41" s="47">
        <f t="shared" si="20"/>
        <v>3.1018022895685684</v>
      </c>
      <c r="BP41" s="45">
        <v>921.51634825816575</v>
      </c>
      <c r="BQ41" s="55">
        <v>4.4239167537736117</v>
      </c>
      <c r="BR41" s="54">
        <v>2.075535323365377</v>
      </c>
      <c r="BS41" s="53">
        <v>2.9865024224747772</v>
      </c>
      <c r="BT41" s="54">
        <v>4.2805264862791059</v>
      </c>
      <c r="BU41" s="53">
        <v>6.1592797659601857</v>
      </c>
      <c r="BV41" s="450">
        <v>4286.7720211014521</v>
      </c>
      <c r="BW41" s="347">
        <f t="shared" si="76"/>
        <v>0</v>
      </c>
      <c r="BX41" s="347">
        <f t="shared" si="21"/>
        <v>4286.7720211014521</v>
      </c>
      <c r="BY41" s="45">
        <v>1237.1408685644717</v>
      </c>
      <c r="BZ41" s="47">
        <v>15.017346992300403</v>
      </c>
      <c r="CA41" s="45">
        <v>3049.6311525369802</v>
      </c>
      <c r="CB41" s="55">
        <v>3.4650637854003232</v>
      </c>
      <c r="CC41" s="47">
        <f t="shared" si="22"/>
        <v>3.4650637854003232</v>
      </c>
      <c r="CD41" s="45">
        <v>867.41378561403599</v>
      </c>
      <c r="CE41" s="55">
        <v>4.9420150938307685</v>
      </c>
      <c r="CF41" s="52">
        <v>2.2403300683756919</v>
      </c>
      <c r="CG41" s="53">
        <v>3.2236267439179827</v>
      </c>
      <c r="CH41" s="54">
        <v>6.5208565546547979</v>
      </c>
      <c r="CI41" s="53">
        <v>9.3829065098781683</v>
      </c>
      <c r="CJ41" s="450">
        <v>5151.9775265406024</v>
      </c>
      <c r="CK41" s="347">
        <f t="shared" si="77"/>
        <v>0</v>
      </c>
      <c r="CL41" s="347">
        <f t="shared" si="23"/>
        <v>5151.9775265406024</v>
      </c>
      <c r="CM41" s="45">
        <v>1335.3682086062447</v>
      </c>
      <c r="CN41" s="47">
        <v>16.209704376184789</v>
      </c>
      <c r="CO41" s="45">
        <v>3816.6093179343579</v>
      </c>
      <c r="CP41" s="55">
        <v>3.8580950881838372</v>
      </c>
      <c r="CQ41" s="47">
        <f t="shared" si="24"/>
        <v>3.8580950881838372</v>
      </c>
      <c r="CR41" s="45">
        <v>936.28528686457548</v>
      </c>
      <c r="CS41" s="55">
        <v>5.5025723450098232</v>
      </c>
    </row>
    <row r="42" spans="1:97" s="23" customFormat="1" ht="15" customHeight="1">
      <c r="A42" s="377" t="str">
        <f t="shared" si="68"/>
        <v>BNI - Efficient Product Rebates; Intelligent (Electronic) Defrost Control For Freezer Display Cases; COM-Refrigeration; School</v>
      </c>
      <c r="B42" s="42" t="s">
        <v>63</v>
      </c>
      <c r="C42" s="15" t="s">
        <v>46</v>
      </c>
      <c r="D42" s="15" t="s">
        <v>59</v>
      </c>
      <c r="E42" s="43">
        <v>10</v>
      </c>
      <c r="F42" s="44">
        <v>242.52460350264144</v>
      </c>
      <c r="G42" s="28">
        <v>160.54011030844603</v>
      </c>
      <c r="H42" s="29">
        <v>91</v>
      </c>
      <c r="I42" s="30">
        <v>0.5494505494505495</v>
      </c>
      <c r="J42" s="29">
        <v>7.7607873120845259</v>
      </c>
      <c r="K42" s="29">
        <v>57.760787312084531</v>
      </c>
      <c r="L42" s="29">
        <v>40.999999999999993</v>
      </c>
      <c r="M42" s="29">
        <v>98.760787312084517</v>
      </c>
      <c r="N42" s="29">
        <v>302.67057239804626</v>
      </c>
      <c r="O42" s="31">
        <v>0.82</v>
      </c>
      <c r="P42" s="31">
        <v>3.0127154335898254</v>
      </c>
      <c r="Q42" s="310">
        <f t="shared" si="69"/>
        <v>3.0127154335898254</v>
      </c>
      <c r="R42" s="311">
        <f t="shared" si="18"/>
        <v>0</v>
      </c>
      <c r="S42" s="311">
        <f t="shared" si="70"/>
        <v>0</v>
      </c>
      <c r="T42" s="310">
        <f t="shared" si="71"/>
        <v>3.0127154335898254</v>
      </c>
      <c r="U42" s="316">
        <f t="shared" si="45"/>
        <v>0</v>
      </c>
      <c r="V42" s="32">
        <v>0.23816465001026352</v>
      </c>
      <c r="W42" s="33">
        <v>0.35979038011814379</v>
      </c>
      <c r="X42" s="48" t="s">
        <v>40</v>
      </c>
      <c r="Y42" s="48" t="s">
        <v>522</v>
      </c>
      <c r="Z42" s="246" t="s">
        <v>40</v>
      </c>
      <c r="AA42" s="246"/>
      <c r="AB42" s="386">
        <v>0</v>
      </c>
      <c r="AC42" s="388">
        <v>0</v>
      </c>
      <c r="AD42" s="337">
        <f t="shared" si="50"/>
        <v>0</v>
      </c>
      <c r="AE42" s="337">
        <f t="shared" si="51"/>
        <v>0</v>
      </c>
      <c r="AF42" s="337">
        <f t="shared" ref="AF42:AH42" si="86">AE42*0</f>
        <v>0</v>
      </c>
      <c r="AG42" s="337">
        <f t="shared" si="86"/>
        <v>0</v>
      </c>
      <c r="AH42" s="337">
        <f t="shared" si="86"/>
        <v>0</v>
      </c>
      <c r="AI42" s="337">
        <f t="shared" si="47"/>
        <v>0</v>
      </c>
      <c r="AJ42" s="337" t="s">
        <v>40</v>
      </c>
      <c r="AK42" s="337">
        <f t="shared" si="48"/>
        <v>0</v>
      </c>
      <c r="AL42" s="337">
        <f t="shared" ref="AL42:AM42" si="87">AK42*0</f>
        <v>0</v>
      </c>
      <c r="AM42" s="337">
        <f t="shared" si="87"/>
        <v>0</v>
      </c>
      <c r="AN42" s="337">
        <f t="shared" si="74"/>
        <v>0</v>
      </c>
      <c r="AO42" s="294" t="s">
        <v>613</v>
      </c>
      <c r="AP42" s="282" t="s">
        <v>419</v>
      </c>
      <c r="AQ42" s="136" t="s">
        <v>40</v>
      </c>
      <c r="AR42" s="289"/>
      <c r="AS42" s="142"/>
      <c r="AT42" s="142" t="s">
        <v>219</v>
      </c>
      <c r="AU42" s="146"/>
      <c r="AV42" s="48"/>
      <c r="AW42" s="131" t="s">
        <v>284</v>
      </c>
      <c r="AX42" s="131"/>
      <c r="AY42" s="131"/>
      <c r="AZ42" s="48"/>
      <c r="BA42" s="48"/>
      <c r="BB42" s="50"/>
      <c r="BC42" s="51" t="s">
        <v>63</v>
      </c>
      <c r="BD42" s="52">
        <v>2.093368873371078</v>
      </c>
      <c r="BE42" s="53">
        <v>3.1624087900753244</v>
      </c>
      <c r="BF42" s="54">
        <v>2.093368873371078</v>
      </c>
      <c r="BG42" s="53">
        <v>3.1624087900753244</v>
      </c>
      <c r="BH42" s="450">
        <v>3946.6844387121591</v>
      </c>
      <c r="BI42" s="347">
        <f t="shared" si="75"/>
        <v>0</v>
      </c>
      <c r="BJ42" s="347">
        <f t="shared" si="19"/>
        <v>3946.6844387121591</v>
      </c>
      <c r="BK42" s="45">
        <v>1310.0090352740201</v>
      </c>
      <c r="BL42" s="47">
        <v>15.901875643786834</v>
      </c>
      <c r="BM42" s="45">
        <v>2636.6754034381393</v>
      </c>
      <c r="BN42" s="55">
        <v>3.0127154335898259</v>
      </c>
      <c r="BO42" s="47">
        <f t="shared" si="20"/>
        <v>3.0127154335898259</v>
      </c>
      <c r="BP42" s="45">
        <v>918.50485692398865</v>
      </c>
      <c r="BQ42" s="55">
        <v>4.2968574514993216</v>
      </c>
      <c r="BR42" s="54">
        <v>1.9704664193637169</v>
      </c>
      <c r="BS42" s="53">
        <v>2.9767426106366228</v>
      </c>
      <c r="BT42" s="54">
        <v>4.0638352927347947</v>
      </c>
      <c r="BU42" s="53">
        <v>6.1391514007119472</v>
      </c>
      <c r="BV42" s="450">
        <v>4144.4476798549604</v>
      </c>
      <c r="BW42" s="347">
        <f t="shared" si="76"/>
        <v>0</v>
      </c>
      <c r="BX42" s="347">
        <f t="shared" si="21"/>
        <v>4144.4476798549604</v>
      </c>
      <c r="BY42" s="45">
        <v>1233.0979245495548</v>
      </c>
      <c r="BZ42" s="47">
        <v>14.968270694939941</v>
      </c>
      <c r="CA42" s="45">
        <v>2911.3497553054058</v>
      </c>
      <c r="CB42" s="55">
        <v>3.3610045052739088</v>
      </c>
      <c r="CC42" s="47">
        <f t="shared" si="22"/>
        <v>3.3610045052739088</v>
      </c>
      <c r="CD42" s="45">
        <v>864.57910004013365</v>
      </c>
      <c r="CE42" s="55">
        <v>4.7936015104489291</v>
      </c>
      <c r="CF42" s="52">
        <v>2.1269188330975934</v>
      </c>
      <c r="CG42" s="53">
        <v>3.2130920159966823</v>
      </c>
      <c r="CH42" s="54">
        <v>6.190754125832389</v>
      </c>
      <c r="CI42" s="53">
        <v>9.3522434167086299</v>
      </c>
      <c r="CJ42" s="450">
        <v>4975.5737194088169</v>
      </c>
      <c r="CK42" s="347">
        <f t="shared" si="77"/>
        <v>0</v>
      </c>
      <c r="CL42" s="347">
        <f t="shared" si="23"/>
        <v>4975.5737194088169</v>
      </c>
      <c r="CM42" s="45">
        <v>1331.0042602121066</v>
      </c>
      <c r="CN42" s="47">
        <v>16.156731486066537</v>
      </c>
      <c r="CO42" s="45">
        <v>3644.5694591967103</v>
      </c>
      <c r="CP42" s="55">
        <v>3.7382102132535007</v>
      </c>
      <c r="CQ42" s="47">
        <f t="shared" si="24"/>
        <v>3.7382102132535007</v>
      </c>
      <c r="CR42" s="45">
        <v>933.22553102514871</v>
      </c>
      <c r="CS42" s="55">
        <v>5.3315876537830533</v>
      </c>
    </row>
    <row r="43" spans="1:97" s="23" customFormat="1" ht="15" customHeight="1">
      <c r="A43" s="377" t="str">
        <f t="shared" si="68"/>
        <v>BNI - Efficient Product Rebates; Intelligent (Electronic) Defrost Control For Walk-In Freezers; COM-Refrigeration; Other Commercial</v>
      </c>
      <c r="B43" s="42" t="s">
        <v>64</v>
      </c>
      <c r="C43" s="15" t="s">
        <v>46</v>
      </c>
      <c r="D43" s="15" t="s">
        <v>56</v>
      </c>
      <c r="E43" s="43">
        <v>10</v>
      </c>
      <c r="F43" s="44">
        <v>1109.3602874666667</v>
      </c>
      <c r="G43" s="44">
        <v>759.28761426101676</v>
      </c>
      <c r="H43" s="45">
        <v>390</v>
      </c>
      <c r="I43" s="46">
        <v>0.38461538461538464</v>
      </c>
      <c r="J43" s="45">
        <v>35.499529198933338</v>
      </c>
      <c r="K43" s="45">
        <v>185.49952919893335</v>
      </c>
      <c r="L43" s="45">
        <v>240</v>
      </c>
      <c r="M43" s="45">
        <v>425.49952919893337</v>
      </c>
      <c r="N43" s="45">
        <v>1412.3585653916739</v>
      </c>
      <c r="O43" s="47">
        <v>0.82</v>
      </c>
      <c r="P43" s="47">
        <v>3.2595990944100852</v>
      </c>
      <c r="Q43" s="310">
        <f t="shared" si="69"/>
        <v>3.2595990944100852</v>
      </c>
      <c r="R43" s="311">
        <f t="shared" si="18"/>
        <v>0</v>
      </c>
      <c r="S43" s="311">
        <f t="shared" si="70"/>
        <v>0</v>
      </c>
      <c r="T43" s="310">
        <f t="shared" si="71"/>
        <v>3.2595990944100852</v>
      </c>
      <c r="U43" s="316">
        <f t="shared" si="45"/>
        <v>0</v>
      </c>
      <c r="V43" s="48">
        <v>0.16721306080150009</v>
      </c>
      <c r="W43" s="49">
        <v>0.24430732928453253</v>
      </c>
      <c r="X43" s="48" t="s">
        <v>40</v>
      </c>
      <c r="Y43" s="48" t="s">
        <v>522</v>
      </c>
      <c r="Z43" s="246" t="s">
        <v>40</v>
      </c>
      <c r="AA43" s="246"/>
      <c r="AB43" s="386">
        <v>0</v>
      </c>
      <c r="AC43" s="388">
        <v>0</v>
      </c>
      <c r="AD43" s="337">
        <f t="shared" si="50"/>
        <v>0</v>
      </c>
      <c r="AE43" s="337">
        <f t="shared" si="51"/>
        <v>0</v>
      </c>
      <c r="AF43" s="337">
        <f t="shared" ref="AF43:AH43" si="88">AE43*0</f>
        <v>0</v>
      </c>
      <c r="AG43" s="337">
        <f t="shared" si="88"/>
        <v>0</v>
      </c>
      <c r="AH43" s="337">
        <f t="shared" si="88"/>
        <v>0</v>
      </c>
      <c r="AI43" s="337">
        <f t="shared" si="47"/>
        <v>0</v>
      </c>
      <c r="AJ43" s="337" t="s">
        <v>40</v>
      </c>
      <c r="AK43" s="337">
        <f t="shared" si="48"/>
        <v>0</v>
      </c>
      <c r="AL43" s="337">
        <f t="shared" ref="AL43:AM43" si="89">AK43*0</f>
        <v>0</v>
      </c>
      <c r="AM43" s="337">
        <f t="shared" si="89"/>
        <v>0</v>
      </c>
      <c r="AN43" s="337">
        <f t="shared" si="74"/>
        <v>0</v>
      </c>
      <c r="AO43" s="294" t="s">
        <v>613</v>
      </c>
      <c r="AP43" s="282" t="s">
        <v>419</v>
      </c>
      <c r="AQ43" s="136" t="s">
        <v>40</v>
      </c>
      <c r="AR43" s="289"/>
      <c r="AS43" s="142"/>
      <c r="AT43" s="142" t="s">
        <v>219</v>
      </c>
      <c r="AU43" s="146"/>
      <c r="AV43" s="48"/>
      <c r="AW43" s="131" t="s">
        <v>284</v>
      </c>
      <c r="AX43" s="131"/>
      <c r="AY43" s="131"/>
      <c r="AZ43" s="48"/>
      <c r="BA43" s="48"/>
      <c r="BB43" s="50"/>
      <c r="BC43" s="51" t="s">
        <v>64</v>
      </c>
      <c r="BD43" s="52">
        <v>2.5559687361373435</v>
      </c>
      <c r="BE43" s="53">
        <v>3.7344086201600977</v>
      </c>
      <c r="BF43" s="54">
        <v>2.5559687361373435</v>
      </c>
      <c r="BG43" s="53">
        <v>3.7344086201600977</v>
      </c>
      <c r="BH43" s="450">
        <v>4754.3832792140538</v>
      </c>
      <c r="BI43" s="347">
        <f t="shared" si="75"/>
        <v>0</v>
      </c>
      <c r="BJ43" s="347">
        <f t="shared" si="19"/>
        <v>4754.3832792140538</v>
      </c>
      <c r="BK43" s="45">
        <v>1458.5791508432392</v>
      </c>
      <c r="BL43" s="47">
        <v>4.1052099171979943</v>
      </c>
      <c r="BM43" s="45">
        <v>3295.8041283708144</v>
      </c>
      <c r="BN43" s="55">
        <v>3.2595990944100852</v>
      </c>
      <c r="BO43" s="47">
        <f t="shared" si="20"/>
        <v>3.2595990944100852</v>
      </c>
      <c r="BP43" s="45">
        <v>761.51450690301999</v>
      </c>
      <c r="BQ43" s="55">
        <v>6.2433259460144885</v>
      </c>
      <c r="BR43" s="54">
        <v>2.1929163202732012</v>
      </c>
      <c r="BS43" s="53">
        <v>3.2039693967829344</v>
      </c>
      <c r="BT43" s="54">
        <v>4.7488850564105443</v>
      </c>
      <c r="BU43" s="53">
        <v>6.938378016943032</v>
      </c>
      <c r="BV43" s="450">
        <v>4554.8554505333186</v>
      </c>
      <c r="BW43" s="347">
        <f t="shared" si="76"/>
        <v>0</v>
      </c>
      <c r="BX43" s="347">
        <f t="shared" si="21"/>
        <v>4554.8554505333186</v>
      </c>
      <c r="BY43" s="45">
        <v>1251.4010750883047</v>
      </c>
      <c r="BZ43" s="47">
        <v>3.5221016979947679</v>
      </c>
      <c r="CA43" s="45">
        <v>3303.4543754450142</v>
      </c>
      <c r="CB43" s="55">
        <v>3.6398046487309488</v>
      </c>
      <c r="CC43" s="47">
        <f t="shared" si="22"/>
        <v>3.6398046487309488</v>
      </c>
      <c r="CD43" s="45">
        <v>653.34820676879315</v>
      </c>
      <c r="CE43" s="55">
        <v>6.971558815566155</v>
      </c>
      <c r="CF43" s="52">
        <v>2.2240009417941291</v>
      </c>
      <c r="CG43" s="53">
        <v>3.2493857107311226</v>
      </c>
      <c r="CH43" s="54">
        <v>6.9728859982046734</v>
      </c>
      <c r="CI43" s="53">
        <v>10.187763727674154</v>
      </c>
      <c r="CJ43" s="450">
        <v>5141.6594681816996</v>
      </c>
      <c r="CK43" s="347">
        <f t="shared" si="77"/>
        <v>0</v>
      </c>
      <c r="CL43" s="347">
        <f t="shared" si="23"/>
        <v>5141.6594681816996</v>
      </c>
      <c r="CM43" s="45">
        <v>1269.1397039773249</v>
      </c>
      <c r="CN43" s="47">
        <v>3.572027542053763</v>
      </c>
      <c r="CO43" s="45">
        <v>3872.519764204375</v>
      </c>
      <c r="CP43" s="55">
        <v>4.0512951033431408</v>
      </c>
      <c r="CQ43" s="47">
        <f t="shared" si="24"/>
        <v>4.0512951033431408</v>
      </c>
      <c r="CR43" s="45">
        <v>662.60942733659613</v>
      </c>
      <c r="CS43" s="55">
        <v>7.759713725850462</v>
      </c>
    </row>
    <row r="44" spans="1:97" s="23" customFormat="1" ht="15" customHeight="1">
      <c r="A44" s="377" t="str">
        <f t="shared" si="68"/>
        <v>BNI - Efficient Product Rebates; Intelligent (Electronic) Defrost Control For Walk-In Freezers; COM-Refrigeration; Retail</v>
      </c>
      <c r="B44" s="42" t="s">
        <v>64</v>
      </c>
      <c r="C44" s="15" t="s">
        <v>46</v>
      </c>
      <c r="D44" s="15" t="s">
        <v>30</v>
      </c>
      <c r="E44" s="43">
        <v>10</v>
      </c>
      <c r="F44" s="44">
        <v>1109.3602874666667</v>
      </c>
      <c r="G44" s="44">
        <v>770.97424922489972</v>
      </c>
      <c r="H44" s="45">
        <v>390</v>
      </c>
      <c r="I44" s="46">
        <v>0.38461538461538464</v>
      </c>
      <c r="J44" s="45">
        <v>35.499529198933338</v>
      </c>
      <c r="K44" s="45">
        <v>185.49952919893335</v>
      </c>
      <c r="L44" s="45">
        <v>240</v>
      </c>
      <c r="M44" s="45">
        <v>425.49952919893337</v>
      </c>
      <c r="N44" s="45">
        <v>1425.4205310125478</v>
      </c>
      <c r="O44" s="47">
        <v>0.82</v>
      </c>
      <c r="P44" s="47">
        <v>3.2897449598810176</v>
      </c>
      <c r="Q44" s="310">
        <f t="shared" si="69"/>
        <v>3.2897449598810176</v>
      </c>
      <c r="R44" s="311">
        <f t="shared" si="18"/>
        <v>0</v>
      </c>
      <c r="S44" s="311">
        <f t="shared" si="70"/>
        <v>0</v>
      </c>
      <c r="T44" s="310">
        <f t="shared" si="71"/>
        <v>3.2897449598810176</v>
      </c>
      <c r="U44" s="316">
        <f t="shared" si="45"/>
        <v>0</v>
      </c>
      <c r="V44" s="48">
        <v>0.16721306080150009</v>
      </c>
      <c r="W44" s="49">
        <v>0.24060405309960173</v>
      </c>
      <c r="X44" s="48" t="s">
        <v>40</v>
      </c>
      <c r="Y44" s="48" t="s">
        <v>522</v>
      </c>
      <c r="Z44" s="246" t="s">
        <v>40</v>
      </c>
      <c r="AA44" s="246"/>
      <c r="AB44" s="386">
        <v>0</v>
      </c>
      <c r="AC44" s="388">
        <v>0</v>
      </c>
      <c r="AD44" s="337">
        <f t="shared" si="50"/>
        <v>0</v>
      </c>
      <c r="AE44" s="337">
        <f t="shared" si="51"/>
        <v>0</v>
      </c>
      <c r="AF44" s="337">
        <f t="shared" ref="AF44:AH44" si="90">AE44*0</f>
        <v>0</v>
      </c>
      <c r="AG44" s="337">
        <f t="shared" si="90"/>
        <v>0</v>
      </c>
      <c r="AH44" s="337">
        <f t="shared" si="90"/>
        <v>0</v>
      </c>
      <c r="AI44" s="337">
        <f t="shared" si="47"/>
        <v>0</v>
      </c>
      <c r="AJ44" s="337" t="s">
        <v>40</v>
      </c>
      <c r="AK44" s="337">
        <f t="shared" si="48"/>
        <v>0</v>
      </c>
      <c r="AL44" s="337">
        <f t="shared" ref="AL44:AM44" si="91">AK44*0</f>
        <v>0</v>
      </c>
      <c r="AM44" s="337">
        <f t="shared" si="91"/>
        <v>0</v>
      </c>
      <c r="AN44" s="337">
        <f t="shared" si="74"/>
        <v>0</v>
      </c>
      <c r="AO44" s="294" t="s">
        <v>613</v>
      </c>
      <c r="AP44" s="282" t="s">
        <v>419</v>
      </c>
      <c r="AQ44" s="136" t="s">
        <v>40</v>
      </c>
      <c r="AR44" s="289"/>
      <c r="AS44" s="142"/>
      <c r="AT44" s="142" t="s">
        <v>219</v>
      </c>
      <c r="AU44" s="146"/>
      <c r="AV44" s="48"/>
      <c r="AW44" s="131" t="s">
        <v>284</v>
      </c>
      <c r="AX44" s="131"/>
      <c r="AY44" s="131"/>
      <c r="AZ44" s="48"/>
      <c r="BA44" s="48"/>
      <c r="BB44" s="50"/>
      <c r="BC44" s="51" t="s">
        <v>64</v>
      </c>
      <c r="BD44" s="52">
        <v>3.7132184392692023</v>
      </c>
      <c r="BE44" s="53">
        <v>5.3429762139987842</v>
      </c>
      <c r="BF44" s="54">
        <v>3.7132184392692023</v>
      </c>
      <c r="BG44" s="53">
        <v>5.3429762139987842</v>
      </c>
      <c r="BH44" s="450">
        <v>6865.2069829698112</v>
      </c>
      <c r="BI44" s="347">
        <f t="shared" si="75"/>
        <v>0</v>
      </c>
      <c r="BJ44" s="347">
        <f t="shared" si="19"/>
        <v>6865.2069829698112</v>
      </c>
      <c r="BK44" s="45">
        <v>2086.8508248183807</v>
      </c>
      <c r="BL44" s="47">
        <v>5.8734972982470426</v>
      </c>
      <c r="BM44" s="45">
        <v>4778.3561581514305</v>
      </c>
      <c r="BN44" s="55">
        <v>3.2897449598810171</v>
      </c>
      <c r="BO44" s="47">
        <f t="shared" si="20"/>
        <v>3.2897449598810171</v>
      </c>
      <c r="BP44" s="45">
        <v>1089.5309835760333</v>
      </c>
      <c r="BQ44" s="55">
        <v>6.3010663179462671</v>
      </c>
      <c r="BR44" s="54">
        <v>3.1857890908784845</v>
      </c>
      <c r="BS44" s="53">
        <v>4.5840544028782135</v>
      </c>
      <c r="BT44" s="54">
        <v>6.8990075301476868</v>
      </c>
      <c r="BU44" s="53">
        <v>9.9270306168769977</v>
      </c>
      <c r="BV44" s="450">
        <v>6579.8694853163843</v>
      </c>
      <c r="BW44" s="347">
        <f t="shared" si="76"/>
        <v>0</v>
      </c>
      <c r="BX44" s="347">
        <f t="shared" si="21"/>
        <v>6579.8694853163843</v>
      </c>
      <c r="BY44" s="45">
        <v>1790.4323973209639</v>
      </c>
      <c r="BZ44" s="47">
        <v>5.0392197292175283</v>
      </c>
      <c r="CA44" s="45">
        <v>4789.4370879954204</v>
      </c>
      <c r="CB44" s="55">
        <v>3.6750169931921963</v>
      </c>
      <c r="CC44" s="47">
        <f t="shared" si="22"/>
        <v>3.6750169931921963</v>
      </c>
      <c r="CD44" s="45">
        <v>934.77288729982786</v>
      </c>
      <c r="CE44" s="55">
        <v>7.039003350132357</v>
      </c>
      <c r="CF44" s="52">
        <v>3.230947698719536</v>
      </c>
      <c r="CG44" s="53">
        <v>4.6490334423552238</v>
      </c>
      <c r="CH44" s="54">
        <v>10.129955228867223</v>
      </c>
      <c r="CI44" s="53">
        <v>14.576064059232221</v>
      </c>
      <c r="CJ44" s="450">
        <v>7430.0524588771059</v>
      </c>
      <c r="CK44" s="347">
        <f t="shared" si="77"/>
        <v>0</v>
      </c>
      <c r="CL44" s="347">
        <f t="shared" si="23"/>
        <v>7430.0524588771059</v>
      </c>
      <c r="CM44" s="45">
        <v>1815.8118032358218</v>
      </c>
      <c r="CN44" s="47">
        <v>5.1106507439787325</v>
      </c>
      <c r="CO44" s="45">
        <v>5614.2406556412843</v>
      </c>
      <c r="CP44" s="55">
        <v>4.0918626289555817</v>
      </c>
      <c r="CQ44" s="47">
        <f t="shared" si="24"/>
        <v>4.0918626289555817</v>
      </c>
      <c r="CR44" s="45">
        <v>948.02330690823328</v>
      </c>
      <c r="CS44" s="55">
        <v>7.8374153934132336</v>
      </c>
    </row>
    <row r="45" spans="1:97" s="23" customFormat="1" ht="15" customHeight="1">
      <c r="A45" s="377" t="str">
        <f t="shared" si="68"/>
        <v>BNI - Efficient Product Rebates; Intelligent (Electronic) Defrost Control For Walk-In Freezers; COM-Refrigeration; School</v>
      </c>
      <c r="B45" s="42" t="s">
        <v>64</v>
      </c>
      <c r="C45" s="15" t="s">
        <v>46</v>
      </c>
      <c r="D45" s="15" t="s">
        <v>59</v>
      </c>
      <c r="E45" s="43">
        <v>10</v>
      </c>
      <c r="F45" s="44">
        <v>1109.3602874666667</v>
      </c>
      <c r="G45" s="44">
        <v>734.34538331187639</v>
      </c>
      <c r="H45" s="45">
        <v>390</v>
      </c>
      <c r="I45" s="46">
        <v>0.38461538461538464</v>
      </c>
      <c r="J45" s="45">
        <v>35.499529198933338</v>
      </c>
      <c r="K45" s="45">
        <v>185.49952919893335</v>
      </c>
      <c r="L45" s="45">
        <v>240</v>
      </c>
      <c r="M45" s="45">
        <v>425.49952919893337</v>
      </c>
      <c r="N45" s="45">
        <v>1384.4810314246743</v>
      </c>
      <c r="O45" s="47">
        <v>0.82</v>
      </c>
      <c r="P45" s="47">
        <v>3.1952602029275119</v>
      </c>
      <c r="Q45" s="310">
        <f t="shared" si="69"/>
        <v>3.1952602029275119</v>
      </c>
      <c r="R45" s="311">
        <f t="shared" si="18"/>
        <v>0</v>
      </c>
      <c r="S45" s="311">
        <f t="shared" si="70"/>
        <v>0</v>
      </c>
      <c r="T45" s="310">
        <f t="shared" si="71"/>
        <v>3.1952602029275119</v>
      </c>
      <c r="U45" s="316">
        <f t="shared" si="45"/>
        <v>0</v>
      </c>
      <c r="V45" s="48">
        <v>0.16721306080150009</v>
      </c>
      <c r="W45" s="49">
        <v>0.25260529093590245</v>
      </c>
      <c r="X45" s="48" t="s">
        <v>40</v>
      </c>
      <c r="Y45" s="48" t="s">
        <v>522</v>
      </c>
      <c r="Z45" s="246" t="s">
        <v>40</v>
      </c>
      <c r="AA45" s="246"/>
      <c r="AB45" s="386">
        <v>0</v>
      </c>
      <c r="AC45" s="388">
        <v>0</v>
      </c>
      <c r="AD45" s="337">
        <f t="shared" si="50"/>
        <v>0</v>
      </c>
      <c r="AE45" s="337">
        <f t="shared" si="51"/>
        <v>0</v>
      </c>
      <c r="AF45" s="337">
        <f t="shared" ref="AF45:AH45" si="92">AE45*0</f>
        <v>0</v>
      </c>
      <c r="AG45" s="337">
        <f t="shared" si="92"/>
        <v>0</v>
      </c>
      <c r="AH45" s="337">
        <f t="shared" si="92"/>
        <v>0</v>
      </c>
      <c r="AI45" s="337">
        <f t="shared" si="47"/>
        <v>0</v>
      </c>
      <c r="AJ45" s="337" t="s">
        <v>40</v>
      </c>
      <c r="AK45" s="337">
        <f t="shared" si="48"/>
        <v>0</v>
      </c>
      <c r="AL45" s="337">
        <f t="shared" ref="AL45:AM45" si="93">AK45*0</f>
        <v>0</v>
      </c>
      <c r="AM45" s="337">
        <f t="shared" si="93"/>
        <v>0</v>
      </c>
      <c r="AN45" s="337">
        <f t="shared" si="74"/>
        <v>0</v>
      </c>
      <c r="AO45" s="294" t="s">
        <v>613</v>
      </c>
      <c r="AP45" s="282" t="s">
        <v>419</v>
      </c>
      <c r="AQ45" s="136" t="s">
        <v>40</v>
      </c>
      <c r="AR45" s="289"/>
      <c r="AS45" s="142"/>
      <c r="AT45" s="142" t="s">
        <v>219</v>
      </c>
      <c r="AU45" s="146"/>
      <c r="AV45" s="48"/>
      <c r="AW45" s="131" t="s">
        <v>284</v>
      </c>
      <c r="AX45" s="131"/>
      <c r="AY45" s="131"/>
      <c r="AZ45" s="48"/>
      <c r="BA45" s="48"/>
      <c r="BB45" s="50"/>
      <c r="BC45" s="51" t="s">
        <v>64</v>
      </c>
      <c r="BD45" s="52">
        <v>3.5252458293402271</v>
      </c>
      <c r="BE45" s="53">
        <v>5.3255155074170863</v>
      </c>
      <c r="BF45" s="54">
        <v>3.5252458293402271</v>
      </c>
      <c r="BG45" s="53">
        <v>5.3255155074170863</v>
      </c>
      <c r="BH45" s="450">
        <v>6646.2404377337571</v>
      </c>
      <c r="BI45" s="347">
        <f t="shared" si="75"/>
        <v>0</v>
      </c>
      <c r="BJ45" s="347">
        <f t="shared" si="19"/>
        <v>6646.2404377337571</v>
      </c>
      <c r="BK45" s="45">
        <v>2080.0310508810649</v>
      </c>
      <c r="BL45" s="47">
        <v>5.8543028626318536</v>
      </c>
      <c r="BM45" s="45">
        <v>4566.2093868526918</v>
      </c>
      <c r="BN45" s="55">
        <v>3.1952602029275119</v>
      </c>
      <c r="BO45" s="47">
        <f t="shared" si="20"/>
        <v>3.1952602029275119</v>
      </c>
      <c r="BP45" s="45">
        <v>1085.9704248061764</v>
      </c>
      <c r="BQ45" s="55">
        <v>6.1200934076266167</v>
      </c>
      <c r="BR45" s="54">
        <v>3.0245163028941766</v>
      </c>
      <c r="BS45" s="53">
        <v>4.5690738329341647</v>
      </c>
      <c r="BT45" s="54">
        <v>6.5497621322344033</v>
      </c>
      <c r="BU45" s="53">
        <v>9.894589340351251</v>
      </c>
      <c r="BV45" s="450">
        <v>6361.4124305964715</v>
      </c>
      <c r="BW45" s="347">
        <f t="shared" si="76"/>
        <v>0</v>
      </c>
      <c r="BX45" s="347">
        <f t="shared" si="21"/>
        <v>6361.4124305964715</v>
      </c>
      <c r="BY45" s="45">
        <v>1784.5813110552085</v>
      </c>
      <c r="BZ45" s="47">
        <v>5.02275169088675</v>
      </c>
      <c r="CA45" s="45">
        <v>4576.8311195412625</v>
      </c>
      <c r="CB45" s="55">
        <v>3.5646526113371766</v>
      </c>
      <c r="CC45" s="47">
        <f t="shared" si="22"/>
        <v>3.5646526113371766</v>
      </c>
      <c r="CD45" s="45">
        <v>931.7180739426384</v>
      </c>
      <c r="CE45" s="55">
        <v>6.8276151429344436</v>
      </c>
      <c r="CF45" s="52">
        <v>3.0673888665621005</v>
      </c>
      <c r="CG45" s="53">
        <v>4.6338405226089634</v>
      </c>
      <c r="CH45" s="54">
        <v>9.6171509987965038</v>
      </c>
      <c r="CI45" s="53">
        <v>14.528429862960214</v>
      </c>
      <c r="CJ45" s="450">
        <v>7175.6473233378401</v>
      </c>
      <c r="CK45" s="347">
        <f t="shared" si="77"/>
        <v>0</v>
      </c>
      <c r="CL45" s="347">
        <f t="shared" si="23"/>
        <v>7175.6473233378401</v>
      </c>
      <c r="CM45" s="45">
        <v>1809.8777777350504</v>
      </c>
      <c r="CN45" s="47">
        <v>5.0939492709591923</v>
      </c>
      <c r="CO45" s="45">
        <v>5365.7695456027895</v>
      </c>
      <c r="CP45" s="55">
        <v>3.964713756703349</v>
      </c>
      <c r="CQ45" s="47">
        <f t="shared" si="24"/>
        <v>3.964713756703349</v>
      </c>
      <c r="CR45" s="45">
        <v>944.9251915261799</v>
      </c>
      <c r="CS45" s="55">
        <v>7.5938787405468737</v>
      </c>
    </row>
    <row r="46" spans="1:97" s="23" customFormat="1" ht="15" customHeight="1">
      <c r="A46" s="377" t="str">
        <f t="shared" si="68"/>
        <v>BNI - Efficient Product Rebates; Refrigerated Vending Machine Controller; COM-Refrigeration; Office</v>
      </c>
      <c r="B46" s="42" t="s">
        <v>65</v>
      </c>
      <c r="C46" s="15" t="s">
        <v>46</v>
      </c>
      <c r="D46" s="15" t="s">
        <v>66</v>
      </c>
      <c r="E46" s="43">
        <v>5</v>
      </c>
      <c r="F46" s="44">
        <v>1179.8870280000001</v>
      </c>
      <c r="G46" s="44">
        <v>807.55874958662628</v>
      </c>
      <c r="H46" s="45">
        <v>179</v>
      </c>
      <c r="I46" s="46">
        <v>0.27932960893854747</v>
      </c>
      <c r="J46" s="45">
        <v>37.756384896000007</v>
      </c>
      <c r="K46" s="45">
        <v>87.756384896000014</v>
      </c>
      <c r="L46" s="45">
        <v>129</v>
      </c>
      <c r="M46" s="45">
        <v>216.75638489600001</v>
      </c>
      <c r="N46" s="45">
        <v>699.37217147930187</v>
      </c>
      <c r="O46" s="47">
        <v>0.82</v>
      </c>
      <c r="P46" s="47">
        <v>3.1077078969344125</v>
      </c>
      <c r="Q46" s="310">
        <f t="shared" si="69"/>
        <v>3.1077078969344125</v>
      </c>
      <c r="R46" s="311">
        <f t="shared" si="18"/>
        <v>0</v>
      </c>
      <c r="S46" s="311">
        <f t="shared" si="70"/>
        <v>0</v>
      </c>
      <c r="T46" s="310">
        <f t="shared" si="71"/>
        <v>3.1077078969344125</v>
      </c>
      <c r="U46" s="316">
        <f t="shared" si="45"/>
        <v>0</v>
      </c>
      <c r="V46" s="48">
        <v>7.4376938480927177E-2</v>
      </c>
      <c r="W46" s="49">
        <v>0.10866873145875865</v>
      </c>
      <c r="X46" s="48" t="s">
        <v>40</v>
      </c>
      <c r="Y46" s="48" t="s">
        <v>523</v>
      </c>
      <c r="Z46" s="246" t="s">
        <v>40</v>
      </c>
      <c r="AA46" s="246"/>
      <c r="AB46" s="386">
        <v>0</v>
      </c>
      <c r="AC46" s="388">
        <v>0</v>
      </c>
      <c r="AD46" s="337">
        <f t="shared" si="50"/>
        <v>0</v>
      </c>
      <c r="AE46" s="337">
        <f t="shared" si="51"/>
        <v>0</v>
      </c>
      <c r="AF46" s="337">
        <f t="shared" ref="AF46:AH46" si="94">AE46*0</f>
        <v>0</v>
      </c>
      <c r="AG46" s="337">
        <f t="shared" si="94"/>
        <v>0</v>
      </c>
      <c r="AH46" s="337">
        <f t="shared" si="94"/>
        <v>0</v>
      </c>
      <c r="AI46" s="337">
        <f t="shared" si="47"/>
        <v>0</v>
      </c>
      <c r="AJ46" s="337" t="s">
        <v>40</v>
      </c>
      <c r="AK46" s="337">
        <f t="shared" si="48"/>
        <v>0</v>
      </c>
      <c r="AL46" s="337">
        <f t="shared" ref="AL46:AM46" si="95">AK46*0</f>
        <v>0</v>
      </c>
      <c r="AM46" s="337">
        <f t="shared" si="95"/>
        <v>0</v>
      </c>
      <c r="AN46" s="337">
        <f t="shared" si="74"/>
        <v>0</v>
      </c>
      <c r="AO46" s="294" t="s">
        <v>614</v>
      </c>
      <c r="AP46" s="282" t="s">
        <v>419</v>
      </c>
      <c r="AQ46" s="136" t="s">
        <v>40</v>
      </c>
      <c r="AR46" s="289"/>
      <c r="AS46" s="142"/>
      <c r="AT46" s="142" t="s">
        <v>219</v>
      </c>
      <c r="AU46" s="146"/>
      <c r="AV46" s="48"/>
      <c r="AW46" s="131" t="s">
        <v>284</v>
      </c>
      <c r="AX46" s="131"/>
      <c r="AY46" s="131"/>
      <c r="AZ46" s="48"/>
      <c r="BA46" s="48"/>
      <c r="BB46" s="50"/>
      <c r="BC46" s="56" t="s">
        <v>65</v>
      </c>
      <c r="BD46" s="52">
        <v>6.355263499713149</v>
      </c>
      <c r="BE46" s="53">
        <v>9.2853838394689685</v>
      </c>
      <c r="BF46" s="54">
        <v>6.355263499713149</v>
      </c>
      <c r="BG46" s="53">
        <v>9.2853838394689685</v>
      </c>
      <c r="BH46" s="450">
        <v>5503.8651198970774</v>
      </c>
      <c r="BI46" s="347">
        <f t="shared" si="75"/>
        <v>0</v>
      </c>
      <c r="BJ46" s="347">
        <f t="shared" si="19"/>
        <v>5503.8651198970774</v>
      </c>
      <c r="BK46" s="45">
        <v>1771.0368227742213</v>
      </c>
      <c r="BL46" s="47">
        <v>9.5972229204139463</v>
      </c>
      <c r="BM46" s="45">
        <v>3732.8282971228564</v>
      </c>
      <c r="BN46" s="55">
        <v>3.1077078969344116</v>
      </c>
      <c r="BO46" s="47">
        <f t="shared" si="20"/>
        <v>3.1077078969344116</v>
      </c>
      <c r="BP46" s="45">
        <v>842.21758853655956</v>
      </c>
      <c r="BQ46" s="55">
        <v>6.5349681540854707</v>
      </c>
      <c r="BR46" s="54">
        <v>6.2910458588937237</v>
      </c>
      <c r="BS46" s="53">
        <v>9.1915583915862129</v>
      </c>
      <c r="BT46" s="54">
        <v>12.646309358606873</v>
      </c>
      <c r="BU46" s="53">
        <v>18.476942231055183</v>
      </c>
      <c r="BV46" s="450">
        <v>6535.0597079833406</v>
      </c>
      <c r="BW46" s="347">
        <f t="shared" si="76"/>
        <v>0</v>
      </c>
      <c r="BX46" s="347">
        <f t="shared" si="21"/>
        <v>6535.0597079833406</v>
      </c>
      <c r="BY46" s="45">
        <v>1753.1411357475508</v>
      </c>
      <c r="BZ46" s="47">
        <v>9.5002464513194855</v>
      </c>
      <c r="CA46" s="45">
        <v>4781.9185722357897</v>
      </c>
      <c r="CB46" s="55">
        <v>3.727628982475931</v>
      </c>
      <c r="CC46" s="47">
        <f t="shared" si="22"/>
        <v>3.727628982475931</v>
      </c>
      <c r="CD46" s="45">
        <v>833.70728418885096</v>
      </c>
      <c r="CE46" s="55">
        <v>7.8385541687351052</v>
      </c>
      <c r="CF46" s="52">
        <v>7.1107251162874352</v>
      </c>
      <c r="CG46" s="53">
        <v>10.389154137300773</v>
      </c>
      <c r="CH46" s="54">
        <v>19.757034474894308</v>
      </c>
      <c r="CI46" s="53">
        <v>28.866096368355954</v>
      </c>
      <c r="CJ46" s="450">
        <v>8951.083831808648</v>
      </c>
      <c r="CK46" s="347">
        <f t="shared" si="77"/>
        <v>0</v>
      </c>
      <c r="CL46" s="347">
        <f t="shared" si="23"/>
        <v>8951.083831808648</v>
      </c>
      <c r="CM46" s="45">
        <v>1981.5631591261272</v>
      </c>
      <c r="CN46" s="47">
        <v>10.738062091347924</v>
      </c>
      <c r="CO46" s="45">
        <v>6969.5206726825209</v>
      </c>
      <c r="CP46" s="55">
        <v>4.5171832099240739</v>
      </c>
      <c r="CQ46" s="47">
        <f t="shared" si="24"/>
        <v>4.5171832099240739</v>
      </c>
      <c r="CR46" s="45">
        <v>942.33350992547514</v>
      </c>
      <c r="CS46" s="55">
        <v>9.4988491203252963</v>
      </c>
    </row>
    <row r="47" spans="1:97" s="23" customFormat="1" ht="15" customHeight="1">
      <c r="A47" s="377" t="str">
        <f t="shared" si="68"/>
        <v>BNI - Efficient Product Rebates; Refrigerated Vending Machine Controller; COM-Refrigeration; Other Commercial</v>
      </c>
      <c r="B47" s="42" t="s">
        <v>65</v>
      </c>
      <c r="C47" s="15" t="s">
        <v>46</v>
      </c>
      <c r="D47" s="15" t="s">
        <v>56</v>
      </c>
      <c r="E47" s="43">
        <v>5</v>
      </c>
      <c r="F47" s="44">
        <v>1179.8870280000001</v>
      </c>
      <c r="G47" s="44">
        <v>807.55874958662628</v>
      </c>
      <c r="H47" s="45">
        <v>179</v>
      </c>
      <c r="I47" s="46">
        <v>0.27932960893854747</v>
      </c>
      <c r="J47" s="45">
        <v>37.756384896000007</v>
      </c>
      <c r="K47" s="45">
        <v>87.756384896000014</v>
      </c>
      <c r="L47" s="45">
        <v>129</v>
      </c>
      <c r="M47" s="45">
        <v>216.75638489600001</v>
      </c>
      <c r="N47" s="45">
        <v>699.37217147930187</v>
      </c>
      <c r="O47" s="47">
        <v>0.82</v>
      </c>
      <c r="P47" s="47">
        <v>3.1077078969344125</v>
      </c>
      <c r="Q47" s="310">
        <f t="shared" si="69"/>
        <v>3.1077078969344125</v>
      </c>
      <c r="R47" s="311">
        <f t="shared" si="18"/>
        <v>0</v>
      </c>
      <c r="S47" s="311">
        <f t="shared" si="70"/>
        <v>0</v>
      </c>
      <c r="T47" s="310">
        <f t="shared" si="71"/>
        <v>3.1077078969344125</v>
      </c>
      <c r="U47" s="316">
        <f t="shared" si="45"/>
        <v>0</v>
      </c>
      <c r="V47" s="48">
        <v>7.4376938480927177E-2</v>
      </c>
      <c r="W47" s="49">
        <v>0.10866873145875865</v>
      </c>
      <c r="X47" s="48" t="s">
        <v>40</v>
      </c>
      <c r="Y47" s="48" t="s">
        <v>523</v>
      </c>
      <c r="Z47" s="246" t="s">
        <v>40</v>
      </c>
      <c r="AA47" s="246"/>
      <c r="AB47" s="386">
        <v>0</v>
      </c>
      <c r="AC47" s="388">
        <v>0</v>
      </c>
      <c r="AD47" s="337">
        <f t="shared" si="50"/>
        <v>0</v>
      </c>
      <c r="AE47" s="337">
        <f t="shared" si="51"/>
        <v>0</v>
      </c>
      <c r="AF47" s="337">
        <f t="shared" ref="AF47:AH47" si="96">AE47*0</f>
        <v>0</v>
      </c>
      <c r="AG47" s="337">
        <f t="shared" si="96"/>
        <v>0</v>
      </c>
      <c r="AH47" s="337">
        <f t="shared" si="96"/>
        <v>0</v>
      </c>
      <c r="AI47" s="337">
        <f t="shared" si="47"/>
        <v>0</v>
      </c>
      <c r="AJ47" s="337" t="s">
        <v>40</v>
      </c>
      <c r="AK47" s="337">
        <f t="shared" si="48"/>
        <v>0</v>
      </c>
      <c r="AL47" s="337">
        <f t="shared" ref="AL47:AM47" si="97">AK47*0</f>
        <v>0</v>
      </c>
      <c r="AM47" s="337">
        <f t="shared" si="97"/>
        <v>0</v>
      </c>
      <c r="AN47" s="337">
        <f t="shared" si="74"/>
        <v>0</v>
      </c>
      <c r="AO47" s="294" t="s">
        <v>614</v>
      </c>
      <c r="AP47" s="282" t="s">
        <v>419</v>
      </c>
      <c r="AQ47" s="136" t="s">
        <v>40</v>
      </c>
      <c r="AR47" s="289"/>
      <c r="AS47" s="142"/>
      <c r="AT47" s="142" t="s">
        <v>219</v>
      </c>
      <c r="AU47" s="146"/>
      <c r="AV47" s="48"/>
      <c r="AW47" s="131" t="s">
        <v>284</v>
      </c>
      <c r="AX47" s="131"/>
      <c r="AY47" s="131"/>
      <c r="AZ47" s="48"/>
      <c r="BA47" s="48"/>
      <c r="BB47" s="50"/>
      <c r="BC47" s="51" t="s">
        <v>65</v>
      </c>
      <c r="BD47" s="52">
        <v>8.6211494870444767</v>
      </c>
      <c r="BE47" s="53">
        <v>12.59596586801824</v>
      </c>
      <c r="BF47" s="54">
        <v>8.6211494870444767</v>
      </c>
      <c r="BG47" s="53">
        <v>12.59596586801824</v>
      </c>
      <c r="BH47" s="450">
        <v>7466.1961628033796</v>
      </c>
      <c r="BI47" s="347">
        <f t="shared" si="75"/>
        <v>0</v>
      </c>
      <c r="BJ47" s="347">
        <f t="shared" si="19"/>
        <v>7466.1961628033796</v>
      </c>
      <c r="BK47" s="45">
        <v>2402.4768126272047</v>
      </c>
      <c r="BL47" s="47">
        <v>13.018987090167499</v>
      </c>
      <c r="BM47" s="45">
        <v>5063.7193501761749</v>
      </c>
      <c r="BN47" s="55">
        <v>3.1077078969344121</v>
      </c>
      <c r="BO47" s="47">
        <f t="shared" si="20"/>
        <v>3.1077078969344121</v>
      </c>
      <c r="BP47" s="45">
        <v>1142.4992420407941</v>
      </c>
      <c r="BQ47" s="55">
        <v>6.5349681540854725</v>
      </c>
      <c r="BR47" s="54">
        <v>8.5340358872331432</v>
      </c>
      <c r="BS47" s="53">
        <v>12.468688185208924</v>
      </c>
      <c r="BT47" s="54">
        <v>17.155185374277622</v>
      </c>
      <c r="BU47" s="53">
        <v>25.064654053227166</v>
      </c>
      <c r="BV47" s="450">
        <v>8865.0496791877395</v>
      </c>
      <c r="BW47" s="347">
        <f t="shared" si="76"/>
        <v>0</v>
      </c>
      <c r="BX47" s="347">
        <f t="shared" si="21"/>
        <v>8865.0496791877395</v>
      </c>
      <c r="BY47" s="45">
        <v>2378.2006527107428</v>
      </c>
      <c r="BZ47" s="47">
        <v>12.887434930791757</v>
      </c>
      <c r="CA47" s="45">
        <v>6486.8490264769971</v>
      </c>
      <c r="CB47" s="55">
        <v>3.7276289824759301</v>
      </c>
      <c r="CC47" s="47">
        <f t="shared" si="22"/>
        <v>3.7276289824759301</v>
      </c>
      <c r="CD47" s="45">
        <v>1130.9547001087167</v>
      </c>
      <c r="CE47" s="55">
        <v>7.8385541687351035</v>
      </c>
      <c r="CF47" s="52">
        <v>9.6459610512707563</v>
      </c>
      <c r="CG47" s="53">
        <v>14.093271013178173</v>
      </c>
      <c r="CH47" s="54">
        <v>26.801146425548382</v>
      </c>
      <c r="CI47" s="53">
        <v>39.15792506640534</v>
      </c>
      <c r="CJ47" s="450">
        <v>12142.475569828432</v>
      </c>
      <c r="CK47" s="347">
        <f t="shared" si="77"/>
        <v>0</v>
      </c>
      <c r="CL47" s="347">
        <f t="shared" si="23"/>
        <v>12142.475569828432</v>
      </c>
      <c r="CM47" s="45">
        <v>2688.0635576506816</v>
      </c>
      <c r="CN47" s="47">
        <v>14.566577529767942</v>
      </c>
      <c r="CO47" s="45">
        <v>9454.4120121777505</v>
      </c>
      <c r="CP47" s="55">
        <v>4.5171832099240739</v>
      </c>
      <c r="CQ47" s="47">
        <f t="shared" si="24"/>
        <v>4.5171832099240739</v>
      </c>
      <c r="CR47" s="45">
        <v>1278.3101843197405</v>
      </c>
      <c r="CS47" s="55">
        <v>9.4988491203252945</v>
      </c>
    </row>
    <row r="48" spans="1:97" s="23" customFormat="1" ht="15" customHeight="1">
      <c r="A48" s="377" t="str">
        <f t="shared" si="68"/>
        <v>BNI - Efficient Product Rebates; Refrigerated Vending Machine Controller; COM-Refrigeration; Retail</v>
      </c>
      <c r="B48" s="42" t="s">
        <v>65</v>
      </c>
      <c r="C48" s="15" t="s">
        <v>46</v>
      </c>
      <c r="D48" s="15" t="s">
        <v>30</v>
      </c>
      <c r="E48" s="43">
        <v>5</v>
      </c>
      <c r="F48" s="44">
        <v>1179.8870280000001</v>
      </c>
      <c r="G48" s="44">
        <v>819.98835352201229</v>
      </c>
      <c r="H48" s="45">
        <v>179</v>
      </c>
      <c r="I48" s="46">
        <v>0.27932960893854747</v>
      </c>
      <c r="J48" s="45">
        <v>37.756384896000007</v>
      </c>
      <c r="K48" s="45">
        <v>87.756384896000014</v>
      </c>
      <c r="L48" s="45">
        <v>129</v>
      </c>
      <c r="M48" s="45">
        <v>216.75638489600001</v>
      </c>
      <c r="N48" s="45">
        <v>705.50265876008802</v>
      </c>
      <c r="O48" s="47">
        <v>0.82</v>
      </c>
      <c r="P48" s="47">
        <v>3.1349491348782341</v>
      </c>
      <c r="Q48" s="310">
        <f t="shared" si="69"/>
        <v>3.1349491348782341</v>
      </c>
      <c r="R48" s="311">
        <f t="shared" si="18"/>
        <v>0</v>
      </c>
      <c r="S48" s="311">
        <f t="shared" si="70"/>
        <v>0</v>
      </c>
      <c r="T48" s="310">
        <f t="shared" si="71"/>
        <v>3.1349491348782341</v>
      </c>
      <c r="U48" s="316">
        <f t="shared" si="45"/>
        <v>0</v>
      </c>
      <c r="V48" s="48">
        <v>7.4376938480927177E-2</v>
      </c>
      <c r="W48" s="49">
        <v>0.10702150160922283</v>
      </c>
      <c r="X48" s="48" t="s">
        <v>40</v>
      </c>
      <c r="Y48" s="48" t="s">
        <v>524</v>
      </c>
      <c r="Z48" s="246" t="s">
        <v>40</v>
      </c>
      <c r="AA48" s="246"/>
      <c r="AB48" s="386">
        <v>0</v>
      </c>
      <c r="AC48" s="388">
        <v>0</v>
      </c>
      <c r="AD48" s="337">
        <f t="shared" si="50"/>
        <v>0</v>
      </c>
      <c r="AE48" s="337">
        <f t="shared" si="51"/>
        <v>0</v>
      </c>
      <c r="AF48" s="337">
        <f t="shared" ref="AF48:AH48" si="98">AE48*0</f>
        <v>0</v>
      </c>
      <c r="AG48" s="337">
        <f t="shared" si="98"/>
        <v>0</v>
      </c>
      <c r="AH48" s="337">
        <f t="shared" si="98"/>
        <v>0</v>
      </c>
      <c r="AI48" s="337">
        <f t="shared" si="47"/>
        <v>0</v>
      </c>
      <c r="AJ48" s="337" t="s">
        <v>40</v>
      </c>
      <c r="AK48" s="337">
        <f t="shared" si="48"/>
        <v>0</v>
      </c>
      <c r="AL48" s="337">
        <f t="shared" ref="AL48:AM48" si="99">AK48*0</f>
        <v>0</v>
      </c>
      <c r="AM48" s="337">
        <f t="shared" si="99"/>
        <v>0</v>
      </c>
      <c r="AN48" s="337">
        <f t="shared" si="74"/>
        <v>0</v>
      </c>
      <c r="AO48" s="294" t="s">
        <v>614</v>
      </c>
      <c r="AP48" s="282" t="s">
        <v>419</v>
      </c>
      <c r="AQ48" s="136" t="s">
        <v>40</v>
      </c>
      <c r="AR48" s="289"/>
      <c r="AS48" s="142"/>
      <c r="AT48" s="142" t="s">
        <v>219</v>
      </c>
      <c r="AU48" s="146"/>
      <c r="AV48" s="48"/>
      <c r="AW48" s="131" t="s">
        <v>284</v>
      </c>
      <c r="AX48" s="131"/>
      <c r="AY48" s="131"/>
      <c r="AZ48" s="48"/>
      <c r="BA48" s="48"/>
      <c r="BB48" s="50"/>
      <c r="BC48" s="51" t="s">
        <v>65</v>
      </c>
      <c r="BD48" s="52">
        <v>12.524492491002686</v>
      </c>
      <c r="BE48" s="53">
        <v>18.021580622389635</v>
      </c>
      <c r="BF48" s="54">
        <v>12.524492491002686</v>
      </c>
      <c r="BG48" s="53">
        <v>18.021580622389635</v>
      </c>
      <c r="BH48" s="450">
        <v>10775.839332437485</v>
      </c>
      <c r="BI48" s="347">
        <f t="shared" si="75"/>
        <v>0</v>
      </c>
      <c r="BJ48" s="347">
        <f t="shared" si="19"/>
        <v>10775.839332437485</v>
      </c>
      <c r="BK48" s="45">
        <v>3437.3250948634713</v>
      </c>
      <c r="BL48" s="47">
        <v>18.626814960099384</v>
      </c>
      <c r="BM48" s="45">
        <v>7338.5142375740134</v>
      </c>
      <c r="BN48" s="55">
        <v>3.1349491348782346</v>
      </c>
      <c r="BO48" s="47">
        <f t="shared" si="20"/>
        <v>3.1349491348782346</v>
      </c>
      <c r="BP48" s="45">
        <v>1634.6219430250526</v>
      </c>
      <c r="BQ48" s="55">
        <v>6.5922517303882371</v>
      </c>
      <c r="BR48" s="54">
        <v>12.397937020837031</v>
      </c>
      <c r="BS48" s="53">
        <v>17.83947906334976</v>
      </c>
      <c r="BT48" s="54">
        <v>24.922429511839717</v>
      </c>
      <c r="BU48" s="53">
        <v>35.861059685739392</v>
      </c>
      <c r="BV48" s="450">
        <v>12808.382586803842</v>
      </c>
      <c r="BW48" s="347">
        <f t="shared" si="76"/>
        <v>0</v>
      </c>
      <c r="BX48" s="347">
        <f t="shared" si="21"/>
        <v>12808.382586803842</v>
      </c>
      <c r="BY48" s="45">
        <v>3402.5921670578009</v>
      </c>
      <c r="BZ48" s="47">
        <v>18.438597726813686</v>
      </c>
      <c r="CA48" s="45">
        <v>9405.7904197460412</v>
      </c>
      <c r="CB48" s="55">
        <v>3.7643014378297255</v>
      </c>
      <c r="CC48" s="47">
        <f t="shared" si="22"/>
        <v>3.7643014378297255</v>
      </c>
      <c r="CD48" s="45">
        <v>1618.1046790567725</v>
      </c>
      <c r="CE48" s="55">
        <v>7.9156699517549871</v>
      </c>
      <c r="CF48" s="52">
        <v>14.013301467129709</v>
      </c>
      <c r="CG48" s="53">
        <v>20.163838363682153</v>
      </c>
      <c r="CH48" s="54">
        <v>38.935730978969424</v>
      </c>
      <c r="CI48" s="53">
        <v>56.024898049421544</v>
      </c>
      <c r="CJ48" s="450">
        <v>17554.484535426815</v>
      </c>
      <c r="CK48" s="347">
        <f t="shared" si="77"/>
        <v>0</v>
      </c>
      <c r="CL48" s="347">
        <f t="shared" si="23"/>
        <v>17554.484535426815</v>
      </c>
      <c r="CM48" s="45">
        <v>3845.9261187193861</v>
      </c>
      <c r="CN48" s="47">
        <v>20.841017997002876</v>
      </c>
      <c r="CO48" s="45">
        <v>13708.558416707428</v>
      </c>
      <c r="CP48" s="55">
        <v>4.5644362355229262</v>
      </c>
      <c r="CQ48" s="47">
        <f t="shared" si="24"/>
        <v>4.5644362355229262</v>
      </c>
      <c r="CR48" s="45">
        <v>1828.9323969694474</v>
      </c>
      <c r="CS48" s="55">
        <v>9.5982139987867825</v>
      </c>
    </row>
    <row r="49" spans="1:97" s="23" customFormat="1" ht="15" customHeight="1">
      <c r="A49" s="377" t="str">
        <f t="shared" si="68"/>
        <v>BNI - Efficient Product Rebates; Strip Curtains for 3' Open Refrigerated Display Cases; COM-Refrigeration; Other Commercial</v>
      </c>
      <c r="B49" s="42" t="s">
        <v>67</v>
      </c>
      <c r="C49" s="15" t="s">
        <v>46</v>
      </c>
      <c r="D49" s="15" t="s">
        <v>56</v>
      </c>
      <c r="E49" s="43">
        <v>4</v>
      </c>
      <c r="F49" s="44">
        <v>923.60067845719777</v>
      </c>
      <c r="G49" s="44">
        <v>93.51513563583903</v>
      </c>
      <c r="H49" s="45">
        <v>55</v>
      </c>
      <c r="I49" s="46">
        <v>0.43636363636363634</v>
      </c>
      <c r="J49" s="45">
        <v>29.555221710630331</v>
      </c>
      <c r="K49" s="45">
        <v>53.555221710630335</v>
      </c>
      <c r="L49" s="45">
        <v>31</v>
      </c>
      <c r="M49" s="45">
        <v>84.555221710630335</v>
      </c>
      <c r="N49" s="45">
        <v>225.42058521995119</v>
      </c>
      <c r="O49" s="47">
        <v>0.82</v>
      </c>
      <c r="P49" s="47">
        <v>2.4759805897681701</v>
      </c>
      <c r="Q49" s="310">
        <f t="shared" si="69"/>
        <v>2.4759805897681701</v>
      </c>
      <c r="R49" s="311">
        <f t="shared" si="18"/>
        <v>0</v>
      </c>
      <c r="S49" s="311">
        <f t="shared" si="70"/>
        <v>0</v>
      </c>
      <c r="T49" s="310">
        <f t="shared" si="71"/>
        <v>2.4759805897681701</v>
      </c>
      <c r="U49" s="316">
        <f t="shared" si="45"/>
        <v>0</v>
      </c>
      <c r="V49" s="48">
        <v>5.7985255922602952E-2</v>
      </c>
      <c r="W49" s="49">
        <v>0.57269041365861706</v>
      </c>
      <c r="X49" s="226" t="s">
        <v>40</v>
      </c>
      <c r="Y49" s="226" t="s">
        <v>515</v>
      </c>
      <c r="Z49" s="248" t="s">
        <v>40</v>
      </c>
      <c r="AA49" s="248"/>
      <c r="AB49" s="386">
        <v>0</v>
      </c>
      <c r="AC49" s="390">
        <v>0</v>
      </c>
      <c r="AD49" s="337">
        <f t="shared" si="50"/>
        <v>0</v>
      </c>
      <c r="AE49" s="337">
        <f t="shared" si="51"/>
        <v>0</v>
      </c>
      <c r="AF49" s="337">
        <f t="shared" ref="AF49:AH49" si="100">AE49*0</f>
        <v>0</v>
      </c>
      <c r="AG49" s="337">
        <f t="shared" si="100"/>
        <v>0</v>
      </c>
      <c r="AH49" s="337">
        <f t="shared" si="100"/>
        <v>0</v>
      </c>
      <c r="AI49" s="337">
        <f t="shared" si="47"/>
        <v>0</v>
      </c>
      <c r="AJ49" s="337" t="s">
        <v>40</v>
      </c>
      <c r="AK49" s="337">
        <f t="shared" si="48"/>
        <v>0</v>
      </c>
      <c r="AL49" s="337">
        <f t="shared" ref="AL49:AM49" si="101">AK49*0</f>
        <v>0</v>
      </c>
      <c r="AM49" s="337">
        <f t="shared" si="101"/>
        <v>0</v>
      </c>
      <c r="AN49" s="337">
        <f t="shared" si="74"/>
        <v>0</v>
      </c>
      <c r="AO49" s="294" t="s">
        <v>610</v>
      </c>
      <c r="AP49" s="282" t="s">
        <v>356</v>
      </c>
      <c r="AQ49" s="136"/>
      <c r="AR49" s="496" t="s">
        <v>589</v>
      </c>
      <c r="AS49" s="142"/>
      <c r="AT49" s="142" t="s">
        <v>219</v>
      </c>
      <c r="AU49" s="146"/>
      <c r="AV49" s="48"/>
      <c r="AW49" s="131" t="s">
        <v>284</v>
      </c>
      <c r="AX49" s="131"/>
      <c r="AY49" s="131"/>
      <c r="AZ49" s="48"/>
      <c r="BA49" s="48"/>
      <c r="BB49" s="50"/>
      <c r="BC49" s="51" t="s">
        <v>67</v>
      </c>
      <c r="BD49" s="52">
        <v>5.9580800520261414</v>
      </c>
      <c r="BE49" s="53">
        <v>58.844878328387914</v>
      </c>
      <c r="BF49" s="54">
        <v>5.9580800520261414</v>
      </c>
      <c r="BG49" s="53">
        <v>58.844878328387914</v>
      </c>
      <c r="BH49" s="450">
        <v>14362.101738751326</v>
      </c>
      <c r="BI49" s="347">
        <f t="shared" si="75"/>
        <v>0</v>
      </c>
      <c r="BJ49" s="347">
        <f t="shared" si="19"/>
        <v>14362.101738751326</v>
      </c>
      <c r="BK49" s="45">
        <v>5800.5712153406166</v>
      </c>
      <c r="BL49" s="47">
        <v>77.698131254958952</v>
      </c>
      <c r="BM49" s="45">
        <v>8561.5305234107091</v>
      </c>
      <c r="BN49" s="55">
        <v>2.4759805897681693</v>
      </c>
      <c r="BO49" s="47">
        <f t="shared" si="20"/>
        <v>2.4759805897681693</v>
      </c>
      <c r="BP49" s="45">
        <v>4161.1406458609827</v>
      </c>
      <c r="BQ49" s="55">
        <v>3.4514819279269182</v>
      </c>
      <c r="BR49" s="54">
        <v>5.4500617591733302</v>
      </c>
      <c r="BS49" s="53">
        <v>53.827444126349462</v>
      </c>
      <c r="BT49" s="54">
        <v>11.408141811199473</v>
      </c>
      <c r="BU49" s="53">
        <v>112.67232245473738</v>
      </c>
      <c r="BV49" s="450">
        <v>14111.02832713542</v>
      </c>
      <c r="BW49" s="347">
        <f t="shared" si="76"/>
        <v>0</v>
      </c>
      <c r="BX49" s="347">
        <f t="shared" si="21"/>
        <v>14111.02832713542</v>
      </c>
      <c r="BY49" s="45">
        <v>5305.9829821082685</v>
      </c>
      <c r="BZ49" s="47">
        <v>71.073166223719596</v>
      </c>
      <c r="CA49" s="45">
        <v>8805.0453450271525</v>
      </c>
      <c r="CB49" s="55">
        <v>2.6594560093233794</v>
      </c>
      <c r="CC49" s="47">
        <f t="shared" si="22"/>
        <v>2.6594560093233794</v>
      </c>
      <c r="CD49" s="45">
        <v>3806.3391747877859</v>
      </c>
      <c r="CE49" s="55">
        <v>3.707244068159572</v>
      </c>
      <c r="CF49" s="52">
        <v>5.6814786521002265</v>
      </c>
      <c r="CG49" s="53">
        <v>56.113029212233947</v>
      </c>
      <c r="CH49" s="54">
        <v>17.089620463299699</v>
      </c>
      <c r="CI49" s="53">
        <v>168.78535166697134</v>
      </c>
      <c r="CJ49" s="450">
        <v>15905.926382110632</v>
      </c>
      <c r="CK49" s="347">
        <f t="shared" si="77"/>
        <v>0</v>
      </c>
      <c r="CL49" s="347">
        <f t="shared" si="23"/>
        <v>15905.926382110632</v>
      </c>
      <c r="CM49" s="45">
        <v>5531.2820979532844</v>
      </c>
      <c r="CN49" s="47">
        <v>74.091027676442806</v>
      </c>
      <c r="CO49" s="45">
        <v>10374.644284157348</v>
      </c>
      <c r="CP49" s="55">
        <v>2.8756310201564719</v>
      </c>
      <c r="CQ49" s="47">
        <f t="shared" si="24"/>
        <v>2.8756310201564719</v>
      </c>
      <c r="CR49" s="45">
        <v>3967.9614139803421</v>
      </c>
      <c r="CS49" s="55">
        <v>4.0085889762106017</v>
      </c>
    </row>
    <row r="50" spans="1:97" s="23" customFormat="1" ht="15" customHeight="1">
      <c r="A50" s="377" t="str">
        <f t="shared" si="68"/>
        <v>BNI - Efficient Product Rebates; Strip Curtains for 3' Open Refrigerated Display Cases; COM-Refrigeration; Retail</v>
      </c>
      <c r="B50" s="42" t="s">
        <v>67</v>
      </c>
      <c r="C50" s="15" t="s">
        <v>46</v>
      </c>
      <c r="D50" s="15" t="s">
        <v>30</v>
      </c>
      <c r="E50" s="43">
        <v>4</v>
      </c>
      <c r="F50" s="44">
        <v>923.60067845719777</v>
      </c>
      <c r="G50" s="44">
        <v>93.577382383921844</v>
      </c>
      <c r="H50" s="45">
        <v>55</v>
      </c>
      <c r="I50" s="46">
        <v>0.43636363636363634</v>
      </c>
      <c r="J50" s="45">
        <v>29.555221710630331</v>
      </c>
      <c r="K50" s="45">
        <v>53.555221710630335</v>
      </c>
      <c r="L50" s="45">
        <v>31</v>
      </c>
      <c r="M50" s="45">
        <v>84.555221710630335</v>
      </c>
      <c r="N50" s="45">
        <v>225.44192394072667</v>
      </c>
      <c r="O50" s="47">
        <v>0.82</v>
      </c>
      <c r="P50" s="47">
        <v>2.4762149705741598</v>
      </c>
      <c r="Q50" s="310">
        <f t="shared" si="69"/>
        <v>2.4762149705741598</v>
      </c>
      <c r="R50" s="311">
        <f t="shared" si="18"/>
        <v>0</v>
      </c>
      <c r="S50" s="311">
        <f t="shared" si="70"/>
        <v>0</v>
      </c>
      <c r="T50" s="310">
        <f t="shared" si="71"/>
        <v>2.4762149705741598</v>
      </c>
      <c r="U50" s="316">
        <f t="shared" si="45"/>
        <v>0</v>
      </c>
      <c r="V50" s="48">
        <v>5.7985255922602952E-2</v>
      </c>
      <c r="W50" s="49">
        <v>0.57230946566669527</v>
      </c>
      <c r="X50" s="226" t="s">
        <v>40</v>
      </c>
      <c r="Y50" s="226" t="s">
        <v>515</v>
      </c>
      <c r="Z50" s="248" t="s">
        <v>40</v>
      </c>
      <c r="AA50" s="248"/>
      <c r="AB50" s="386">
        <v>0</v>
      </c>
      <c r="AC50" s="390">
        <v>0</v>
      </c>
      <c r="AD50" s="337">
        <f t="shared" si="50"/>
        <v>0</v>
      </c>
      <c r="AE50" s="337">
        <f t="shared" si="51"/>
        <v>0</v>
      </c>
      <c r="AF50" s="337">
        <f t="shared" ref="AF50:AH50" si="102">AE50*0</f>
        <v>0</v>
      </c>
      <c r="AG50" s="337">
        <f t="shared" si="102"/>
        <v>0</v>
      </c>
      <c r="AH50" s="337">
        <f t="shared" si="102"/>
        <v>0</v>
      </c>
      <c r="AI50" s="337">
        <f t="shared" si="47"/>
        <v>0</v>
      </c>
      <c r="AJ50" s="337" t="s">
        <v>40</v>
      </c>
      <c r="AK50" s="337">
        <f t="shared" si="48"/>
        <v>0</v>
      </c>
      <c r="AL50" s="337">
        <f t="shared" ref="AL50:AM50" si="103">AK50*0</f>
        <v>0</v>
      </c>
      <c r="AM50" s="337">
        <f t="shared" si="103"/>
        <v>0</v>
      </c>
      <c r="AN50" s="337">
        <f t="shared" si="74"/>
        <v>0</v>
      </c>
      <c r="AO50" s="294" t="s">
        <v>610</v>
      </c>
      <c r="AP50" s="282" t="s">
        <v>356</v>
      </c>
      <c r="AQ50" s="136"/>
      <c r="AR50" s="496" t="s">
        <v>589</v>
      </c>
      <c r="AS50" s="142"/>
      <c r="AT50" s="142" t="s">
        <v>219</v>
      </c>
      <c r="AU50" s="146"/>
      <c r="AV50" s="48"/>
      <c r="AW50" s="131" t="s">
        <v>284</v>
      </c>
      <c r="AX50" s="131"/>
      <c r="AY50" s="131"/>
      <c r="AZ50" s="48"/>
      <c r="BA50" s="48"/>
      <c r="BB50" s="50"/>
      <c r="BC50" s="51" t="s">
        <v>67</v>
      </c>
      <c r="BD50" s="52">
        <v>8.5301510670260914</v>
      </c>
      <c r="BE50" s="53">
        <v>84.191853973052972</v>
      </c>
      <c r="BF50" s="54">
        <v>8.5301510670260914</v>
      </c>
      <c r="BG50" s="53">
        <v>84.191853973052972</v>
      </c>
      <c r="BH50" s="450">
        <v>20550.410997452916</v>
      </c>
      <c r="BI50" s="347">
        <f t="shared" si="75"/>
        <v>0</v>
      </c>
      <c r="BJ50" s="347">
        <f t="shared" si="19"/>
        <v>20550.410997452916</v>
      </c>
      <c r="BK50" s="45">
        <v>8299.1223466708525</v>
      </c>
      <c r="BL50" s="47">
        <v>111.16599959797752</v>
      </c>
      <c r="BM50" s="45">
        <v>12251.288650782064</v>
      </c>
      <c r="BN50" s="55">
        <v>2.4762149705741598</v>
      </c>
      <c r="BO50" s="47">
        <f t="shared" si="20"/>
        <v>2.4762149705741598</v>
      </c>
      <c r="BP50" s="45">
        <v>5953.5197551535275</v>
      </c>
      <c r="BQ50" s="55">
        <v>3.4518086514559601</v>
      </c>
      <c r="BR50" s="54">
        <v>7.8028240178748254</v>
      </c>
      <c r="BS50" s="53">
        <v>77.013198843543805</v>
      </c>
      <c r="BT50" s="54">
        <v>16.332975084900916</v>
      </c>
      <c r="BU50" s="53">
        <v>161.20505281659678</v>
      </c>
      <c r="BV50" s="450">
        <v>20191.978809695247</v>
      </c>
      <c r="BW50" s="347">
        <f t="shared" si="76"/>
        <v>0</v>
      </c>
      <c r="BX50" s="347">
        <f t="shared" si="21"/>
        <v>20191.978809695247</v>
      </c>
      <c r="BY50" s="45">
        <v>7591.4940620695734</v>
      </c>
      <c r="BZ50" s="47">
        <v>101.68738218332294</v>
      </c>
      <c r="CA50" s="45">
        <v>12600.484747625673</v>
      </c>
      <c r="CB50" s="55">
        <v>2.6598161896198023</v>
      </c>
      <c r="CC50" s="47">
        <f t="shared" si="22"/>
        <v>2.6598161896198023</v>
      </c>
      <c r="CD50" s="45">
        <v>5445.89029800146</v>
      </c>
      <c r="CE50" s="55">
        <v>3.7077461543992771</v>
      </c>
      <c r="CF50" s="52">
        <v>8.1341423349989714</v>
      </c>
      <c r="CG50" s="53">
        <v>80.283282005580787</v>
      </c>
      <c r="CH50" s="54">
        <v>24.467117419899889</v>
      </c>
      <c r="CI50" s="53">
        <v>241.48833482217756</v>
      </c>
      <c r="CJ50" s="450">
        <v>22761.118247483428</v>
      </c>
      <c r="CK50" s="347">
        <f t="shared" si="77"/>
        <v>0</v>
      </c>
      <c r="CL50" s="347">
        <f t="shared" si="23"/>
        <v>22761.118247483428</v>
      </c>
      <c r="CM50" s="45">
        <v>7913.8390273463729</v>
      </c>
      <c r="CN50" s="47">
        <v>106.00516408645939</v>
      </c>
      <c r="CO50" s="45">
        <v>14847.279220137054</v>
      </c>
      <c r="CP50" s="55">
        <v>2.8761158988491036</v>
      </c>
      <c r="CQ50" s="47">
        <f t="shared" si="24"/>
        <v>2.8761158988491036</v>
      </c>
      <c r="CR50" s="45">
        <v>5677.1300651220809</v>
      </c>
      <c r="CS50" s="55">
        <v>4.0092648902511927</v>
      </c>
    </row>
    <row r="51" spans="1:97" s="23" customFormat="1" ht="15" customHeight="1">
      <c r="A51" s="377" t="str">
        <f t="shared" si="68"/>
        <v>BNI - Efficient Product Rebates; Strip Curtains for 3' Open Refrigerated Display Cases; COM-Refrigeration; School</v>
      </c>
      <c r="B51" s="42" t="s">
        <v>67</v>
      </c>
      <c r="C51" s="15" t="s">
        <v>46</v>
      </c>
      <c r="D51" s="15" t="s">
        <v>59</v>
      </c>
      <c r="E51" s="43">
        <v>4</v>
      </c>
      <c r="F51" s="44">
        <v>923.60067845719777</v>
      </c>
      <c r="G51" s="44">
        <v>93.375966225598546</v>
      </c>
      <c r="H51" s="45">
        <v>55</v>
      </c>
      <c r="I51" s="46">
        <v>0.43636363636363634</v>
      </c>
      <c r="J51" s="45">
        <v>29.555221710630331</v>
      </c>
      <c r="K51" s="45">
        <v>53.555221710630335</v>
      </c>
      <c r="L51" s="45">
        <v>31</v>
      </c>
      <c r="M51" s="45">
        <v>84.555221710630335</v>
      </c>
      <c r="N51" s="45">
        <v>225.37287674879283</v>
      </c>
      <c r="O51" s="47">
        <v>0.82</v>
      </c>
      <c r="P51" s="47">
        <v>2.4754565682000402</v>
      </c>
      <c r="Q51" s="310">
        <f t="shared" si="69"/>
        <v>2.4754565682000402</v>
      </c>
      <c r="R51" s="311">
        <f t="shared" si="18"/>
        <v>0</v>
      </c>
      <c r="S51" s="311">
        <f t="shared" si="70"/>
        <v>0</v>
      </c>
      <c r="T51" s="310">
        <f t="shared" si="71"/>
        <v>2.4754565682000402</v>
      </c>
      <c r="U51" s="316">
        <f t="shared" si="45"/>
        <v>0</v>
      </c>
      <c r="V51" s="48">
        <v>5.7985255922602952E-2</v>
      </c>
      <c r="W51" s="49">
        <v>0.57354396292124732</v>
      </c>
      <c r="X51" s="226" t="s">
        <v>40</v>
      </c>
      <c r="Y51" s="226" t="s">
        <v>515</v>
      </c>
      <c r="Z51" s="248" t="s">
        <v>40</v>
      </c>
      <c r="AA51" s="248"/>
      <c r="AB51" s="386">
        <v>0</v>
      </c>
      <c r="AC51" s="390">
        <v>0</v>
      </c>
      <c r="AD51" s="337">
        <f t="shared" si="50"/>
        <v>0</v>
      </c>
      <c r="AE51" s="337">
        <f t="shared" si="51"/>
        <v>0</v>
      </c>
      <c r="AF51" s="337">
        <f t="shared" ref="AF51:AH51" si="104">AE51*0</f>
        <v>0</v>
      </c>
      <c r="AG51" s="337">
        <f t="shared" si="104"/>
        <v>0</v>
      </c>
      <c r="AH51" s="337">
        <f t="shared" si="104"/>
        <v>0</v>
      </c>
      <c r="AI51" s="337">
        <f t="shared" si="47"/>
        <v>0</v>
      </c>
      <c r="AJ51" s="337" t="s">
        <v>40</v>
      </c>
      <c r="AK51" s="337">
        <f t="shared" si="48"/>
        <v>0</v>
      </c>
      <c r="AL51" s="337">
        <f t="shared" ref="AL51:AM51" si="105">AK51*0</f>
        <v>0</v>
      </c>
      <c r="AM51" s="337">
        <f t="shared" si="105"/>
        <v>0</v>
      </c>
      <c r="AN51" s="337">
        <f t="shared" si="74"/>
        <v>0</v>
      </c>
      <c r="AO51" s="294" t="s">
        <v>610</v>
      </c>
      <c r="AP51" s="282" t="s">
        <v>356</v>
      </c>
      <c r="AQ51" s="136"/>
      <c r="AR51" s="496" t="s">
        <v>589</v>
      </c>
      <c r="AS51" s="142"/>
      <c r="AT51" s="142" t="s">
        <v>219</v>
      </c>
      <c r="AU51" s="146"/>
      <c r="AV51" s="48"/>
      <c r="AW51" s="131" t="s">
        <v>284</v>
      </c>
      <c r="AX51" s="131"/>
      <c r="AY51" s="131"/>
      <c r="AZ51" s="48"/>
      <c r="BA51" s="48"/>
      <c r="BB51" s="50"/>
      <c r="BC51" s="51" t="s">
        <v>67</v>
      </c>
      <c r="BD51" s="52">
        <v>8.4839744419486944</v>
      </c>
      <c r="BE51" s="53">
        <v>83.916717195363219</v>
      </c>
      <c r="BF51" s="54">
        <v>8.4839744419486944</v>
      </c>
      <c r="BG51" s="53">
        <v>83.916717195363219</v>
      </c>
      <c r="BH51" s="450">
        <v>20476.979286357633</v>
      </c>
      <c r="BI51" s="347">
        <f t="shared" si="75"/>
        <v>0</v>
      </c>
      <c r="BJ51" s="347">
        <f t="shared" si="19"/>
        <v>20476.979286357633</v>
      </c>
      <c r="BK51" s="45">
        <v>8272.0010318124478</v>
      </c>
      <c r="BL51" s="47">
        <v>110.80271201759192</v>
      </c>
      <c r="BM51" s="45">
        <v>12204.978254545185</v>
      </c>
      <c r="BN51" s="55">
        <v>2.4754565682000402</v>
      </c>
      <c r="BO51" s="47">
        <f t="shared" si="20"/>
        <v>2.4754565682000402</v>
      </c>
      <c r="BP51" s="45">
        <v>5934.0638082412588</v>
      </c>
      <c r="BQ51" s="55">
        <v>3.4507514492714249</v>
      </c>
      <c r="BR51" s="54">
        <v>7.7605846628637405</v>
      </c>
      <c r="BS51" s="53">
        <v>76.761521723140049</v>
      </c>
      <c r="BT51" s="54">
        <v>16.244559104812435</v>
      </c>
      <c r="BU51" s="53">
        <v>160.67823891850327</v>
      </c>
      <c r="BV51" s="450">
        <v>20117.173277391605</v>
      </c>
      <c r="BW51" s="347">
        <f t="shared" si="76"/>
        <v>0</v>
      </c>
      <c r="BX51" s="347">
        <f t="shared" si="21"/>
        <v>20117.173277391605</v>
      </c>
      <c r="BY51" s="45">
        <v>7566.6852579451615</v>
      </c>
      <c r="BZ51" s="47">
        <v>101.35507047684146</v>
      </c>
      <c r="CA51" s="45">
        <v>12550.488019446442</v>
      </c>
      <c r="CB51" s="55">
        <v>2.6586507290320021</v>
      </c>
      <c r="CC51" s="47">
        <f t="shared" si="22"/>
        <v>2.6586507290320021</v>
      </c>
      <c r="CD51" s="45">
        <v>5428.0932708838072</v>
      </c>
      <c r="CE51" s="55">
        <v>3.7061215188213055</v>
      </c>
      <c r="CF51" s="52">
        <v>8.090109440624877</v>
      </c>
      <c r="CG51" s="53">
        <v>80.020918338895839</v>
      </c>
      <c r="CH51" s="54">
        <v>24.334668545437314</v>
      </c>
      <c r="CI51" s="53">
        <v>240.69915725739912</v>
      </c>
      <c r="CJ51" s="450">
        <v>22674.359620250816</v>
      </c>
      <c r="CK51" s="347">
        <f t="shared" si="77"/>
        <v>0</v>
      </c>
      <c r="CL51" s="347">
        <f t="shared" si="23"/>
        <v>22674.359620250816</v>
      </c>
      <c r="CM51" s="45">
        <v>7887.9768083027529</v>
      </c>
      <c r="CN51" s="47">
        <v>105.65874198160162</v>
      </c>
      <c r="CO51" s="45">
        <v>14786.382811948064</v>
      </c>
      <c r="CP51" s="55">
        <v>2.8745469429352482</v>
      </c>
      <c r="CQ51" s="47">
        <f t="shared" si="24"/>
        <v>2.8745469429352482</v>
      </c>
      <c r="CR51" s="45">
        <v>5658.57735249096</v>
      </c>
      <c r="CS51" s="55">
        <v>4.0070777878947519</v>
      </c>
    </row>
    <row r="52" spans="1:97" s="23" customFormat="1" ht="15" customHeight="1">
      <c r="A52" s="377" t="str">
        <f t="shared" si="68"/>
        <v xml:space="preserve">BNI - Efficient Product Rebates; Electronically Commutated (Brushless) DC Motors for Refrigeration Applications; IND; Industrial </v>
      </c>
      <c r="B52" s="42" t="s">
        <v>68</v>
      </c>
      <c r="C52" s="15" t="s">
        <v>69</v>
      </c>
      <c r="D52" s="15" t="s">
        <v>70</v>
      </c>
      <c r="E52" s="43">
        <v>15</v>
      </c>
      <c r="F52" s="44">
        <v>613.21199999999999</v>
      </c>
      <c r="G52" s="44">
        <v>70.00136986301402</v>
      </c>
      <c r="H52" s="45">
        <v>245</v>
      </c>
      <c r="I52" s="46">
        <v>0.24489795918367346</v>
      </c>
      <c r="J52" s="45">
        <v>19.622783999999999</v>
      </c>
      <c r="K52" s="45">
        <v>79.622783999999996</v>
      </c>
      <c r="L52" s="45">
        <v>185</v>
      </c>
      <c r="M52" s="45">
        <v>264.62278400000002</v>
      </c>
      <c r="N52" s="45">
        <v>557.3127422954127</v>
      </c>
      <c r="O52" s="47">
        <v>0.82</v>
      </c>
      <c r="P52" s="47">
        <v>2.0723321209396599</v>
      </c>
      <c r="Q52" s="310">
        <f t="shared" si="69"/>
        <v>2.0723321209396599</v>
      </c>
      <c r="R52" s="311">
        <f t="shared" si="18"/>
        <v>0</v>
      </c>
      <c r="S52" s="311">
        <f t="shared" si="70"/>
        <v>0</v>
      </c>
      <c r="T52" s="310">
        <f t="shared" si="71"/>
        <v>2.0723321209396599</v>
      </c>
      <c r="U52" s="316">
        <f t="shared" si="45"/>
        <v>0</v>
      </c>
      <c r="V52" s="48">
        <v>0.12984544333770376</v>
      </c>
      <c r="W52" s="49">
        <v>1.1374460836382796</v>
      </c>
      <c r="X52" s="48" t="s">
        <v>40</v>
      </c>
      <c r="Y52" s="48" t="s">
        <v>525</v>
      </c>
      <c r="Z52" s="246" t="s">
        <v>40</v>
      </c>
      <c r="AA52" s="246"/>
      <c r="AB52" s="386">
        <v>0</v>
      </c>
      <c r="AC52" s="388">
        <v>0</v>
      </c>
      <c r="AD52" s="337">
        <f t="shared" si="50"/>
        <v>0</v>
      </c>
      <c r="AE52" s="337">
        <f t="shared" si="51"/>
        <v>0</v>
      </c>
      <c r="AF52" s="337">
        <f t="shared" ref="AF52:AH52" si="106">AE52*0</f>
        <v>0</v>
      </c>
      <c r="AG52" s="337">
        <f t="shared" si="106"/>
        <v>0</v>
      </c>
      <c r="AH52" s="337">
        <f t="shared" si="106"/>
        <v>0</v>
      </c>
      <c r="AI52" s="337">
        <f t="shared" si="47"/>
        <v>0</v>
      </c>
      <c r="AJ52" s="337" t="s">
        <v>40</v>
      </c>
      <c r="AK52" s="337">
        <f t="shared" si="48"/>
        <v>0</v>
      </c>
      <c r="AL52" s="337">
        <f t="shared" ref="AL52:AM52" si="107">AK52*0</f>
        <v>0</v>
      </c>
      <c r="AM52" s="337">
        <f t="shared" si="107"/>
        <v>0</v>
      </c>
      <c r="AN52" s="337">
        <f t="shared" si="74"/>
        <v>0</v>
      </c>
      <c r="AO52" s="294" t="s">
        <v>615</v>
      </c>
      <c r="AP52" s="282" t="s">
        <v>419</v>
      </c>
      <c r="AQ52" s="136" t="s">
        <v>40</v>
      </c>
      <c r="AR52" s="289"/>
      <c r="AS52" s="142"/>
      <c r="AT52" s="142" t="s">
        <v>219</v>
      </c>
      <c r="AU52" s="146"/>
      <c r="AV52" s="61" t="s">
        <v>213</v>
      </c>
      <c r="AW52" s="131" t="s">
        <v>284</v>
      </c>
      <c r="AX52" s="131"/>
      <c r="AY52" s="131"/>
      <c r="AZ52" s="48"/>
      <c r="BA52" s="48"/>
      <c r="BB52" s="50"/>
      <c r="BC52" s="51" t="s">
        <v>68</v>
      </c>
      <c r="BD52" s="52">
        <v>1.6608730714975728</v>
      </c>
      <c r="BE52" s="53">
        <v>14.549248106318672</v>
      </c>
      <c r="BF52" s="54">
        <v>1.6608730714975728</v>
      </c>
      <c r="BG52" s="53">
        <v>14.549248106318672</v>
      </c>
      <c r="BH52" s="450">
        <v>13222.965891842949</v>
      </c>
      <c r="BI52" s="347">
        <f t="shared" si="75"/>
        <v>0</v>
      </c>
      <c r="BJ52" s="347">
        <f t="shared" si="19"/>
        <v>13222.965891842949</v>
      </c>
      <c r="BK52" s="45">
        <v>6380.7175298944112</v>
      </c>
      <c r="BL52" s="47">
        <v>28.934504699044666</v>
      </c>
      <c r="BM52" s="45">
        <v>6842.2483619485374</v>
      </c>
      <c r="BN52" s="55">
        <v>2.072332120939659</v>
      </c>
      <c r="BO52" s="47">
        <f t="shared" si="20"/>
        <v>2.072332120939659</v>
      </c>
      <c r="BP52" s="45">
        <v>2303.8458177990183</v>
      </c>
      <c r="BQ52" s="55">
        <v>5.7395185865673612</v>
      </c>
      <c r="BR52" s="54">
        <v>1.5665263363711928</v>
      </c>
      <c r="BS52" s="53">
        <v>13.722770706611586</v>
      </c>
      <c r="BT52" s="54">
        <v>3.2273994078687656</v>
      </c>
      <c r="BU52" s="53">
        <v>28.272018812930256</v>
      </c>
      <c r="BV52" s="450">
        <v>13180.694908214726</v>
      </c>
      <c r="BW52" s="347">
        <f t="shared" si="76"/>
        <v>0</v>
      </c>
      <c r="BX52" s="347">
        <f t="shared" si="21"/>
        <v>13180.694908214726</v>
      </c>
      <c r="BY52" s="45">
        <v>6018.2576423568344</v>
      </c>
      <c r="BZ52" s="47">
        <v>27.290865520529778</v>
      </c>
      <c r="CA52" s="45">
        <v>7162.4372658578914</v>
      </c>
      <c r="CB52" s="55">
        <v>2.190118085913813</v>
      </c>
      <c r="CC52" s="47">
        <f t="shared" si="22"/>
        <v>2.190118085913813</v>
      </c>
      <c r="CD52" s="45">
        <v>2172.9746905141901</v>
      </c>
      <c r="CE52" s="55">
        <v>6.065737887216617</v>
      </c>
      <c r="CF52" s="52">
        <v>1.6765760830683063</v>
      </c>
      <c r="CG52" s="53">
        <v>14.686806487678297</v>
      </c>
      <c r="CH52" s="54">
        <v>4.9039754909370714</v>
      </c>
      <c r="CI52" s="53">
        <v>42.958825300608552</v>
      </c>
      <c r="CJ52" s="450">
        <v>14976.012362364905</v>
      </c>
      <c r="CK52" s="347">
        <f t="shared" si="77"/>
        <v>0</v>
      </c>
      <c r="CL52" s="347">
        <f t="shared" si="23"/>
        <v>14976.012362364905</v>
      </c>
      <c r="CM52" s="45">
        <v>6441.0451268197858</v>
      </c>
      <c r="CN52" s="47">
        <v>29.208070975649328</v>
      </c>
      <c r="CO52" s="45">
        <v>8534.9672355451185</v>
      </c>
      <c r="CP52" s="55">
        <v>2.3250904267083112</v>
      </c>
      <c r="CQ52" s="47">
        <f t="shared" si="24"/>
        <v>2.3250904267083112</v>
      </c>
      <c r="CR52" s="45">
        <v>2325.6279263507959</v>
      </c>
      <c r="CS52" s="55">
        <v>6.4395564710405591</v>
      </c>
    </row>
    <row r="53" spans="1:97" s="23" customFormat="1" ht="15" customHeight="1">
      <c r="A53" s="377" t="str">
        <f t="shared" si="68"/>
        <v>BNI - Efficient Product Rebates; Electronically Commutated (Brushless) DC Motors for Refrigeration Applications; COM-Refrigeration; Other Commercial</v>
      </c>
      <c r="B53" s="42" t="s">
        <v>68</v>
      </c>
      <c r="C53" s="15" t="s">
        <v>46</v>
      </c>
      <c r="D53" s="15" t="s">
        <v>56</v>
      </c>
      <c r="E53" s="43">
        <v>15</v>
      </c>
      <c r="F53" s="44">
        <v>613.21199999999999</v>
      </c>
      <c r="G53" s="44">
        <v>62.088091413394977</v>
      </c>
      <c r="H53" s="45">
        <v>245</v>
      </c>
      <c r="I53" s="46">
        <v>0.24489795918367346</v>
      </c>
      <c r="J53" s="45">
        <v>19.622783999999999</v>
      </c>
      <c r="K53" s="45">
        <v>79.622783999999996</v>
      </c>
      <c r="L53" s="45">
        <v>185</v>
      </c>
      <c r="M53" s="45">
        <v>264.62278400000002</v>
      </c>
      <c r="N53" s="45">
        <v>544.91714873784667</v>
      </c>
      <c r="O53" s="47">
        <v>0.82</v>
      </c>
      <c r="P53" s="47">
        <v>2.0262398916795568</v>
      </c>
      <c r="Q53" s="310">
        <f t="shared" si="69"/>
        <v>2.0262398916795568</v>
      </c>
      <c r="R53" s="311">
        <f t="shared" si="18"/>
        <v>0</v>
      </c>
      <c r="S53" s="311">
        <f t="shared" si="70"/>
        <v>0</v>
      </c>
      <c r="T53" s="310">
        <f t="shared" si="71"/>
        <v>2.0262398916795568</v>
      </c>
      <c r="U53" s="316">
        <f t="shared" si="45"/>
        <v>0</v>
      </c>
      <c r="V53" s="48">
        <v>0.12984544333770376</v>
      </c>
      <c r="W53" s="49">
        <v>1.2824163569444504</v>
      </c>
      <c r="X53" s="48" t="s">
        <v>40</v>
      </c>
      <c r="Y53" s="48" t="s">
        <v>525</v>
      </c>
      <c r="Z53" s="246" t="s">
        <v>40</v>
      </c>
      <c r="AA53" s="246"/>
      <c r="AB53" s="386">
        <v>0</v>
      </c>
      <c r="AC53" s="388">
        <v>0</v>
      </c>
      <c r="AD53" s="337">
        <f t="shared" si="50"/>
        <v>0</v>
      </c>
      <c r="AE53" s="337">
        <f t="shared" si="51"/>
        <v>0</v>
      </c>
      <c r="AF53" s="337">
        <f t="shared" ref="AF53:AH53" si="108">AE53*0</f>
        <v>0</v>
      </c>
      <c r="AG53" s="337">
        <f t="shared" si="108"/>
        <v>0</v>
      </c>
      <c r="AH53" s="337">
        <f t="shared" si="108"/>
        <v>0</v>
      </c>
      <c r="AI53" s="337">
        <f t="shared" si="47"/>
        <v>0</v>
      </c>
      <c r="AJ53" s="337" t="s">
        <v>40</v>
      </c>
      <c r="AK53" s="337">
        <f t="shared" si="48"/>
        <v>0</v>
      </c>
      <c r="AL53" s="337">
        <f t="shared" ref="AL53:AM53" si="109">AK53*0</f>
        <v>0</v>
      </c>
      <c r="AM53" s="337">
        <f t="shared" si="109"/>
        <v>0</v>
      </c>
      <c r="AN53" s="337">
        <f t="shared" si="74"/>
        <v>0</v>
      </c>
      <c r="AO53" s="294" t="s">
        <v>615</v>
      </c>
      <c r="AP53" s="282" t="s">
        <v>419</v>
      </c>
      <c r="AQ53" s="136" t="s">
        <v>40</v>
      </c>
      <c r="AR53" s="289"/>
      <c r="AS53" s="142"/>
      <c r="AT53" s="142" t="s">
        <v>219</v>
      </c>
      <c r="AU53" s="146"/>
      <c r="AV53" s="48"/>
      <c r="AW53" s="131" t="s">
        <v>284</v>
      </c>
      <c r="AX53" s="131"/>
      <c r="AY53" s="131"/>
      <c r="AZ53" s="48"/>
      <c r="BA53" s="48"/>
      <c r="BB53" s="50"/>
      <c r="BC53" s="51" t="s">
        <v>68</v>
      </c>
      <c r="BD53" s="52">
        <v>2.1292165964102345</v>
      </c>
      <c r="BE53" s="53">
        <v>21.029172226032177</v>
      </c>
      <c r="BF53" s="54">
        <v>2.1292165964102345</v>
      </c>
      <c r="BG53" s="53">
        <v>21.029172226032177</v>
      </c>
      <c r="BH53" s="450">
        <v>18687.104247350948</v>
      </c>
      <c r="BI53" s="347">
        <f t="shared" si="75"/>
        <v>0</v>
      </c>
      <c r="BJ53" s="347">
        <f t="shared" si="19"/>
        <v>18687.104247350948</v>
      </c>
      <c r="BK53" s="45">
        <v>9222.5527313358471</v>
      </c>
      <c r="BL53" s="47">
        <v>41.821314623598475</v>
      </c>
      <c r="BM53" s="45">
        <v>9464.5515160151008</v>
      </c>
      <c r="BN53" s="55">
        <v>2.0262398916795568</v>
      </c>
      <c r="BO53" s="47">
        <f t="shared" si="20"/>
        <v>2.0262398916795568</v>
      </c>
      <c r="BP53" s="45">
        <v>3329.9295008708227</v>
      </c>
      <c r="BQ53" s="55">
        <v>5.6118618254422534</v>
      </c>
      <c r="BR53" s="54">
        <v>2.1772877026494726</v>
      </c>
      <c r="BS53" s="53">
        <v>21.503945705585718</v>
      </c>
      <c r="BT53" s="54">
        <v>4.3065042990597071</v>
      </c>
      <c r="BU53" s="53">
        <v>42.533117931617895</v>
      </c>
      <c r="BV53" s="450">
        <v>20169.324764745907</v>
      </c>
      <c r="BW53" s="347">
        <f t="shared" si="76"/>
        <v>0</v>
      </c>
      <c r="BX53" s="347">
        <f t="shared" si="21"/>
        <v>20169.324764745907</v>
      </c>
      <c r="BY53" s="45">
        <v>9430.7693650463261</v>
      </c>
      <c r="BZ53" s="47">
        <v>42.765510184409457</v>
      </c>
      <c r="CA53" s="45">
        <v>10738.55539969958</v>
      </c>
      <c r="CB53" s="55">
        <v>2.1386722529235378</v>
      </c>
      <c r="CC53" s="47">
        <f t="shared" si="22"/>
        <v>2.1386722529235378</v>
      </c>
      <c r="CD53" s="45">
        <v>3405.1089800630348</v>
      </c>
      <c r="CE53" s="55">
        <v>5.923253817377832</v>
      </c>
      <c r="CF53" s="52">
        <v>2.5626358883415112</v>
      </c>
      <c r="CG53" s="53">
        <v>25.30983063883729</v>
      </c>
      <c r="CH53" s="54">
        <v>6.8691401874012179</v>
      </c>
      <c r="CI53" s="53">
        <v>67.842948570455178</v>
      </c>
      <c r="CJ53" s="450">
        <v>25173.888511922949</v>
      </c>
      <c r="CK53" s="347">
        <f t="shared" si="77"/>
        <v>0</v>
      </c>
      <c r="CL53" s="347">
        <f t="shared" si="23"/>
        <v>25173.888511922949</v>
      </c>
      <c r="CM53" s="45">
        <v>11099.878073132268</v>
      </c>
      <c r="CN53" s="47">
        <v>50.334382106894985</v>
      </c>
      <c r="CO53" s="45">
        <v>14074.010438790681</v>
      </c>
      <c r="CP53" s="55">
        <v>2.2679427959535365</v>
      </c>
      <c r="CQ53" s="47">
        <f t="shared" si="24"/>
        <v>2.2679427959535365</v>
      </c>
      <c r="CR53" s="45">
        <v>4007.7636342707642</v>
      </c>
      <c r="CS53" s="55">
        <v>6.281280736383418</v>
      </c>
    </row>
    <row r="54" spans="1:97" s="23" customFormat="1" ht="15" customHeight="1">
      <c r="A54" s="377" t="str">
        <f t="shared" si="68"/>
        <v>BNI - Efficient Product Rebates; Electronically Commutated (Brushless) DC Motors for Refrigeration Applications; COM-Refrigeration; Retail</v>
      </c>
      <c r="B54" s="42" t="s">
        <v>68</v>
      </c>
      <c r="C54" s="15" t="s">
        <v>46</v>
      </c>
      <c r="D54" s="15" t="s">
        <v>30</v>
      </c>
      <c r="E54" s="43">
        <v>15</v>
      </c>
      <c r="F54" s="44">
        <v>613.21199999999999</v>
      </c>
      <c r="G54" s="44">
        <v>62.129419287849473</v>
      </c>
      <c r="H54" s="45">
        <v>245</v>
      </c>
      <c r="I54" s="46">
        <v>0.24489795918367346</v>
      </c>
      <c r="J54" s="45">
        <v>19.622783999999999</v>
      </c>
      <c r="K54" s="45">
        <v>79.622783999999996</v>
      </c>
      <c r="L54" s="45">
        <v>185</v>
      </c>
      <c r="M54" s="45">
        <v>264.62278400000002</v>
      </c>
      <c r="N54" s="45">
        <v>544.98188594349381</v>
      </c>
      <c r="O54" s="47">
        <v>0.82</v>
      </c>
      <c r="P54" s="47">
        <v>2.0264806128770121</v>
      </c>
      <c r="Q54" s="310">
        <f t="shared" si="69"/>
        <v>2.0264806128770121</v>
      </c>
      <c r="R54" s="311">
        <f t="shared" si="18"/>
        <v>0</v>
      </c>
      <c r="S54" s="311">
        <f t="shared" si="70"/>
        <v>0</v>
      </c>
      <c r="T54" s="310">
        <f t="shared" si="71"/>
        <v>2.0264806128770121</v>
      </c>
      <c r="U54" s="316">
        <f t="shared" si="45"/>
        <v>0</v>
      </c>
      <c r="V54" s="48">
        <v>0.12984544333770376</v>
      </c>
      <c r="W54" s="49">
        <v>1.2815633062833354</v>
      </c>
      <c r="X54" s="48" t="s">
        <v>40</v>
      </c>
      <c r="Y54" s="48" t="s">
        <v>525</v>
      </c>
      <c r="Z54" s="246" t="s">
        <v>40</v>
      </c>
      <c r="AA54" s="246"/>
      <c r="AB54" s="386">
        <v>0</v>
      </c>
      <c r="AC54" s="388">
        <v>0</v>
      </c>
      <c r="AD54" s="337">
        <f t="shared" si="50"/>
        <v>0</v>
      </c>
      <c r="AE54" s="337">
        <f t="shared" si="51"/>
        <v>0</v>
      </c>
      <c r="AF54" s="337">
        <f t="shared" ref="AF54:AH54" si="110">AE54*0</f>
        <v>0</v>
      </c>
      <c r="AG54" s="337">
        <f t="shared" si="110"/>
        <v>0</v>
      </c>
      <c r="AH54" s="337">
        <f t="shared" si="110"/>
        <v>0</v>
      </c>
      <c r="AI54" s="337">
        <f t="shared" si="47"/>
        <v>0</v>
      </c>
      <c r="AJ54" s="337" t="s">
        <v>40</v>
      </c>
      <c r="AK54" s="337">
        <f t="shared" si="48"/>
        <v>0</v>
      </c>
      <c r="AL54" s="337">
        <f t="shared" ref="AL54:AM54" si="111">AK54*0</f>
        <v>0</v>
      </c>
      <c r="AM54" s="337">
        <f t="shared" si="111"/>
        <v>0</v>
      </c>
      <c r="AN54" s="337">
        <f t="shared" si="74"/>
        <v>0</v>
      </c>
      <c r="AO54" s="294" t="s">
        <v>615</v>
      </c>
      <c r="AP54" s="282" t="s">
        <v>419</v>
      </c>
      <c r="AQ54" s="136" t="s">
        <v>40</v>
      </c>
      <c r="AR54" s="289"/>
      <c r="AS54" s="142"/>
      <c r="AT54" s="142" t="s">
        <v>219</v>
      </c>
      <c r="AU54" s="146"/>
      <c r="AV54" s="48"/>
      <c r="AW54" s="131" t="s">
        <v>284</v>
      </c>
      <c r="AX54" s="131"/>
      <c r="AY54" s="131"/>
      <c r="AZ54" s="48"/>
      <c r="BA54" s="48"/>
      <c r="BB54" s="50"/>
      <c r="BC54" s="51" t="s">
        <v>68</v>
      </c>
      <c r="BD54" s="52">
        <v>3.0483879140935617</v>
      </c>
      <c r="BE54" s="53">
        <v>30.087325312289181</v>
      </c>
      <c r="BF54" s="54">
        <v>3.0483879140935617</v>
      </c>
      <c r="BG54" s="53">
        <v>30.087325312289181</v>
      </c>
      <c r="BH54" s="450">
        <v>26739.606028073122</v>
      </c>
      <c r="BI54" s="347">
        <f t="shared" si="75"/>
        <v>0</v>
      </c>
      <c r="BJ54" s="347">
        <f t="shared" si="19"/>
        <v>26739.606028073122</v>
      </c>
      <c r="BK54" s="45">
        <v>13195.095900824175</v>
      </c>
      <c r="BL54" s="47">
        <v>59.83552203306202</v>
      </c>
      <c r="BM54" s="45">
        <v>13544.510127248946</v>
      </c>
      <c r="BN54" s="55">
        <v>2.0264806128770121</v>
      </c>
      <c r="BO54" s="47">
        <f t="shared" si="20"/>
        <v>2.0264806128770121</v>
      </c>
      <c r="BP54" s="45">
        <v>4764.2708463657382</v>
      </c>
      <c r="BQ54" s="55">
        <v>5.6125285254238895</v>
      </c>
      <c r="BR54" s="54">
        <v>3.1172110575557448</v>
      </c>
      <c r="BS54" s="53">
        <v>30.766603791510146</v>
      </c>
      <c r="BT54" s="54">
        <v>6.1655989716493069</v>
      </c>
      <c r="BU54" s="53">
        <v>60.853929103799331</v>
      </c>
      <c r="BV54" s="450">
        <v>28860.730527425898</v>
      </c>
      <c r="BW54" s="347">
        <f t="shared" si="76"/>
        <v>0</v>
      </c>
      <c r="BX54" s="347">
        <f t="shared" si="21"/>
        <v>28860.730527425898</v>
      </c>
      <c r="BY54" s="45">
        <v>13493.000237073888</v>
      </c>
      <c r="BZ54" s="47">
        <v>61.186422519833087</v>
      </c>
      <c r="CA54" s="45">
        <v>15367.73029035201</v>
      </c>
      <c r="CB54" s="55">
        <v>2.1389409338426484</v>
      </c>
      <c r="CC54" s="47">
        <f t="shared" si="22"/>
        <v>2.1389409338426484</v>
      </c>
      <c r="CD54" s="45">
        <v>4871.8333040294056</v>
      </c>
      <c r="CE54" s="55">
        <v>5.9239979544365173</v>
      </c>
      <c r="CF54" s="52">
        <v>3.6689119760822919</v>
      </c>
      <c r="CG54" s="53">
        <v>36.211844186951339</v>
      </c>
      <c r="CH54" s="54">
        <v>9.834510947731598</v>
      </c>
      <c r="CI54" s="53">
        <v>97.06577329075067</v>
      </c>
      <c r="CJ54" s="450">
        <v>36022.085890143142</v>
      </c>
      <c r="CK54" s="347">
        <f t="shared" si="77"/>
        <v>0</v>
      </c>
      <c r="CL54" s="347">
        <f t="shared" si="23"/>
        <v>36022.085890143142</v>
      </c>
      <c r="CM54" s="45">
        <v>15881.064595574408</v>
      </c>
      <c r="CN54" s="47">
        <v>72.015527409514334</v>
      </c>
      <c r="CO54" s="45">
        <v>20141.021294568734</v>
      </c>
      <c r="CP54" s="55">
        <v>2.2682412550718705</v>
      </c>
      <c r="CQ54" s="47">
        <f t="shared" si="24"/>
        <v>2.2682412550718705</v>
      </c>
      <c r="CR54" s="45">
        <v>5734.0767835738388</v>
      </c>
      <c r="CS54" s="55">
        <v>6.2821073469636906</v>
      </c>
    </row>
    <row r="55" spans="1:97" s="23" customFormat="1" ht="15" customHeight="1">
      <c r="A55" s="377" t="str">
        <f t="shared" si="68"/>
        <v>BNI - Efficient Product Rebates; Electronically Commutated (Brushless) DC Motors for Refrigeration Applications; COM-Refrigeration; School</v>
      </c>
      <c r="B55" s="42" t="s">
        <v>68</v>
      </c>
      <c r="C55" s="15" t="s">
        <v>46</v>
      </c>
      <c r="D55" s="15" t="s">
        <v>59</v>
      </c>
      <c r="E55" s="43">
        <v>15</v>
      </c>
      <c r="F55" s="44">
        <v>613.21199999999999</v>
      </c>
      <c r="G55" s="44">
        <v>61.995691792668261</v>
      </c>
      <c r="H55" s="45">
        <v>245</v>
      </c>
      <c r="I55" s="46">
        <v>0.24489795918367346</v>
      </c>
      <c r="J55" s="45">
        <v>19.622783999999999</v>
      </c>
      <c r="K55" s="45">
        <v>79.622783999999996</v>
      </c>
      <c r="L55" s="45">
        <v>185</v>
      </c>
      <c r="M55" s="45">
        <v>264.62278400000002</v>
      </c>
      <c r="N55" s="45">
        <v>544.77241123736644</v>
      </c>
      <c r="O55" s="47">
        <v>0.82</v>
      </c>
      <c r="P55" s="47">
        <v>2.0257016944545763</v>
      </c>
      <c r="Q55" s="310">
        <f t="shared" si="69"/>
        <v>2.0257016944545763</v>
      </c>
      <c r="R55" s="311">
        <f t="shared" si="18"/>
        <v>0</v>
      </c>
      <c r="S55" s="311">
        <f t="shared" si="70"/>
        <v>0</v>
      </c>
      <c r="T55" s="310">
        <f t="shared" si="71"/>
        <v>2.0257016944545763</v>
      </c>
      <c r="U55" s="316">
        <f t="shared" si="45"/>
        <v>0</v>
      </c>
      <c r="V55" s="48">
        <v>0.12984544333770376</v>
      </c>
      <c r="W55" s="49">
        <v>1.2843276959676793</v>
      </c>
      <c r="X55" s="48" t="s">
        <v>40</v>
      </c>
      <c r="Y55" s="48" t="s">
        <v>525</v>
      </c>
      <c r="Z55" s="246" t="s">
        <v>40</v>
      </c>
      <c r="AA55" s="246"/>
      <c r="AB55" s="386">
        <v>0</v>
      </c>
      <c r="AC55" s="388">
        <v>0</v>
      </c>
      <c r="AD55" s="337">
        <f t="shared" si="50"/>
        <v>0</v>
      </c>
      <c r="AE55" s="337">
        <f t="shared" si="51"/>
        <v>0</v>
      </c>
      <c r="AF55" s="337">
        <f t="shared" ref="AF55:AH55" si="112">AE55*0</f>
        <v>0</v>
      </c>
      <c r="AG55" s="337">
        <f t="shared" si="112"/>
        <v>0</v>
      </c>
      <c r="AH55" s="337">
        <f t="shared" si="112"/>
        <v>0</v>
      </c>
      <c r="AI55" s="337">
        <f t="shared" si="47"/>
        <v>0</v>
      </c>
      <c r="AJ55" s="337" t="s">
        <v>40</v>
      </c>
      <c r="AK55" s="337">
        <f t="shared" si="48"/>
        <v>0</v>
      </c>
      <c r="AL55" s="337">
        <f t="shared" ref="AL55:AM55" si="113">AK55*0</f>
        <v>0</v>
      </c>
      <c r="AM55" s="337">
        <f t="shared" si="113"/>
        <v>0</v>
      </c>
      <c r="AN55" s="337">
        <f t="shared" si="74"/>
        <v>0</v>
      </c>
      <c r="AO55" s="294" t="s">
        <v>615</v>
      </c>
      <c r="AP55" s="282" t="s">
        <v>419</v>
      </c>
      <c r="AQ55" s="136" t="s">
        <v>40</v>
      </c>
      <c r="AR55" s="289"/>
      <c r="AS55" s="142"/>
      <c r="AT55" s="142" t="s">
        <v>219</v>
      </c>
      <c r="AU55" s="146"/>
      <c r="AV55" s="48"/>
      <c r="AW55" s="131" t="s">
        <v>284</v>
      </c>
      <c r="AX55" s="131"/>
      <c r="AY55" s="131"/>
      <c r="AZ55" s="48"/>
      <c r="BA55" s="48"/>
      <c r="BB55" s="50"/>
      <c r="BC55" s="51" t="s">
        <v>68</v>
      </c>
      <c r="BD55" s="52">
        <v>3.0318859477516407</v>
      </c>
      <c r="BE55" s="53">
        <v>29.989000719765347</v>
      </c>
      <c r="BF55" s="54">
        <v>3.0318859477516407</v>
      </c>
      <c r="BG55" s="53">
        <v>29.989000719765347</v>
      </c>
      <c r="BH55" s="450">
        <v>26641.977379284304</v>
      </c>
      <c r="BI55" s="347">
        <f t="shared" si="75"/>
        <v>0</v>
      </c>
      <c r="BJ55" s="347">
        <f t="shared" si="19"/>
        <v>26641.977379284304</v>
      </c>
      <c r="BK55" s="45">
        <v>13151.974672390104</v>
      </c>
      <c r="BL55" s="47">
        <v>59.639981111385325</v>
      </c>
      <c r="BM55" s="45">
        <v>13490.0027068942</v>
      </c>
      <c r="BN55" s="55">
        <v>2.0257016944545763</v>
      </c>
      <c r="BO55" s="47">
        <f t="shared" si="20"/>
        <v>2.0257016944545763</v>
      </c>
      <c r="BP55" s="45">
        <v>4748.7013337959143</v>
      </c>
      <c r="BQ55" s="55">
        <v>5.6103712376427382</v>
      </c>
      <c r="BR55" s="54">
        <v>3.1003365280004251</v>
      </c>
      <c r="BS55" s="53">
        <v>30.666059334675129</v>
      </c>
      <c r="BT55" s="54">
        <v>6.1322224757520658</v>
      </c>
      <c r="BU55" s="53">
        <v>60.655060054440476</v>
      </c>
      <c r="BV55" s="450">
        <v>28754.722075373233</v>
      </c>
      <c r="BW55" s="347">
        <f t="shared" si="76"/>
        <v>0</v>
      </c>
      <c r="BX55" s="347">
        <f t="shared" si="21"/>
        <v>28754.722075373233</v>
      </c>
      <c r="BY55" s="45">
        <v>13448.905465057298</v>
      </c>
      <c r="BZ55" s="47">
        <v>60.986466890683275</v>
      </c>
      <c r="CA55" s="45">
        <v>15305.816610315935</v>
      </c>
      <c r="CB55" s="55">
        <v>2.1380715441924423</v>
      </c>
      <c r="CC55" s="47">
        <f t="shared" si="22"/>
        <v>2.1380715441924423</v>
      </c>
      <c r="CD55" s="45">
        <v>4855.9122801600261</v>
      </c>
      <c r="CE55" s="55">
        <v>5.9215900980867024</v>
      </c>
      <c r="CF55" s="52">
        <v>3.6490509007706926</v>
      </c>
      <c r="CG55" s="53">
        <v>36.093504826863246</v>
      </c>
      <c r="CH55" s="54">
        <v>9.7812733765227584</v>
      </c>
      <c r="CI55" s="53">
        <v>96.748564881303722</v>
      </c>
      <c r="CJ55" s="450">
        <v>35889.079716746885</v>
      </c>
      <c r="CK55" s="347">
        <f t="shared" si="77"/>
        <v>0</v>
      </c>
      <c r="CL55" s="347">
        <f t="shared" si="23"/>
        <v>35889.079716746885</v>
      </c>
      <c r="CM55" s="45">
        <v>15829.165691667293</v>
      </c>
      <c r="CN55" s="47">
        <v>71.780182548698889</v>
      </c>
      <c r="CO55" s="45">
        <v>20059.91402507959</v>
      </c>
      <c r="CP55" s="55">
        <v>2.2672755100187896</v>
      </c>
      <c r="CQ55" s="47">
        <f t="shared" si="24"/>
        <v>2.2672755100187896</v>
      </c>
      <c r="CR55" s="45">
        <v>5715.3379705556217</v>
      </c>
      <c r="CS55" s="55">
        <v>6.2794326252692096</v>
      </c>
    </row>
    <row r="56" spans="1:97" s="23" customFormat="1" ht="15" customHeight="1">
      <c r="A56" s="377" t="str">
        <f t="shared" si="68"/>
        <v>BNI - Efficient Product Rebates; Variable Frequency Drives; COM-Motors; Office</v>
      </c>
      <c r="B56" s="42" t="s">
        <v>71</v>
      </c>
      <c r="C56" s="15" t="s">
        <v>55</v>
      </c>
      <c r="D56" s="15" t="s">
        <v>66</v>
      </c>
      <c r="E56" s="43">
        <v>15</v>
      </c>
      <c r="F56" s="44">
        <v>7906.8861712500002</v>
      </c>
      <c r="G56" s="44">
        <v>902.61257662671642</v>
      </c>
      <c r="H56" s="45">
        <v>1415.26801967748</v>
      </c>
      <c r="I56" s="46">
        <v>0.42394796721028977</v>
      </c>
      <c r="J56" s="45">
        <v>253.02035748</v>
      </c>
      <c r="K56" s="45">
        <v>853.02035748000003</v>
      </c>
      <c r="L56" s="45">
        <v>815.26801967747997</v>
      </c>
      <c r="M56" s="45">
        <v>1668.28837715748</v>
      </c>
      <c r="N56" s="45">
        <v>7186.1092332130065</v>
      </c>
      <c r="O56" s="47">
        <v>0.82</v>
      </c>
      <c r="P56" s="47">
        <v>4.1686892583393647</v>
      </c>
      <c r="Q56" s="310">
        <f t="shared" si="69"/>
        <v>4.1686892583393647</v>
      </c>
      <c r="R56" s="311">
        <f t="shared" si="18"/>
        <v>0</v>
      </c>
      <c r="S56" s="311">
        <f t="shared" si="70"/>
        <v>0</v>
      </c>
      <c r="T56" s="310">
        <f t="shared" si="71"/>
        <v>4.1686892583393647</v>
      </c>
      <c r="U56" s="316">
        <f t="shared" si="45"/>
        <v>0</v>
      </c>
      <c r="V56" s="48">
        <v>0.10788322216925832</v>
      </c>
      <c r="W56" s="49">
        <v>0.9450570262026986</v>
      </c>
      <c r="X56" s="48" t="s">
        <v>40</v>
      </c>
      <c r="Y56" s="48" t="s">
        <v>526</v>
      </c>
      <c r="Z56" s="246" t="s">
        <v>40</v>
      </c>
      <c r="AA56" s="246"/>
      <c r="AB56" s="386">
        <v>0</v>
      </c>
      <c r="AC56" s="388">
        <v>0</v>
      </c>
      <c r="AD56" s="294">
        <f>AC56*0.006</f>
        <v>0</v>
      </c>
      <c r="AE56" s="294">
        <f>AC56*0</f>
        <v>0</v>
      </c>
      <c r="AF56" s="294">
        <f>AC56*0</f>
        <v>0</v>
      </c>
      <c r="AG56" s="294">
        <f>AC56*0.049</f>
        <v>0</v>
      </c>
      <c r="AH56" s="294">
        <f>AC56*0.002</f>
        <v>0</v>
      </c>
      <c r="AI56" s="294">
        <f>AC56*0.948</f>
        <v>0</v>
      </c>
      <c r="AJ56" s="294" t="s">
        <v>40</v>
      </c>
      <c r="AK56" s="294">
        <f t="shared" ref="AK56:AK87" si="114">AC56*0</f>
        <v>0</v>
      </c>
      <c r="AL56" s="294">
        <f>AC56*-0.005</f>
        <v>0</v>
      </c>
      <c r="AM56" s="294">
        <f>AC56*0</f>
        <v>0</v>
      </c>
      <c r="AN56" s="294">
        <f t="shared" si="74"/>
        <v>0</v>
      </c>
      <c r="AO56" s="294" t="s">
        <v>616</v>
      </c>
      <c r="AP56" s="282" t="s">
        <v>419</v>
      </c>
      <c r="AQ56" s="136" t="s">
        <v>40</v>
      </c>
      <c r="AR56" s="289"/>
      <c r="AS56" s="142"/>
      <c r="AT56" s="142" t="s">
        <v>218</v>
      </c>
      <c r="AU56" s="146" t="s">
        <v>226</v>
      </c>
      <c r="AV56" s="48"/>
      <c r="AW56" s="131" t="s">
        <v>284</v>
      </c>
      <c r="AX56" s="131"/>
      <c r="AY56" s="131"/>
      <c r="AZ56" s="48"/>
      <c r="BA56" s="48"/>
      <c r="BB56" s="50"/>
      <c r="BC56" s="51" t="s">
        <v>71</v>
      </c>
      <c r="BD56" s="52">
        <v>16.439457080486346</v>
      </c>
      <c r="BE56" s="53">
        <v>144.00964402505974</v>
      </c>
      <c r="BF56" s="54">
        <v>16.439457080486346</v>
      </c>
      <c r="BG56" s="53">
        <v>144.00964402505974</v>
      </c>
      <c r="BH56" s="450">
        <v>130881.99452814399</v>
      </c>
      <c r="BI56" s="347">
        <f t="shared" si="75"/>
        <v>0</v>
      </c>
      <c r="BJ56" s="347">
        <f t="shared" si="19"/>
        <v>130881.99452814399</v>
      </c>
      <c r="BK56" s="45">
        <v>31396.438164902229</v>
      </c>
      <c r="BL56" s="47">
        <v>22.211211000141081</v>
      </c>
      <c r="BM56" s="45">
        <v>99485.556363241762</v>
      </c>
      <c r="BN56" s="55">
        <v>4.1686892583393647</v>
      </c>
      <c r="BO56" s="47">
        <f t="shared" si="20"/>
        <v>4.1686892583393647</v>
      </c>
      <c r="BP56" s="45">
        <v>18946.615147404053</v>
      </c>
      <c r="BQ56" s="55">
        <v>6.907935454955215</v>
      </c>
      <c r="BR56" s="54">
        <v>15.957030349978888</v>
      </c>
      <c r="BS56" s="53">
        <v>139.78358586581442</v>
      </c>
      <c r="BT56" s="54">
        <v>32.396487430465235</v>
      </c>
      <c r="BU56" s="53">
        <v>283.79322989087416</v>
      </c>
      <c r="BV56" s="450">
        <v>134261.86576052403</v>
      </c>
      <c r="BW56" s="347">
        <f t="shared" si="76"/>
        <v>0</v>
      </c>
      <c r="BX56" s="347">
        <f t="shared" si="21"/>
        <v>134261.86576052403</v>
      </c>
      <c r="BY56" s="45">
        <v>30475.088941547874</v>
      </c>
      <c r="BZ56" s="47">
        <v>21.559408337136571</v>
      </c>
      <c r="CA56" s="45">
        <v>103786.77681897616</v>
      </c>
      <c r="CB56" s="55">
        <v>4.4056267077035374</v>
      </c>
      <c r="CC56" s="47">
        <f t="shared" si="22"/>
        <v>4.4056267077035374</v>
      </c>
      <c r="CD56" s="45">
        <v>18390.614206801529</v>
      </c>
      <c r="CE56" s="55">
        <v>7.3005645298605106</v>
      </c>
      <c r="CF56" s="52">
        <v>17.718314914583615</v>
      </c>
      <c r="CG56" s="53">
        <v>155.21243865175177</v>
      </c>
      <c r="CH56" s="54">
        <v>50.114802345048851</v>
      </c>
      <c r="CI56" s="53">
        <v>439.00566854262593</v>
      </c>
      <c r="CJ56" s="450">
        <v>158268.81098975328</v>
      </c>
      <c r="CK56" s="347">
        <f t="shared" si="77"/>
        <v>0</v>
      </c>
      <c r="CL56" s="347">
        <f t="shared" si="23"/>
        <v>158268.81098975328</v>
      </c>
      <c r="CM56" s="45">
        <v>33838.829097483314</v>
      </c>
      <c r="CN56" s="47">
        <v>23.939064970819626</v>
      </c>
      <c r="CO56" s="45">
        <v>124429.98189226998</v>
      </c>
      <c r="CP56" s="55">
        <v>4.677136154262624</v>
      </c>
      <c r="CQ56" s="47">
        <f t="shared" si="24"/>
        <v>4.677136154262624</v>
      </c>
      <c r="CR56" s="45">
        <v>20420.509759145505</v>
      </c>
      <c r="CS56" s="55">
        <v>7.7504828653394027</v>
      </c>
    </row>
    <row r="57" spans="1:97" s="23" customFormat="1" ht="15" customHeight="1">
      <c r="A57" s="377" t="str">
        <f t="shared" si="68"/>
        <v>BNI - Efficient Product Rebates; Variable Frequency Drives; COM-Motors; Other Commercial</v>
      </c>
      <c r="B57" s="42" t="s">
        <v>71</v>
      </c>
      <c r="C57" s="15" t="s">
        <v>55</v>
      </c>
      <c r="D57" s="15" t="s">
        <v>56</v>
      </c>
      <c r="E57" s="43">
        <v>15</v>
      </c>
      <c r="F57" s="44">
        <v>8159.9645964374986</v>
      </c>
      <c r="G57" s="44">
        <v>931.50369820989658</v>
      </c>
      <c r="H57" s="45">
        <v>1415.26801967748</v>
      </c>
      <c r="I57" s="46">
        <v>0.42394796721028977</v>
      </c>
      <c r="J57" s="45">
        <v>261.11886708599997</v>
      </c>
      <c r="K57" s="45">
        <v>861.11886708599991</v>
      </c>
      <c r="L57" s="45">
        <v>815.26801967747997</v>
      </c>
      <c r="M57" s="45">
        <v>1676.3868867634799</v>
      </c>
      <c r="N57" s="45">
        <v>7416.1188977846623</v>
      </c>
      <c r="O57" s="47">
        <v>0.82</v>
      </c>
      <c r="P57" s="47">
        <v>4.2776112798980721</v>
      </c>
      <c r="Q57" s="310">
        <f t="shared" si="69"/>
        <v>4.2776112798980721</v>
      </c>
      <c r="R57" s="311">
        <f t="shared" si="18"/>
        <v>0</v>
      </c>
      <c r="S57" s="311">
        <f t="shared" si="70"/>
        <v>0</v>
      </c>
      <c r="T57" s="310">
        <f t="shared" si="71"/>
        <v>4.2776112798980721</v>
      </c>
      <c r="U57" s="316">
        <f t="shared" si="45"/>
        <v>0</v>
      </c>
      <c r="V57" s="48">
        <v>0.10552973078608083</v>
      </c>
      <c r="W57" s="49">
        <v>0.92443955804023359</v>
      </c>
      <c r="X57" s="48" t="s">
        <v>40</v>
      </c>
      <c r="Y57" s="48" t="s">
        <v>526</v>
      </c>
      <c r="Z57" s="246" t="s">
        <v>40</v>
      </c>
      <c r="AA57" s="246"/>
      <c r="AB57" s="386">
        <v>0</v>
      </c>
      <c r="AC57" s="388">
        <v>0</v>
      </c>
      <c r="AD57" s="294">
        <f>AC57*0.006</f>
        <v>0</v>
      </c>
      <c r="AE57" s="294">
        <f>AC57*0</f>
        <v>0</v>
      </c>
      <c r="AF57" s="294">
        <f>AC57*0</f>
        <v>0</v>
      </c>
      <c r="AG57" s="294">
        <f>AC57*0.049</f>
        <v>0</v>
      </c>
      <c r="AH57" s="294">
        <f>AC57*0.002</f>
        <v>0</v>
      </c>
      <c r="AI57" s="294">
        <f>AC57*0.948</f>
        <v>0</v>
      </c>
      <c r="AJ57" s="294" t="s">
        <v>40</v>
      </c>
      <c r="AK57" s="294">
        <f t="shared" si="114"/>
        <v>0</v>
      </c>
      <c r="AL57" s="294">
        <f>AC57*-0.005</f>
        <v>0</v>
      </c>
      <c r="AM57" s="294">
        <f>AC57*0</f>
        <v>0</v>
      </c>
      <c r="AN57" s="294">
        <f t="shared" si="74"/>
        <v>0</v>
      </c>
      <c r="AO57" s="294" t="s">
        <v>616</v>
      </c>
      <c r="AP57" s="282" t="s">
        <v>419</v>
      </c>
      <c r="AQ57" s="136" t="s">
        <v>40</v>
      </c>
      <c r="AR57" s="289"/>
      <c r="AS57" s="142"/>
      <c r="AT57" s="142" t="s">
        <v>218</v>
      </c>
      <c r="AU57" s="146" t="s">
        <v>226</v>
      </c>
      <c r="AV57" s="48"/>
      <c r="AW57" s="131" t="s">
        <v>284</v>
      </c>
      <c r="AX57" s="131"/>
      <c r="AY57" s="131"/>
      <c r="AZ57" s="48"/>
      <c r="BA57" s="48"/>
      <c r="BB57" s="50"/>
      <c r="BC57" s="51" t="s">
        <v>71</v>
      </c>
      <c r="BD57" s="52">
        <v>22.994512789313486</v>
      </c>
      <c r="BE57" s="53">
        <v>201.43173949143838</v>
      </c>
      <c r="BF57" s="54">
        <v>22.994512789313486</v>
      </c>
      <c r="BG57" s="53">
        <v>201.43173949143838</v>
      </c>
      <c r="BH57" s="450">
        <v>183069.63372221967</v>
      </c>
      <c r="BI57" s="347">
        <f t="shared" si="75"/>
        <v>0</v>
      </c>
      <c r="BJ57" s="347">
        <f t="shared" si="19"/>
        <v>183069.63372221967</v>
      </c>
      <c r="BK57" s="45">
        <v>42797.164525567154</v>
      </c>
      <c r="BL57" s="47">
        <v>30.104108895482582</v>
      </c>
      <c r="BM57" s="45">
        <v>140272.46919665253</v>
      </c>
      <c r="BN57" s="55">
        <v>4.2776112798980721</v>
      </c>
      <c r="BO57" s="47">
        <f t="shared" si="20"/>
        <v>4.2776112798980721</v>
      </c>
      <c r="BP57" s="45">
        <v>25923.216146711537</v>
      </c>
      <c r="BQ57" s="55">
        <v>7.0619954208668965</v>
      </c>
      <c r="BR57" s="54">
        <v>22.296015026767215</v>
      </c>
      <c r="BS57" s="53">
        <v>195.31290494035531</v>
      </c>
      <c r="BT57" s="54">
        <v>45.290527816080704</v>
      </c>
      <c r="BU57" s="53">
        <v>396.74464443179369</v>
      </c>
      <c r="BV57" s="450">
        <v>187597.70734536694</v>
      </c>
      <c r="BW57" s="347">
        <f t="shared" si="76"/>
        <v>0</v>
      </c>
      <c r="BX57" s="347">
        <f t="shared" si="21"/>
        <v>187597.70734536694</v>
      </c>
      <c r="BY57" s="45">
        <v>41497.127254139239</v>
      </c>
      <c r="BZ57" s="47">
        <v>29.189644957950655</v>
      </c>
      <c r="CA57" s="45">
        <v>146100.58009122772</v>
      </c>
      <c r="CB57" s="55">
        <v>4.5207396212385884</v>
      </c>
      <c r="CC57" s="47">
        <f t="shared" si="22"/>
        <v>4.5207396212385884</v>
      </c>
      <c r="CD57" s="45">
        <v>25135.753996833038</v>
      </c>
      <c r="CE57" s="55">
        <v>7.4633809421035542</v>
      </c>
      <c r="CF57" s="52">
        <v>24.728418142799043</v>
      </c>
      <c r="CG57" s="53">
        <v>216.62073586923643</v>
      </c>
      <c r="CH57" s="54">
        <v>70.01894595887974</v>
      </c>
      <c r="CI57" s="53">
        <v>613.36538030103009</v>
      </c>
      <c r="CJ57" s="450">
        <v>220886.37821082913</v>
      </c>
      <c r="CK57" s="347">
        <f t="shared" si="77"/>
        <v>0</v>
      </c>
      <c r="CL57" s="347">
        <f t="shared" si="23"/>
        <v>220886.37821082913</v>
      </c>
      <c r="CM57" s="45">
        <v>46024.292378407335</v>
      </c>
      <c r="CN57" s="47">
        <v>32.374114616153818</v>
      </c>
      <c r="CO57" s="45">
        <v>174862.08583242178</v>
      </c>
      <c r="CP57" s="55">
        <v>4.7993432771268365</v>
      </c>
      <c r="CQ57" s="47">
        <f t="shared" si="24"/>
        <v>4.7993432771268365</v>
      </c>
      <c r="CR57" s="45">
        <v>27877.960901174691</v>
      </c>
      <c r="CS57" s="55">
        <v>7.9233333812991207</v>
      </c>
    </row>
    <row r="58" spans="1:97" s="23" customFormat="1" ht="15" customHeight="1">
      <c r="A58" s="377" t="str">
        <f t="shared" si="68"/>
        <v>BNI - Efficient Product Rebates; Variable Frequency Drives; COM-Motors; Retail</v>
      </c>
      <c r="B58" s="42" t="s">
        <v>71</v>
      </c>
      <c r="C58" s="15" t="s">
        <v>55</v>
      </c>
      <c r="D58" s="15" t="s">
        <v>30</v>
      </c>
      <c r="E58" s="43">
        <v>15</v>
      </c>
      <c r="F58" s="44">
        <v>7280.9646741562501</v>
      </c>
      <c r="G58" s="44">
        <v>831.18398417004278</v>
      </c>
      <c r="H58" s="45">
        <v>1415.26801967748</v>
      </c>
      <c r="I58" s="46">
        <v>0.42394796721028977</v>
      </c>
      <c r="J58" s="45">
        <v>232.990869573</v>
      </c>
      <c r="K58" s="45">
        <v>832.99086957300005</v>
      </c>
      <c r="L58" s="45">
        <v>815.26801967747997</v>
      </c>
      <c r="M58" s="45">
        <v>1648.25888925048</v>
      </c>
      <c r="N58" s="45">
        <v>6617.2825875858107</v>
      </c>
      <c r="O58" s="47">
        <v>0.82</v>
      </c>
      <c r="P58" s="47">
        <v>3.8938860915995486</v>
      </c>
      <c r="Q58" s="310">
        <f t="shared" si="69"/>
        <v>3.8938860915995486</v>
      </c>
      <c r="R58" s="311">
        <f t="shared" si="18"/>
        <v>0</v>
      </c>
      <c r="S58" s="311">
        <f t="shared" si="70"/>
        <v>0</v>
      </c>
      <c r="T58" s="310">
        <f t="shared" si="71"/>
        <v>3.8938860915995486</v>
      </c>
      <c r="U58" s="316">
        <f t="shared" si="45"/>
        <v>0</v>
      </c>
      <c r="V58" s="48">
        <v>0.11440666269535646</v>
      </c>
      <c r="W58" s="49">
        <v>1.0021738693687192</v>
      </c>
      <c r="X58" s="48" t="s">
        <v>40</v>
      </c>
      <c r="Y58" s="48" t="s">
        <v>526</v>
      </c>
      <c r="Z58" s="246" t="s">
        <v>40</v>
      </c>
      <c r="AA58" s="246"/>
      <c r="AB58" s="386">
        <v>0</v>
      </c>
      <c r="AC58" s="388">
        <v>0</v>
      </c>
      <c r="AD58" s="294">
        <f>AC58*0.006</f>
        <v>0</v>
      </c>
      <c r="AE58" s="294">
        <f>AC58*0</f>
        <v>0</v>
      </c>
      <c r="AF58" s="294">
        <f>AC58*0</f>
        <v>0</v>
      </c>
      <c r="AG58" s="294">
        <f>AC58*0.049</f>
        <v>0</v>
      </c>
      <c r="AH58" s="294">
        <f>AC58*0.002</f>
        <v>0</v>
      </c>
      <c r="AI58" s="294">
        <f>AC58*0.948</f>
        <v>0</v>
      </c>
      <c r="AJ58" s="294" t="s">
        <v>40</v>
      </c>
      <c r="AK58" s="294">
        <f t="shared" si="114"/>
        <v>0</v>
      </c>
      <c r="AL58" s="294">
        <f>AC58*-0.005</f>
        <v>0</v>
      </c>
      <c r="AM58" s="294">
        <f>AC58*0</f>
        <v>0</v>
      </c>
      <c r="AN58" s="294">
        <f t="shared" si="74"/>
        <v>0</v>
      </c>
      <c r="AO58" s="294" t="s">
        <v>616</v>
      </c>
      <c r="AP58" s="282" t="s">
        <v>419</v>
      </c>
      <c r="AQ58" s="136" t="s">
        <v>40</v>
      </c>
      <c r="AR58" s="289"/>
      <c r="AS58" s="142"/>
      <c r="AT58" s="142" t="s">
        <v>218</v>
      </c>
      <c r="AU58" s="146" t="s">
        <v>226</v>
      </c>
      <c r="AV58" s="48"/>
      <c r="AW58" s="131" t="s">
        <v>284</v>
      </c>
      <c r="AX58" s="131"/>
      <c r="AY58" s="131"/>
      <c r="AZ58" s="48"/>
      <c r="BA58" s="48"/>
      <c r="BB58" s="50"/>
      <c r="BC58" s="51" t="s">
        <v>71</v>
      </c>
      <c r="BD58" s="52">
        <v>29.446763162560526</v>
      </c>
      <c r="BE58" s="53">
        <v>257.94631085069955</v>
      </c>
      <c r="BF58" s="54">
        <v>29.446763162560526</v>
      </c>
      <c r="BG58" s="53">
        <v>257.94631085069955</v>
      </c>
      <c r="BH58" s="450">
        <v>234433.71966670532</v>
      </c>
      <c r="BI58" s="347">
        <f t="shared" si="75"/>
        <v>0</v>
      </c>
      <c r="BJ58" s="347">
        <f t="shared" si="19"/>
        <v>234433.71966670532</v>
      </c>
      <c r="BK58" s="45">
        <v>60205.592601298602</v>
      </c>
      <c r="BL58" s="47">
        <v>43.204257381677152</v>
      </c>
      <c r="BM58" s="45">
        <v>174228.1270654067</v>
      </c>
      <c r="BN58" s="55">
        <v>3.8938860915995486</v>
      </c>
      <c r="BO58" s="47">
        <f t="shared" si="20"/>
        <v>3.8938860915995486</v>
      </c>
      <c r="BP58" s="45">
        <v>35988.751925618955</v>
      </c>
      <c r="BQ58" s="55">
        <v>6.5140830710447979</v>
      </c>
      <c r="BR58" s="54">
        <v>28.660257359754027</v>
      </c>
      <c r="BS58" s="53">
        <v>251.05671591706871</v>
      </c>
      <c r="BT58" s="54">
        <v>58.107020522314549</v>
      </c>
      <c r="BU58" s="53">
        <v>509.00302676776823</v>
      </c>
      <c r="BV58" s="450">
        <v>241140.91822022721</v>
      </c>
      <c r="BW58" s="347">
        <f t="shared" si="76"/>
        <v>0</v>
      </c>
      <c r="BX58" s="347">
        <f t="shared" si="21"/>
        <v>241140.91822022721</v>
      </c>
      <c r="BY58" s="45">
        <v>58597.536473671993</v>
      </c>
      <c r="BZ58" s="47">
        <v>42.050296963377662</v>
      </c>
      <c r="CA58" s="45">
        <v>182543.38174655521</v>
      </c>
      <c r="CB58" s="55">
        <v>4.1152057361416956</v>
      </c>
      <c r="CC58" s="47">
        <f t="shared" si="22"/>
        <v>4.1152057361416956</v>
      </c>
      <c r="CD58" s="45">
        <v>35027.513433326836</v>
      </c>
      <c r="CE58" s="55">
        <v>6.8843287628517276</v>
      </c>
      <c r="CF58" s="52">
        <v>31.917977263556391</v>
      </c>
      <c r="CG58" s="53">
        <v>279.59353085770431</v>
      </c>
      <c r="CH58" s="54">
        <v>90.024997785870937</v>
      </c>
      <c r="CI58" s="53">
        <v>788.59655762547254</v>
      </c>
      <c r="CJ58" s="450">
        <v>285100.92131934006</v>
      </c>
      <c r="CK58" s="347">
        <f t="shared" si="77"/>
        <v>0</v>
      </c>
      <c r="CL58" s="347">
        <f t="shared" si="23"/>
        <v>285100.92131934006</v>
      </c>
      <c r="CM58" s="45">
        <v>65258.131264845368</v>
      </c>
      <c r="CN58" s="47">
        <v>46.830019896736943</v>
      </c>
      <c r="CO58" s="45">
        <v>219842.79005449469</v>
      </c>
      <c r="CP58" s="55">
        <v>4.3688183494295716</v>
      </c>
      <c r="CQ58" s="47">
        <f t="shared" si="24"/>
        <v>4.3688183494295716</v>
      </c>
      <c r="CR58" s="45">
        <v>39008.978995903795</v>
      </c>
      <c r="CS58" s="55">
        <v>7.3085973706022296</v>
      </c>
    </row>
    <row r="59" spans="1:97" s="23" customFormat="1" ht="15" customHeight="1">
      <c r="A59" s="377" t="str">
        <f t="shared" si="68"/>
        <v>BNI - Efficient Product Rebates; Variable Frequency Drives; COM-Motors; School</v>
      </c>
      <c r="B59" s="42" t="s">
        <v>71</v>
      </c>
      <c r="C59" s="15" t="s">
        <v>55</v>
      </c>
      <c r="D59" s="15" t="s">
        <v>59</v>
      </c>
      <c r="E59" s="43">
        <v>15</v>
      </c>
      <c r="F59" s="44">
        <v>7524.607096875</v>
      </c>
      <c r="G59" s="44">
        <v>858.97341288527787</v>
      </c>
      <c r="H59" s="45">
        <v>1415.26801967748</v>
      </c>
      <c r="I59" s="46">
        <v>0.42394796721028977</v>
      </c>
      <c r="J59" s="45">
        <v>240.7874271</v>
      </c>
      <c r="K59" s="45">
        <v>840.78742710000006</v>
      </c>
      <c r="L59" s="45">
        <v>815.26801967747997</v>
      </c>
      <c r="M59" s="45">
        <v>1656.05544677748</v>
      </c>
      <c r="N59" s="45">
        <v>6838.6780034554613</v>
      </c>
      <c r="O59" s="47">
        <v>0.82</v>
      </c>
      <c r="P59" s="47">
        <v>4.0017748784032516</v>
      </c>
      <c r="Q59" s="310">
        <f t="shared" si="69"/>
        <v>4.0017748784032516</v>
      </c>
      <c r="R59" s="311">
        <f t="shared" si="18"/>
        <v>0</v>
      </c>
      <c r="S59" s="311">
        <f t="shared" si="70"/>
        <v>0</v>
      </c>
      <c r="T59" s="310">
        <f t="shared" si="71"/>
        <v>4.0017748784032516</v>
      </c>
      <c r="U59" s="316">
        <f t="shared" si="45"/>
        <v>0</v>
      </c>
      <c r="V59" s="48">
        <v>0.11173838265245536</v>
      </c>
      <c r="W59" s="49">
        <v>0.97882823203550462</v>
      </c>
      <c r="X59" s="48" t="s">
        <v>40</v>
      </c>
      <c r="Y59" s="48" t="s">
        <v>526</v>
      </c>
      <c r="Z59" s="246" t="s">
        <v>40</v>
      </c>
      <c r="AA59" s="246"/>
      <c r="AB59" s="386">
        <v>0</v>
      </c>
      <c r="AC59" s="388">
        <v>0</v>
      </c>
      <c r="AD59" s="294">
        <f>AC59*0.006</f>
        <v>0</v>
      </c>
      <c r="AE59" s="294">
        <f>AC59*0</f>
        <v>0</v>
      </c>
      <c r="AF59" s="294">
        <f>AC59*0</f>
        <v>0</v>
      </c>
      <c r="AG59" s="294">
        <f>AC59*0.049</f>
        <v>0</v>
      </c>
      <c r="AH59" s="294">
        <f>AC59*0.002</f>
        <v>0</v>
      </c>
      <c r="AI59" s="294">
        <f>AC59*0.948</f>
        <v>0</v>
      </c>
      <c r="AJ59" s="294" t="s">
        <v>40</v>
      </c>
      <c r="AK59" s="294">
        <f t="shared" si="114"/>
        <v>0</v>
      </c>
      <c r="AL59" s="294">
        <f>AC59*-0.005</f>
        <v>0</v>
      </c>
      <c r="AM59" s="294">
        <f>AC59*0</f>
        <v>0</v>
      </c>
      <c r="AN59" s="294">
        <f t="shared" si="74"/>
        <v>0</v>
      </c>
      <c r="AO59" s="294" t="s">
        <v>616</v>
      </c>
      <c r="AP59" s="282" t="s">
        <v>419</v>
      </c>
      <c r="AQ59" s="136" t="s">
        <v>40</v>
      </c>
      <c r="AR59" s="289"/>
      <c r="AS59" s="142"/>
      <c r="AT59" s="142" t="s">
        <v>218</v>
      </c>
      <c r="AU59" s="146" t="s">
        <v>226</v>
      </c>
      <c r="AV59" s="48"/>
      <c r="AW59" s="131" t="s">
        <v>284</v>
      </c>
      <c r="AX59" s="131"/>
      <c r="AY59" s="131"/>
      <c r="AZ59" s="48"/>
      <c r="BA59" s="48"/>
      <c r="BB59" s="50"/>
      <c r="BC59" s="51" t="s">
        <v>71</v>
      </c>
      <c r="BD59" s="52">
        <v>30.305410436924166</v>
      </c>
      <c r="BE59" s="53">
        <v>265.47539542745449</v>
      </c>
      <c r="BF59" s="54">
        <v>30.305410436924166</v>
      </c>
      <c r="BG59" s="53">
        <v>265.47539542745449</v>
      </c>
      <c r="BH59" s="450">
        <v>241275.15547255063</v>
      </c>
      <c r="BI59" s="347">
        <f t="shared" si="75"/>
        <v>0</v>
      </c>
      <c r="BJ59" s="347">
        <f t="shared" si="19"/>
        <v>241275.15547255063</v>
      </c>
      <c r="BK59" s="45">
        <v>60292.036109942746</v>
      </c>
      <c r="BL59" s="47">
        <v>43.02556639310216</v>
      </c>
      <c r="BM59" s="45">
        <v>180983.11936260789</v>
      </c>
      <c r="BN59" s="55">
        <v>4.0017748784032525</v>
      </c>
      <c r="BO59" s="47">
        <f t="shared" si="20"/>
        <v>4.0017748784032525</v>
      </c>
      <c r="BP59" s="45">
        <v>36175.355267176594</v>
      </c>
      <c r="BQ59" s="55">
        <v>6.6696001653774948</v>
      </c>
      <c r="BR59" s="54">
        <v>29.464446037026779</v>
      </c>
      <c r="BS59" s="53">
        <v>258.10854728435339</v>
      </c>
      <c r="BT59" s="54">
        <v>59.769856473950938</v>
      </c>
      <c r="BU59" s="53">
        <v>523.58394271180782</v>
      </c>
      <c r="BV59" s="450">
        <v>247912.7639521427</v>
      </c>
      <c r="BW59" s="347">
        <f t="shared" si="76"/>
        <v>0</v>
      </c>
      <c r="BX59" s="347">
        <f t="shared" si="21"/>
        <v>247912.7639521427</v>
      </c>
      <c r="BY59" s="45">
        <v>58618.953474374401</v>
      </c>
      <c r="BZ59" s="47">
        <v>41.83162217322996</v>
      </c>
      <c r="CA59" s="45">
        <v>189293.8104777683</v>
      </c>
      <c r="CB59" s="55">
        <v>4.229225348769134</v>
      </c>
      <c r="CC59" s="47">
        <f t="shared" si="22"/>
        <v>4.229225348769134</v>
      </c>
      <c r="CD59" s="45">
        <v>35171.501978449327</v>
      </c>
      <c r="CE59" s="55">
        <v>7.0486828826373857</v>
      </c>
      <c r="CF59" s="52">
        <v>32.77524397519182</v>
      </c>
      <c r="CG59" s="53">
        <v>287.11113722267902</v>
      </c>
      <c r="CH59" s="54">
        <v>92.545100449142751</v>
      </c>
      <c r="CI59" s="53">
        <v>810.69507993448678</v>
      </c>
      <c r="CJ59" s="450">
        <v>292764.79839418113</v>
      </c>
      <c r="CK59" s="347">
        <f t="shared" si="77"/>
        <v>0</v>
      </c>
      <c r="CL59" s="347">
        <f t="shared" si="23"/>
        <v>292764.79839418113</v>
      </c>
      <c r="CM59" s="45">
        <v>65205.722832144253</v>
      </c>
      <c r="CN59" s="47">
        <v>46.532068543991066</v>
      </c>
      <c r="CO59" s="45">
        <v>227559.07556203689</v>
      </c>
      <c r="CP59" s="55">
        <v>4.4898635530477984</v>
      </c>
      <c r="CQ59" s="47">
        <f t="shared" si="24"/>
        <v>4.4898635530477984</v>
      </c>
      <c r="CR59" s="45">
        <v>39123.578188743093</v>
      </c>
      <c r="CS59" s="55">
        <v>7.4830782854728106</v>
      </c>
    </row>
    <row r="60" spans="1:97" s="23" customFormat="1" ht="15" customHeight="1">
      <c r="A60" s="377" t="str">
        <f t="shared" si="68"/>
        <v>BNI - Efficient Product Rebates; Fluorescent T5 and HPT8 Fixtures (4 FT) lamps-Retrofit (dual baseline); COM-Lighting; Other Commercial</v>
      </c>
      <c r="B60" s="42" t="s">
        <v>72</v>
      </c>
      <c r="C60" s="15" t="s">
        <v>73</v>
      </c>
      <c r="D60" s="15" t="s">
        <v>56</v>
      </c>
      <c r="E60" s="43">
        <v>10</v>
      </c>
      <c r="F60" s="44">
        <v>64.452516965589012</v>
      </c>
      <c r="G60" s="44">
        <v>7.8138879744639969</v>
      </c>
      <c r="H60" s="45">
        <v>135.68371395995615</v>
      </c>
      <c r="I60" s="46">
        <v>0.3685040639052401</v>
      </c>
      <c r="J60" s="45">
        <v>2.0624805428988484</v>
      </c>
      <c r="K60" s="45">
        <v>52.062480542898847</v>
      </c>
      <c r="L60" s="45">
        <v>85.683713959956151</v>
      </c>
      <c r="M60" s="45">
        <v>137.74619450285499</v>
      </c>
      <c r="N60" s="45">
        <v>41.484625236089428</v>
      </c>
      <c r="O60" s="47">
        <v>0.7</v>
      </c>
      <c r="P60" s="47">
        <v>0.29924685062284234</v>
      </c>
      <c r="Q60" s="310">
        <f t="shared" si="69"/>
        <v>0.29924685062284234</v>
      </c>
      <c r="R60" s="311">
        <f t="shared" si="18"/>
        <v>0</v>
      </c>
      <c r="S60" s="311">
        <f t="shared" si="70"/>
        <v>15.536601968517315</v>
      </c>
      <c r="T60" s="310">
        <f t="shared" si="71"/>
        <v>0.41131919506371323</v>
      </c>
      <c r="U60" s="316">
        <f t="shared" si="45"/>
        <v>0.37451469984598762</v>
      </c>
      <c r="V60" s="48">
        <v>0.80776489412655261</v>
      </c>
      <c r="W60" s="49">
        <v>6.6628137891201513</v>
      </c>
      <c r="X60" s="48" t="s">
        <v>74</v>
      </c>
      <c r="Y60" s="48" t="s">
        <v>527</v>
      </c>
      <c r="Z60" s="247">
        <f>0.027*Z3</f>
        <v>3.4020000000000002E-2</v>
      </c>
      <c r="AA60" s="247"/>
      <c r="AB60" s="386">
        <v>0</v>
      </c>
      <c r="AC60" s="387">
        <f t="shared" ref="AC60:AC91" si="115">Z60*F60</f>
        <v>2.1926746271693385</v>
      </c>
      <c r="AD60" s="361">
        <f t="shared" ref="AD60:AD91" si="116">AC60*0.05</f>
        <v>0.10963373135846693</v>
      </c>
      <c r="AE60" s="361">
        <f t="shared" ref="AE60:AE91" si="117">AC60*0.029</f>
        <v>6.3587564187910825E-2</v>
      </c>
      <c r="AF60" s="361">
        <f t="shared" ref="AF60:AF91" si="118">AC60*0.004</f>
        <v>8.7706985086773541E-3</v>
      </c>
      <c r="AG60" s="361">
        <f t="shared" ref="AG60:AG91" si="119">AC60*0</f>
        <v>0</v>
      </c>
      <c r="AH60" s="361">
        <f t="shared" ref="AH60:AH91" si="120">AC60*0.073</f>
        <v>0.1600652477833617</v>
      </c>
      <c r="AI60" s="361">
        <f t="shared" ref="AI60:AI91" si="121">AC60*0.737</f>
        <v>1.6160012002238024</v>
      </c>
      <c r="AJ60" s="361" t="s">
        <v>40</v>
      </c>
      <c r="AK60" s="361">
        <f t="shared" si="114"/>
        <v>0</v>
      </c>
      <c r="AL60" s="361">
        <f t="shared" ref="AL60:AL91" si="122">AC60*0.083</f>
        <v>0.18199199405505509</v>
      </c>
      <c r="AM60" s="361">
        <f t="shared" ref="AM60:AM91" si="123">AC60*0.023</f>
        <v>5.0431516424894782E-2</v>
      </c>
      <c r="AN60" s="361">
        <f t="shared" si="74"/>
        <v>2.1904819525421693</v>
      </c>
      <c r="AO60" s="294" t="s">
        <v>617</v>
      </c>
      <c r="AP60" s="282" t="s">
        <v>420</v>
      </c>
      <c r="AQ60" s="136" t="s">
        <v>74</v>
      </c>
      <c r="AR60" s="294"/>
      <c r="AS60" s="142"/>
      <c r="AT60" s="142" t="s">
        <v>217</v>
      </c>
      <c r="AU60" s="146" t="s">
        <v>227</v>
      </c>
      <c r="AV60" s="48" t="s">
        <v>201</v>
      </c>
      <c r="AW60" s="131" t="s">
        <v>284</v>
      </c>
      <c r="AX60" s="131"/>
      <c r="AY60" s="131"/>
      <c r="AZ60" s="48"/>
      <c r="BA60" s="48"/>
      <c r="BB60" s="50"/>
      <c r="BC60" s="51" t="s">
        <v>72</v>
      </c>
      <c r="BD60" s="52">
        <v>18.221305722786685</v>
      </c>
      <c r="BE60" s="53">
        <v>150.29765208703967</v>
      </c>
      <c r="BF60" s="54">
        <v>18.221305722786685</v>
      </c>
      <c r="BG60" s="53">
        <v>150.29765208703967</v>
      </c>
      <c r="BH60" s="450">
        <v>74551.560773204459</v>
      </c>
      <c r="BI60" s="347">
        <f t="shared" si="75"/>
        <v>18372.935861057573</v>
      </c>
      <c r="BJ60" s="347">
        <f t="shared" si="19"/>
        <v>92924.496634262032</v>
      </c>
      <c r="BK60" s="45">
        <v>167324.63663950813</v>
      </c>
      <c r="BL60" s="47">
        <v>1689.3688390336647</v>
      </c>
      <c r="BM60" s="45">
        <v>-92773.075866303669</v>
      </c>
      <c r="BN60" s="55">
        <v>0.44555041188478278</v>
      </c>
      <c r="BO60" s="47">
        <f t="shared" si="20"/>
        <v>0.5553545401354304</v>
      </c>
      <c r="BP60" s="45">
        <v>91339.191761376467</v>
      </c>
      <c r="BQ60" s="55">
        <v>0.81620561048941975</v>
      </c>
      <c r="BR60" s="54">
        <v>10.381527258733477</v>
      </c>
      <c r="BS60" s="53">
        <v>85.631578537973994</v>
      </c>
      <c r="BT60" s="54">
        <v>28.602832981520159</v>
      </c>
      <c r="BU60" s="53">
        <v>235.92923062501364</v>
      </c>
      <c r="BV60" s="450">
        <v>46197.232540212462</v>
      </c>
      <c r="BW60" s="347">
        <f t="shared" si="76"/>
        <v>10467.918016764403</v>
      </c>
      <c r="BX60" s="347">
        <f t="shared" si="21"/>
        <v>56665.150556976863</v>
      </c>
      <c r="BY60" s="45">
        <v>95332.645352545354</v>
      </c>
      <c r="BZ60" s="47">
        <v>962.51217773874782</v>
      </c>
      <c r="CA60" s="45">
        <v>-49135.412812332892</v>
      </c>
      <c r="CB60" s="55">
        <v>0.48458985239917096</v>
      </c>
      <c r="CC60" s="47">
        <f t="shared" si="22"/>
        <v>0.59439398064981863</v>
      </c>
      <c r="CD60" s="45">
        <v>52040.19533438763</v>
      </c>
      <c r="CE60" s="55">
        <v>0.88772212024511377</v>
      </c>
      <c r="CF60" s="52">
        <v>8.3747551668469455</v>
      </c>
      <c r="CG60" s="53">
        <v>69.078805741501995</v>
      </c>
      <c r="CH60" s="54">
        <v>17.977223594182536</v>
      </c>
      <c r="CI60" s="53">
        <v>148.28435120708497</v>
      </c>
      <c r="CJ60" s="450">
        <v>40122.609444164103</v>
      </c>
      <c r="CK60" s="347">
        <f t="shared" si="77"/>
        <v>8444.4464010127704</v>
      </c>
      <c r="CL60" s="347">
        <f t="shared" si="23"/>
        <v>48567.055845176874</v>
      </c>
      <c r="CM60" s="45">
        <v>76904.634967246428</v>
      </c>
      <c r="CN60" s="47">
        <v>776.45645315717081</v>
      </c>
      <c r="CO60" s="45">
        <v>-36782.025523082324</v>
      </c>
      <c r="CP60" s="55">
        <v>0.5217190025185382</v>
      </c>
      <c r="CQ60" s="47">
        <f t="shared" si="24"/>
        <v>0.63152313076918587</v>
      </c>
      <c r="CR60" s="45">
        <v>41980.710920327198</v>
      </c>
      <c r="CS60" s="55">
        <v>0.95573916126171665</v>
      </c>
    </row>
    <row r="61" spans="1:97" s="23" customFormat="1" ht="15" customHeight="1">
      <c r="A61" s="377" t="str">
        <f t="shared" si="68"/>
        <v xml:space="preserve">BNI - Efficient Product Rebates; Relamp/Reballast-Retrofit (dual baseline); IND; Industrial </v>
      </c>
      <c r="B61" s="42" t="s">
        <v>75</v>
      </c>
      <c r="C61" s="15" t="s">
        <v>69</v>
      </c>
      <c r="D61" s="15" t="s">
        <v>70</v>
      </c>
      <c r="E61" s="43">
        <v>15</v>
      </c>
      <c r="F61" s="44">
        <v>85.14195337391628</v>
      </c>
      <c r="G61" s="44">
        <v>15.357495196937624</v>
      </c>
      <c r="H61" s="45">
        <v>44.476701245850407</v>
      </c>
      <c r="I61" s="46">
        <v>0.56209204594129947</v>
      </c>
      <c r="J61" s="45">
        <v>2.7245425079653209</v>
      </c>
      <c r="K61" s="45">
        <v>27.724542507965317</v>
      </c>
      <c r="L61" s="45">
        <v>19.476701245850411</v>
      </c>
      <c r="M61" s="45">
        <v>47.201243753815731</v>
      </c>
      <c r="N61" s="45">
        <v>86.212249829452645</v>
      </c>
      <c r="O61" s="47">
        <v>0.65</v>
      </c>
      <c r="P61" s="47">
        <v>1.771424947812881</v>
      </c>
      <c r="Q61" s="310">
        <f t="shared" si="69"/>
        <v>1.771424947812881</v>
      </c>
      <c r="R61" s="311">
        <f t="shared" si="18"/>
        <v>0</v>
      </c>
      <c r="S61" s="311">
        <f t="shared" si="70"/>
        <v>26.700875000307253</v>
      </c>
      <c r="T61" s="310">
        <f t="shared" si="71"/>
        <v>2.3200545938033854</v>
      </c>
      <c r="U61" s="316">
        <f t="shared" si="45"/>
        <v>0.30971091756829955</v>
      </c>
      <c r="V61" s="48">
        <v>0.32562727784982776</v>
      </c>
      <c r="W61" s="49">
        <v>1.8052776284438465</v>
      </c>
      <c r="X61" s="48" t="s">
        <v>74</v>
      </c>
      <c r="Y61" s="48" t="s">
        <v>527</v>
      </c>
      <c r="Z61" s="247">
        <f>0.027*Z3</f>
        <v>3.4020000000000002E-2</v>
      </c>
      <c r="AA61" s="247"/>
      <c r="AB61" s="386">
        <v>0</v>
      </c>
      <c r="AC61" s="387">
        <f t="shared" si="115"/>
        <v>2.8965292537806322</v>
      </c>
      <c r="AD61" s="361">
        <f t="shared" si="116"/>
        <v>0.14482646268903163</v>
      </c>
      <c r="AE61" s="361">
        <f t="shared" si="117"/>
        <v>8.3999348359638334E-2</v>
      </c>
      <c r="AF61" s="361">
        <f t="shared" si="118"/>
        <v>1.1586117015122528E-2</v>
      </c>
      <c r="AG61" s="361">
        <f t="shared" si="119"/>
        <v>0</v>
      </c>
      <c r="AH61" s="361">
        <f t="shared" si="120"/>
        <v>0.21144663552598614</v>
      </c>
      <c r="AI61" s="361">
        <f t="shared" si="121"/>
        <v>2.1347420600363258</v>
      </c>
      <c r="AJ61" s="361" t="s">
        <v>40</v>
      </c>
      <c r="AK61" s="361">
        <f t="shared" si="114"/>
        <v>0</v>
      </c>
      <c r="AL61" s="361">
        <f t="shared" si="122"/>
        <v>0.2404119280637925</v>
      </c>
      <c r="AM61" s="361">
        <f t="shared" si="123"/>
        <v>6.6620172836954539E-2</v>
      </c>
      <c r="AN61" s="361">
        <f t="shared" si="74"/>
        <v>2.8936327245268512</v>
      </c>
      <c r="AO61" s="294" t="s">
        <v>617</v>
      </c>
      <c r="AP61" s="282" t="s">
        <v>420</v>
      </c>
      <c r="AQ61" s="136" t="s">
        <v>74</v>
      </c>
      <c r="AR61" s="294"/>
      <c r="AS61" s="142"/>
      <c r="AT61" s="142" t="s">
        <v>217</v>
      </c>
      <c r="AU61" s="146" t="s">
        <v>227</v>
      </c>
      <c r="AV61" s="48" t="s">
        <v>201</v>
      </c>
      <c r="AW61" s="131" t="s">
        <v>284</v>
      </c>
      <c r="AX61" s="131"/>
      <c r="AY61" s="131"/>
      <c r="AZ61" s="48"/>
      <c r="BA61" s="48"/>
      <c r="BB61" s="50"/>
      <c r="BC61" s="51" t="s">
        <v>75</v>
      </c>
      <c r="BD61" s="52">
        <v>433.0562647195058</v>
      </c>
      <c r="BE61" s="53">
        <v>2400.8639316639901</v>
      </c>
      <c r="BF61" s="54">
        <v>433.0562647195058</v>
      </c>
      <c r="BG61" s="53">
        <v>2400.8639316639901</v>
      </c>
      <c r="BH61" s="450">
        <v>756459.03353534115</v>
      </c>
      <c r="BI61" s="347">
        <f t="shared" si="75"/>
        <v>136977.29935985137</v>
      </c>
      <c r="BJ61" s="347">
        <f t="shared" si="19"/>
        <v>893436.33289519255</v>
      </c>
      <c r="BK61" s="45">
        <v>346364.87156709994</v>
      </c>
      <c r="BL61" s="47">
        <v>7892.4120166488428</v>
      </c>
      <c r="BM61" s="45">
        <v>410094.16196824121</v>
      </c>
      <c r="BN61" s="55">
        <v>2.1839946704548971</v>
      </c>
      <c r="BO61" s="47">
        <f t="shared" si="20"/>
        <v>2.5794657779610035</v>
      </c>
      <c r="BP61" s="45">
        <v>315506.67859044828</v>
      </c>
      <c r="BQ61" s="55">
        <v>2.3976007002922515</v>
      </c>
      <c r="BR61" s="54">
        <v>430.40540090501935</v>
      </c>
      <c r="BS61" s="53">
        <v>2386.1675426761158</v>
      </c>
      <c r="BT61" s="54">
        <v>863.46166562452515</v>
      </c>
      <c r="BU61" s="53">
        <v>4787.0314743401059</v>
      </c>
      <c r="BV61" s="450">
        <v>834110.97021995182</v>
      </c>
      <c r="BW61" s="347">
        <f t="shared" si="76"/>
        <v>136138.82132394463</v>
      </c>
      <c r="BX61" s="347">
        <f t="shared" si="21"/>
        <v>970249.79154389643</v>
      </c>
      <c r="BY61" s="45">
        <v>344244.67107712157</v>
      </c>
      <c r="BZ61" s="47">
        <v>7844.1002587355742</v>
      </c>
      <c r="CA61" s="45">
        <v>489866.29914283025</v>
      </c>
      <c r="CB61" s="55">
        <v>2.4230178134931388</v>
      </c>
      <c r="CC61" s="47">
        <f t="shared" si="22"/>
        <v>2.8184889209992452</v>
      </c>
      <c r="CD61" s="45">
        <v>313575.37010782887</v>
      </c>
      <c r="CE61" s="55">
        <v>2.6600015490155582</v>
      </c>
      <c r="CF61" s="52">
        <v>471.18339979727381</v>
      </c>
      <c r="CG61" s="53">
        <v>2612.240768540335</v>
      </c>
      <c r="CH61" s="54">
        <v>1334.645065421799</v>
      </c>
      <c r="CI61" s="53">
        <v>7399.2722428804409</v>
      </c>
      <c r="CJ61" s="450">
        <v>1012110.6681011497</v>
      </c>
      <c r="CK61" s="347">
        <f t="shared" si="77"/>
        <v>149037.05330120955</v>
      </c>
      <c r="CL61" s="347">
        <f t="shared" si="23"/>
        <v>1161147.7214023592</v>
      </c>
      <c r="CM61" s="45">
        <v>376859.52392592485</v>
      </c>
      <c r="CN61" s="47">
        <v>8587.2756719363952</v>
      </c>
      <c r="CO61" s="45">
        <v>635251.14417522494</v>
      </c>
      <c r="CP61" s="55">
        <v>2.6856443949127562</v>
      </c>
      <c r="CQ61" s="47">
        <f t="shared" si="24"/>
        <v>3.0811155024188621</v>
      </c>
      <c r="CR61" s="45">
        <v>343284.51424962637</v>
      </c>
      <c r="CS61" s="55">
        <v>2.9483143750701575</v>
      </c>
    </row>
    <row r="62" spans="1:97" s="23" customFormat="1" ht="15" customHeight="1">
      <c r="A62" s="377" t="str">
        <f t="shared" si="68"/>
        <v>BNI - Efficient Product Rebates; Relamp/Reballast-Retrofit (dual baseline); COM-Lighting; Office</v>
      </c>
      <c r="B62" s="42" t="s">
        <v>75</v>
      </c>
      <c r="C62" s="15" t="s">
        <v>73</v>
      </c>
      <c r="D62" s="15" t="s">
        <v>66</v>
      </c>
      <c r="E62" s="43">
        <v>15</v>
      </c>
      <c r="F62" s="44">
        <v>87.468158804681281</v>
      </c>
      <c r="G62" s="44">
        <v>9.9963577389163394</v>
      </c>
      <c r="H62" s="45">
        <v>44.476701245850407</v>
      </c>
      <c r="I62" s="46">
        <v>0.56209204594129947</v>
      </c>
      <c r="J62" s="45">
        <v>2.7989810817498011</v>
      </c>
      <c r="K62" s="45">
        <v>27.798981081749798</v>
      </c>
      <c r="L62" s="45">
        <v>19.476701245850411</v>
      </c>
      <c r="M62" s="45">
        <v>47.275682327600208</v>
      </c>
      <c r="N62" s="45">
        <v>79.512595219968418</v>
      </c>
      <c r="O62" s="47">
        <v>0.65</v>
      </c>
      <c r="P62" s="47">
        <v>1.6299300750053118</v>
      </c>
      <c r="Q62" s="310">
        <f t="shared" si="69"/>
        <v>1.6299300750053118</v>
      </c>
      <c r="R62" s="311">
        <f t="shared" si="18"/>
        <v>0</v>
      </c>
      <c r="S62" s="311">
        <f t="shared" si="70"/>
        <v>27.430382816026697</v>
      </c>
      <c r="T62" s="310">
        <f t="shared" si="71"/>
        <v>2.1922259703545137</v>
      </c>
      <c r="U62" s="316">
        <f t="shared" si="45"/>
        <v>0.34498160624919411</v>
      </c>
      <c r="V62" s="48">
        <v>0.31781829481315205</v>
      </c>
      <c r="W62" s="49">
        <v>2.7809109885620562</v>
      </c>
      <c r="X62" s="48" t="s">
        <v>74</v>
      </c>
      <c r="Y62" s="48" t="s">
        <v>527</v>
      </c>
      <c r="Z62" s="247">
        <f>0.027*Z3</f>
        <v>3.4020000000000002E-2</v>
      </c>
      <c r="AA62" s="247"/>
      <c r="AB62" s="386">
        <v>0</v>
      </c>
      <c r="AC62" s="387">
        <f t="shared" si="115"/>
        <v>2.9756667625352575</v>
      </c>
      <c r="AD62" s="361">
        <f t="shared" si="116"/>
        <v>0.14878333812676289</v>
      </c>
      <c r="AE62" s="361">
        <f t="shared" si="117"/>
        <v>8.6294336113522468E-2</v>
      </c>
      <c r="AF62" s="361">
        <f t="shared" si="118"/>
        <v>1.1902667050141031E-2</v>
      </c>
      <c r="AG62" s="361">
        <f t="shared" si="119"/>
        <v>0</v>
      </c>
      <c r="AH62" s="361">
        <f t="shared" si="120"/>
        <v>0.21722367366507378</v>
      </c>
      <c r="AI62" s="361">
        <f t="shared" si="121"/>
        <v>2.1930664039884848</v>
      </c>
      <c r="AJ62" s="361" t="s">
        <v>40</v>
      </c>
      <c r="AK62" s="361">
        <f t="shared" si="114"/>
        <v>0</v>
      </c>
      <c r="AL62" s="361">
        <f t="shared" si="122"/>
        <v>0.2469803412904264</v>
      </c>
      <c r="AM62" s="361">
        <f t="shared" si="123"/>
        <v>6.8440335538310929E-2</v>
      </c>
      <c r="AN62" s="361">
        <f t="shared" si="74"/>
        <v>2.9726910957727219</v>
      </c>
      <c r="AO62" s="294" t="s">
        <v>617</v>
      </c>
      <c r="AP62" s="282" t="s">
        <v>420</v>
      </c>
      <c r="AQ62" s="136" t="s">
        <v>74</v>
      </c>
      <c r="AR62" s="294"/>
      <c r="AS62" s="142"/>
      <c r="AT62" s="142" t="s">
        <v>217</v>
      </c>
      <c r="AU62" s="146" t="s">
        <v>227</v>
      </c>
      <c r="AV62" s="48" t="s">
        <v>201</v>
      </c>
      <c r="AW62" s="131" t="s">
        <v>284</v>
      </c>
      <c r="AX62" s="131"/>
      <c r="AY62" s="131"/>
      <c r="AZ62" s="48"/>
      <c r="BA62" s="48"/>
      <c r="BB62" s="50"/>
      <c r="BC62" s="51" t="s">
        <v>75</v>
      </c>
      <c r="BD62" s="52">
        <v>99.768792839810288</v>
      </c>
      <c r="BE62" s="53">
        <v>872.97722268289749</v>
      </c>
      <c r="BF62" s="54">
        <v>99.768792839810288</v>
      </c>
      <c r="BG62" s="53">
        <v>872.97722268289749</v>
      </c>
      <c r="BH62" s="450">
        <v>251857.72008166066</v>
      </c>
      <c r="BI62" s="347">
        <f t="shared" si="75"/>
        <v>50913.975409237195</v>
      </c>
      <c r="BJ62" s="347">
        <f t="shared" si="19"/>
        <v>302771.69549089787</v>
      </c>
      <c r="BK62" s="45">
        <v>125531.26183237082</v>
      </c>
      <c r="BL62" s="47">
        <v>2855.5632439632864</v>
      </c>
      <c r="BM62" s="45">
        <v>126326.45824928985</v>
      </c>
      <c r="BN62" s="55">
        <v>2.0063346484796822</v>
      </c>
      <c r="BO62" s="47">
        <f t="shared" si="20"/>
        <v>2.4119226642938276</v>
      </c>
      <c r="BP62" s="45">
        <v>114366.42129270172</v>
      </c>
      <c r="BQ62" s="55">
        <v>2.2021998872997255</v>
      </c>
      <c r="BR62" s="54">
        <v>65.530435891728587</v>
      </c>
      <c r="BS62" s="53">
        <v>573.39150146691964</v>
      </c>
      <c r="BT62" s="54">
        <v>165.29922873153888</v>
      </c>
      <c r="BU62" s="53">
        <v>1446.3687241498171</v>
      </c>
      <c r="BV62" s="450">
        <v>178253.8520108689</v>
      </c>
      <c r="BW62" s="347">
        <f t="shared" si="76"/>
        <v>33441.469086481207</v>
      </c>
      <c r="BX62" s="347">
        <f t="shared" si="21"/>
        <v>211695.3210973501</v>
      </c>
      <c r="BY62" s="45">
        <v>82451.817565056685</v>
      </c>
      <c r="BZ62" s="47">
        <v>1875.5995614156063</v>
      </c>
      <c r="CA62" s="45">
        <v>95802.034445812213</v>
      </c>
      <c r="CB62" s="55">
        <v>2.1619153740331054</v>
      </c>
      <c r="CC62" s="47">
        <f t="shared" si="22"/>
        <v>2.5675033898472504</v>
      </c>
      <c r="CD62" s="45">
        <v>75118.493722992353</v>
      </c>
      <c r="CE62" s="55">
        <v>2.3729689344970022</v>
      </c>
      <c r="CF62" s="52">
        <v>54.458824062543705</v>
      </c>
      <c r="CG62" s="53">
        <v>476.51486629720705</v>
      </c>
      <c r="CH62" s="54">
        <v>219.7580527940826</v>
      </c>
      <c r="CI62" s="53">
        <v>1922.8835904470243</v>
      </c>
      <c r="CJ62" s="450">
        <v>160448.78885470901</v>
      </c>
      <c r="CK62" s="347">
        <f t="shared" si="77"/>
        <v>27791.408016615202</v>
      </c>
      <c r="CL62" s="347">
        <f t="shared" si="23"/>
        <v>188240.19687132421</v>
      </c>
      <c r="CM62" s="45">
        <v>68521.275119110578</v>
      </c>
      <c r="CN62" s="47">
        <v>1558.7100121793844</v>
      </c>
      <c r="CO62" s="45">
        <v>91927.513735598433</v>
      </c>
      <c r="CP62" s="55">
        <v>2.3415908208917711</v>
      </c>
      <c r="CQ62" s="47">
        <f t="shared" si="24"/>
        <v>2.747178836705916</v>
      </c>
      <c r="CR62" s="45">
        <v>62426.94372219326</v>
      </c>
      <c r="CS62" s="55">
        <v>2.5701849119624325</v>
      </c>
    </row>
    <row r="63" spans="1:97" s="23" customFormat="1" ht="15" customHeight="1">
      <c r="A63" s="377" t="str">
        <f t="shared" si="68"/>
        <v>BNI - Efficient Product Rebates; Relamp/Reballast-Retrofit (dual baseline); COM-Lighting; Other Commercial</v>
      </c>
      <c r="B63" s="42" t="s">
        <v>75</v>
      </c>
      <c r="C63" s="15" t="s">
        <v>73</v>
      </c>
      <c r="D63" s="15" t="s">
        <v>56</v>
      </c>
      <c r="E63" s="43">
        <v>15</v>
      </c>
      <c r="F63" s="44">
        <v>84.736735861629398</v>
      </c>
      <c r="G63" s="44">
        <v>10.273041186242946</v>
      </c>
      <c r="H63" s="45">
        <v>44.476701245850407</v>
      </c>
      <c r="I63" s="46">
        <v>0.56209204594129947</v>
      </c>
      <c r="J63" s="45">
        <v>2.7115755475721408</v>
      </c>
      <c r="K63" s="45">
        <v>27.711575547572139</v>
      </c>
      <c r="L63" s="45">
        <v>19.476701245850411</v>
      </c>
      <c r="M63" s="45">
        <v>47.188276793422546</v>
      </c>
      <c r="N63" s="45">
        <v>77.951991390733767</v>
      </c>
      <c r="O63" s="47">
        <v>0.65</v>
      </c>
      <c r="P63" s="47">
        <v>1.6023561309206746</v>
      </c>
      <c r="Q63" s="310">
        <f t="shared" si="69"/>
        <v>1.6023561309206746</v>
      </c>
      <c r="R63" s="311">
        <f t="shared" si="18"/>
        <v>0</v>
      </c>
      <c r="S63" s="311">
        <f t="shared" si="70"/>
        <v>26.573797082609136</v>
      </c>
      <c r="T63" s="310">
        <f t="shared" si="71"/>
        <v>2.1485985798624254</v>
      </c>
      <c r="U63" s="316">
        <f t="shared" si="45"/>
        <v>0.34089952813916169</v>
      </c>
      <c r="V63" s="48">
        <v>0.32703142581304612</v>
      </c>
      <c r="W63" s="49">
        <v>2.6975045699886668</v>
      </c>
      <c r="X63" s="48" t="s">
        <v>74</v>
      </c>
      <c r="Y63" s="48" t="s">
        <v>527</v>
      </c>
      <c r="Z63" s="247">
        <f>0.027*Z3</f>
        <v>3.4020000000000002E-2</v>
      </c>
      <c r="AA63" s="247"/>
      <c r="AB63" s="386">
        <v>0</v>
      </c>
      <c r="AC63" s="387">
        <f t="shared" si="115"/>
        <v>2.8827437540126324</v>
      </c>
      <c r="AD63" s="361">
        <f t="shared" si="116"/>
        <v>0.14413718770063164</v>
      </c>
      <c r="AE63" s="361">
        <f t="shared" si="117"/>
        <v>8.3599568866366339E-2</v>
      </c>
      <c r="AF63" s="361">
        <f t="shared" si="118"/>
        <v>1.153097501605053E-2</v>
      </c>
      <c r="AG63" s="361">
        <f t="shared" si="119"/>
        <v>0</v>
      </c>
      <c r="AH63" s="361">
        <f t="shared" si="120"/>
        <v>0.21044029404292214</v>
      </c>
      <c r="AI63" s="361">
        <f t="shared" si="121"/>
        <v>2.12458214670731</v>
      </c>
      <c r="AJ63" s="361" t="s">
        <v>40</v>
      </c>
      <c r="AK63" s="361">
        <f t="shared" si="114"/>
        <v>0</v>
      </c>
      <c r="AL63" s="361">
        <f t="shared" si="122"/>
        <v>0.23926773158304851</v>
      </c>
      <c r="AM63" s="361">
        <f t="shared" si="123"/>
        <v>6.6303106342290544E-2</v>
      </c>
      <c r="AN63" s="361">
        <f t="shared" si="74"/>
        <v>2.8798610102586197</v>
      </c>
      <c r="AO63" s="294" t="s">
        <v>617</v>
      </c>
      <c r="AP63" s="282" t="s">
        <v>420</v>
      </c>
      <c r="AQ63" s="136" t="s">
        <v>74</v>
      </c>
      <c r="AR63" s="294"/>
      <c r="AS63" s="142"/>
      <c r="AT63" s="142" t="s">
        <v>217</v>
      </c>
      <c r="AU63" s="146" t="s">
        <v>227</v>
      </c>
      <c r="AV63" s="48" t="s">
        <v>201</v>
      </c>
      <c r="AW63" s="131" t="s">
        <v>284</v>
      </c>
      <c r="AX63" s="131"/>
      <c r="AY63" s="131"/>
      <c r="AZ63" s="48"/>
      <c r="BA63" s="48"/>
      <c r="BB63" s="50"/>
      <c r="BC63" s="51" t="s">
        <v>75</v>
      </c>
      <c r="BD63" s="52">
        <v>143.43605814490911</v>
      </c>
      <c r="BE63" s="53">
        <v>1183.1261212439031</v>
      </c>
      <c r="BF63" s="54">
        <v>143.43605814490911</v>
      </c>
      <c r="BG63" s="53">
        <v>1183.1261212439031</v>
      </c>
      <c r="BH63" s="450">
        <v>343539.60039435938</v>
      </c>
      <c r="BI63" s="347">
        <f t="shared" si="75"/>
        <v>67238.251855295573</v>
      </c>
      <c r="BJ63" s="347">
        <f t="shared" si="19"/>
        <v>410777.85224965494</v>
      </c>
      <c r="BK63" s="45">
        <v>170783.21799360187</v>
      </c>
      <c r="BL63" s="47">
        <v>3892.6866217571746</v>
      </c>
      <c r="BM63" s="45">
        <v>172756.38240075752</v>
      </c>
      <c r="BN63" s="55">
        <v>2.0115536200238924</v>
      </c>
      <c r="BO63" s="47">
        <f t="shared" si="20"/>
        <v>2.4052588836043838</v>
      </c>
      <c r="BP63" s="45">
        <v>155563.37458978305</v>
      </c>
      <c r="BQ63" s="55">
        <v>2.2083578560844748</v>
      </c>
      <c r="BR63" s="54">
        <v>94.513175109862104</v>
      </c>
      <c r="BS63" s="53">
        <v>779.58783670147693</v>
      </c>
      <c r="BT63" s="54">
        <v>237.94923325477126</v>
      </c>
      <c r="BU63" s="53">
        <v>1962.7139579453801</v>
      </c>
      <c r="BV63" s="450">
        <v>244765.24576384207</v>
      </c>
      <c r="BW63" s="347">
        <f t="shared" si="76"/>
        <v>44304.763766307617</v>
      </c>
      <c r="BX63" s="347">
        <f t="shared" si="21"/>
        <v>289070.00953014969</v>
      </c>
      <c r="BY63" s="45">
        <v>112532.82052514309</v>
      </c>
      <c r="BZ63" s="47">
        <v>2564.976876025587</v>
      </c>
      <c r="CA63" s="45">
        <v>132232.42523869898</v>
      </c>
      <c r="CB63" s="55">
        <v>2.1750565268125883</v>
      </c>
      <c r="CC63" s="47">
        <f t="shared" si="22"/>
        <v>2.5687617903930797</v>
      </c>
      <c r="CD63" s="45">
        <v>102504.1307844047</v>
      </c>
      <c r="CE63" s="55">
        <v>2.3878573857540717</v>
      </c>
      <c r="CF63" s="52">
        <v>78.646108842540798</v>
      </c>
      <c r="CG63" s="53">
        <v>648.70902692959726</v>
      </c>
      <c r="CH63" s="54">
        <v>316.59534209731203</v>
      </c>
      <c r="CI63" s="53">
        <v>2611.4229848749774</v>
      </c>
      <c r="CJ63" s="450">
        <v>221223.63009621802</v>
      </c>
      <c r="CK63" s="347">
        <f t="shared" si="77"/>
        <v>36866.788882690933</v>
      </c>
      <c r="CL63" s="347">
        <f t="shared" si="23"/>
        <v>258090.41897890897</v>
      </c>
      <c r="CM63" s="45">
        <v>93640.579115990549</v>
      </c>
      <c r="CN63" s="47">
        <v>2134.3632814792531</v>
      </c>
      <c r="CO63" s="45">
        <v>127583.05098022748</v>
      </c>
      <c r="CP63" s="55">
        <v>2.3624760994076417</v>
      </c>
      <c r="CQ63" s="47">
        <f t="shared" si="24"/>
        <v>2.7561813629881335</v>
      </c>
      <c r="CR63" s="45">
        <v>85295.526439669193</v>
      </c>
      <c r="CS63" s="55">
        <v>2.5936135144519312</v>
      </c>
    </row>
    <row r="64" spans="1:97" s="23" customFormat="1" ht="15" customHeight="1">
      <c r="A64" s="377" t="str">
        <f t="shared" si="68"/>
        <v>BNI - Efficient Product Rebates; Relamp/Reballast-Retrofit (dual baseline); COM-Lighting; Retail</v>
      </c>
      <c r="B64" s="42" t="s">
        <v>75</v>
      </c>
      <c r="C64" s="15" t="s">
        <v>73</v>
      </c>
      <c r="D64" s="15" t="s">
        <v>30</v>
      </c>
      <c r="E64" s="43">
        <v>15</v>
      </c>
      <c r="F64" s="44">
        <v>85.16894192420628</v>
      </c>
      <c r="G64" s="44">
        <v>11.483772532253406</v>
      </c>
      <c r="H64" s="45">
        <v>44.476701245850407</v>
      </c>
      <c r="I64" s="46">
        <v>0.56209204594129947</v>
      </c>
      <c r="J64" s="45">
        <v>2.7254061415746009</v>
      </c>
      <c r="K64" s="45">
        <v>27.725406141574599</v>
      </c>
      <c r="L64" s="45">
        <v>19.476701245850411</v>
      </c>
      <c r="M64" s="45">
        <v>47.202107387425009</v>
      </c>
      <c r="N64" s="45">
        <v>80.16403833992247</v>
      </c>
      <c r="O64" s="47">
        <v>0.65</v>
      </c>
      <c r="P64" s="47">
        <v>1.6471058466668058</v>
      </c>
      <c r="Q64" s="310">
        <f t="shared" si="69"/>
        <v>1.6471058466668058</v>
      </c>
      <c r="R64" s="311">
        <f t="shared" si="18"/>
        <v>0</v>
      </c>
      <c r="S64" s="311">
        <f t="shared" si="70"/>
        <v>26.70933872329195</v>
      </c>
      <c r="T64" s="310">
        <f t="shared" si="71"/>
        <v>2.1958944167384975</v>
      </c>
      <c r="U64" s="316">
        <f t="shared" si="45"/>
        <v>0.33318354808967326</v>
      </c>
      <c r="V64" s="48">
        <v>0.32553423249343699</v>
      </c>
      <c r="W64" s="49">
        <v>2.4143116788237338</v>
      </c>
      <c r="X64" s="48" t="s">
        <v>74</v>
      </c>
      <c r="Y64" s="48" t="s">
        <v>527</v>
      </c>
      <c r="Z64" s="247">
        <f>0.027*Z3</f>
        <v>3.4020000000000002E-2</v>
      </c>
      <c r="AA64" s="247"/>
      <c r="AB64" s="386">
        <v>0</v>
      </c>
      <c r="AC64" s="387">
        <f t="shared" si="115"/>
        <v>2.8974474042614977</v>
      </c>
      <c r="AD64" s="361">
        <f t="shared" si="116"/>
        <v>0.14487237021307489</v>
      </c>
      <c r="AE64" s="361">
        <f t="shared" si="117"/>
        <v>8.4025974723583433E-2</v>
      </c>
      <c r="AF64" s="361">
        <f t="shared" si="118"/>
        <v>1.158978961704599E-2</v>
      </c>
      <c r="AG64" s="361">
        <f t="shared" si="119"/>
        <v>0</v>
      </c>
      <c r="AH64" s="361">
        <f t="shared" si="120"/>
        <v>0.21151366051108933</v>
      </c>
      <c r="AI64" s="361">
        <f t="shared" si="121"/>
        <v>2.1354187369407236</v>
      </c>
      <c r="AJ64" s="361" t="s">
        <v>40</v>
      </c>
      <c r="AK64" s="361">
        <f t="shared" si="114"/>
        <v>0</v>
      </c>
      <c r="AL64" s="361">
        <f t="shared" si="122"/>
        <v>0.24048813455370432</v>
      </c>
      <c r="AM64" s="361">
        <f t="shared" si="123"/>
        <v>6.6641290298014452E-2</v>
      </c>
      <c r="AN64" s="361">
        <f t="shared" si="74"/>
        <v>2.8945499568572357</v>
      </c>
      <c r="AO64" s="294" t="s">
        <v>617</v>
      </c>
      <c r="AP64" s="282" t="s">
        <v>420</v>
      </c>
      <c r="AQ64" s="136" t="s">
        <v>74</v>
      </c>
      <c r="AR64" s="294"/>
      <c r="AS64" s="142"/>
      <c r="AT64" s="142" t="s">
        <v>217</v>
      </c>
      <c r="AU64" s="146" t="s">
        <v>227</v>
      </c>
      <c r="AV64" s="48" t="s">
        <v>201</v>
      </c>
      <c r="AW64" s="131" t="s">
        <v>284</v>
      </c>
      <c r="AX64" s="131"/>
      <c r="AY64" s="131"/>
      <c r="AZ64" s="48"/>
      <c r="BA64" s="48"/>
      <c r="BB64" s="50"/>
      <c r="BC64" s="51" t="s">
        <v>75</v>
      </c>
      <c r="BD64" s="52">
        <v>228.27297598211504</v>
      </c>
      <c r="BE64" s="53">
        <v>1692.9774409656934</v>
      </c>
      <c r="BF64" s="54">
        <v>228.27297598211504</v>
      </c>
      <c r="BG64" s="53">
        <v>1692.9774409656934</v>
      </c>
      <c r="BH64" s="450">
        <v>501423.18269927625</v>
      </c>
      <c r="BI64" s="347">
        <f t="shared" si="75"/>
        <v>96615.058527784</v>
      </c>
      <c r="BJ64" s="347">
        <f t="shared" si="19"/>
        <v>598038.24122706021</v>
      </c>
      <c r="BK64" s="45">
        <v>244231.09998595127</v>
      </c>
      <c r="BL64" s="47">
        <v>5565.0404946785711</v>
      </c>
      <c r="BM64" s="45">
        <v>257192.08271332498</v>
      </c>
      <c r="BN64" s="55">
        <v>2.0530685188254862</v>
      </c>
      <c r="BO64" s="47">
        <f t="shared" si="20"/>
        <v>2.4486571991096167</v>
      </c>
      <c r="BP64" s="45">
        <v>222472.59407604457</v>
      </c>
      <c r="BQ64" s="55">
        <v>2.2538649525877426</v>
      </c>
      <c r="BR64" s="54">
        <v>150.33663269102854</v>
      </c>
      <c r="BS64" s="53">
        <v>1114.9656528620278</v>
      </c>
      <c r="BT64" s="54">
        <v>378.60960867314355</v>
      </c>
      <c r="BU64" s="53">
        <v>2807.943093827721</v>
      </c>
      <c r="BV64" s="450">
        <v>359340.31955430185</v>
      </c>
      <c r="BW64" s="347">
        <f t="shared" si="76"/>
        <v>63629.00603465076</v>
      </c>
      <c r="BX64" s="347">
        <f t="shared" si="21"/>
        <v>422969.32558895263</v>
      </c>
      <c r="BY64" s="45">
        <v>160846.37707264366</v>
      </c>
      <c r="BZ64" s="47">
        <v>3665.0393904915886</v>
      </c>
      <c r="CA64" s="45">
        <v>198493.94248165819</v>
      </c>
      <c r="CB64" s="55">
        <v>2.2340591444718187</v>
      </c>
      <c r="CC64" s="47">
        <f t="shared" si="22"/>
        <v>2.6296478247559496</v>
      </c>
      <c r="CD64" s="45">
        <v>146516.60151857417</v>
      </c>
      <c r="CE64" s="55">
        <v>2.4525570196818114</v>
      </c>
      <c r="CF64" s="52">
        <v>125.07157008728495</v>
      </c>
      <c r="CG64" s="53">
        <v>927.58832162648514</v>
      </c>
      <c r="CH64" s="54">
        <v>503.68117876042851</v>
      </c>
      <c r="CI64" s="53">
        <v>3735.5314154542061</v>
      </c>
      <c r="CJ64" s="450">
        <v>326363.17979827808</v>
      </c>
      <c r="CK64" s="347">
        <f t="shared" si="77"/>
        <v>52935.731933032788</v>
      </c>
      <c r="CL64" s="347">
        <f t="shared" si="23"/>
        <v>379298.91173131089</v>
      </c>
      <c r="CM64" s="45">
        <v>133815.08261311176</v>
      </c>
      <c r="CN64" s="47">
        <v>3049.1053497427697</v>
      </c>
      <c r="CO64" s="45">
        <v>192548.09718516632</v>
      </c>
      <c r="CP64" s="55">
        <v>2.4389117685774209</v>
      </c>
      <c r="CQ64" s="47">
        <f t="shared" si="24"/>
        <v>2.8345004488615513</v>
      </c>
      <c r="CR64" s="45">
        <v>121893.52034671928</v>
      </c>
      <c r="CS64" s="55">
        <v>2.6774448622860043</v>
      </c>
    </row>
    <row r="65" spans="1:97" s="23" customFormat="1" ht="15" customHeight="1">
      <c r="A65" s="377" t="str">
        <f t="shared" si="68"/>
        <v>BNI - Efficient Product Rebates; Relamp/Reballast-Retrofit (dual baseline); COM-Lighting; School</v>
      </c>
      <c r="B65" s="42" t="s">
        <v>75</v>
      </c>
      <c r="C65" s="15" t="s">
        <v>73</v>
      </c>
      <c r="D65" s="15" t="s">
        <v>59</v>
      </c>
      <c r="E65" s="43">
        <v>15</v>
      </c>
      <c r="F65" s="44">
        <v>87.840289392333787</v>
      </c>
      <c r="G65" s="44">
        <v>11.322798854679398</v>
      </c>
      <c r="H65" s="45">
        <v>44.476701245850407</v>
      </c>
      <c r="I65" s="46">
        <v>0.56209204594129947</v>
      </c>
      <c r="J65" s="45">
        <v>2.8108892605546814</v>
      </c>
      <c r="K65" s="45">
        <v>27.810889260554678</v>
      </c>
      <c r="L65" s="45">
        <v>19.476701245850411</v>
      </c>
      <c r="M65" s="45">
        <v>47.287590506405088</v>
      </c>
      <c r="N65" s="45">
        <v>81.86203673578359</v>
      </c>
      <c r="O65" s="47">
        <v>0.65</v>
      </c>
      <c r="P65" s="47">
        <v>1.6774613509309899</v>
      </c>
      <c r="Q65" s="310">
        <f t="shared" si="69"/>
        <v>1.6774613509309899</v>
      </c>
      <c r="R65" s="311">
        <f t="shared" si="18"/>
        <v>0</v>
      </c>
      <c r="S65" s="311">
        <f t="shared" si="70"/>
        <v>27.547084534873374</v>
      </c>
      <c r="T65" s="310">
        <f t="shared" si="71"/>
        <v>2.241937529152926</v>
      </c>
      <c r="U65" s="316">
        <f t="shared" si="45"/>
        <v>0.33650621989511242</v>
      </c>
      <c r="V65" s="48">
        <v>0.31660744122026829</v>
      </c>
      <c r="W65" s="49">
        <v>2.4561850490756716</v>
      </c>
      <c r="X65" s="48" t="s">
        <v>74</v>
      </c>
      <c r="Y65" s="48" t="s">
        <v>527</v>
      </c>
      <c r="Z65" s="247">
        <f>0.027*Z3</f>
        <v>3.4020000000000002E-2</v>
      </c>
      <c r="AA65" s="247"/>
      <c r="AB65" s="386">
        <v>0</v>
      </c>
      <c r="AC65" s="387">
        <f t="shared" si="115"/>
        <v>2.9883266451271955</v>
      </c>
      <c r="AD65" s="361">
        <f t="shared" si="116"/>
        <v>0.14941633225635978</v>
      </c>
      <c r="AE65" s="361">
        <f t="shared" si="117"/>
        <v>8.6661472708688667E-2</v>
      </c>
      <c r="AF65" s="361">
        <f t="shared" si="118"/>
        <v>1.1953306580508782E-2</v>
      </c>
      <c r="AG65" s="361">
        <f t="shared" si="119"/>
        <v>0</v>
      </c>
      <c r="AH65" s="361">
        <f t="shared" si="120"/>
        <v>0.21814784509428525</v>
      </c>
      <c r="AI65" s="361">
        <f t="shared" si="121"/>
        <v>2.2023967374587432</v>
      </c>
      <c r="AJ65" s="361" t="s">
        <v>40</v>
      </c>
      <c r="AK65" s="361">
        <f t="shared" si="114"/>
        <v>0</v>
      </c>
      <c r="AL65" s="361">
        <f t="shared" si="122"/>
        <v>0.24803111154555724</v>
      </c>
      <c r="AM65" s="361">
        <f t="shared" si="123"/>
        <v>6.8731512837925501E-2</v>
      </c>
      <c r="AN65" s="361">
        <f t="shared" si="74"/>
        <v>2.9853383184820683</v>
      </c>
      <c r="AO65" s="294" t="s">
        <v>617</v>
      </c>
      <c r="AP65" s="282" t="s">
        <v>420</v>
      </c>
      <c r="AQ65" s="136" t="s">
        <v>74</v>
      </c>
      <c r="AR65" s="294"/>
      <c r="AS65" s="142"/>
      <c r="AT65" s="142" t="s">
        <v>217</v>
      </c>
      <c r="AU65" s="146" t="s">
        <v>227</v>
      </c>
      <c r="AV65" s="48" t="s">
        <v>201</v>
      </c>
      <c r="AW65" s="131" t="s">
        <v>284</v>
      </c>
      <c r="AX65" s="131"/>
      <c r="AY65" s="131"/>
      <c r="AZ65" s="48"/>
      <c r="BA65" s="48"/>
      <c r="BB65" s="50"/>
      <c r="BC65" s="51" t="s">
        <v>75</v>
      </c>
      <c r="BD65" s="52">
        <v>275.59295471015287</v>
      </c>
      <c r="BE65" s="53">
        <v>2138.001849800909</v>
      </c>
      <c r="BF65" s="54">
        <v>275.59295471015287</v>
      </c>
      <c r="BG65" s="53">
        <v>2138.001849800909</v>
      </c>
      <c r="BH65" s="450">
        <v>630153.15070962382</v>
      </c>
      <c r="BI65" s="347">
        <f t="shared" si="75"/>
        <v>125124.52992373287</v>
      </c>
      <c r="BJ65" s="347">
        <f t="shared" si="19"/>
        <v>755277.68063335668</v>
      </c>
      <c r="BK65" s="45">
        <v>307277.81052887219</v>
      </c>
      <c r="BL65" s="47">
        <v>6988.0090781312056</v>
      </c>
      <c r="BM65" s="45">
        <v>322875.34018075163</v>
      </c>
      <c r="BN65" s="55">
        <v>2.0507603514390893</v>
      </c>
      <c r="BO65" s="47">
        <f t="shared" si="20"/>
        <v>2.4579636236453521</v>
      </c>
      <c r="BP65" s="45">
        <v>279955.70263578638</v>
      </c>
      <c r="BQ65" s="55">
        <v>2.2509030706526931</v>
      </c>
      <c r="BR65" s="54">
        <v>180.93922804411369</v>
      </c>
      <c r="BS65" s="53">
        <v>1403.6948247342555</v>
      </c>
      <c r="BT65" s="54">
        <v>456.53218275426656</v>
      </c>
      <c r="BU65" s="53">
        <v>3541.6966745351647</v>
      </c>
      <c r="BV65" s="450">
        <v>448909.13508726668</v>
      </c>
      <c r="BW65" s="347">
        <f t="shared" si="76"/>
        <v>82149.907923421866</v>
      </c>
      <c r="BX65" s="347">
        <f t="shared" si="21"/>
        <v>531059.0430106885</v>
      </c>
      <c r="BY65" s="45">
        <v>201741.76763935728</v>
      </c>
      <c r="BZ65" s="47">
        <v>4587.943728431379</v>
      </c>
      <c r="CA65" s="45">
        <v>247167.3674479094</v>
      </c>
      <c r="CB65" s="55">
        <v>2.2251670555883947</v>
      </c>
      <c r="CC65" s="47">
        <f t="shared" si="22"/>
        <v>2.6323703277946575</v>
      </c>
      <c r="CD65" s="45">
        <v>183803.56919770167</v>
      </c>
      <c r="CE65" s="55">
        <v>2.4423308918686653</v>
      </c>
      <c r="CF65" s="52">
        <v>150.34347080382074</v>
      </c>
      <c r="CG65" s="53">
        <v>1166.3383014348735</v>
      </c>
      <c r="CH65" s="54">
        <v>606.87565355808738</v>
      </c>
      <c r="CI65" s="53">
        <v>4708.0349759700384</v>
      </c>
      <c r="CJ65" s="450">
        <v>406265.34826558235</v>
      </c>
      <c r="CK65" s="347">
        <f t="shared" si="77"/>
        <v>68258.842578959098</v>
      </c>
      <c r="CL65" s="347">
        <f t="shared" si="23"/>
        <v>474524.19084454142</v>
      </c>
      <c r="CM65" s="45">
        <v>167628.42353679208</v>
      </c>
      <c r="CN65" s="47">
        <v>3812.1494793645716</v>
      </c>
      <c r="CO65" s="45">
        <v>238636.92472879027</v>
      </c>
      <c r="CP65" s="55">
        <v>2.4236065679900212</v>
      </c>
      <c r="CQ65" s="47">
        <f t="shared" si="24"/>
        <v>2.830809840196284</v>
      </c>
      <c r="CR65" s="45">
        <v>152723.46874706191</v>
      </c>
      <c r="CS65" s="55">
        <v>2.6601369887586324</v>
      </c>
    </row>
    <row r="66" spans="1:97" s="23" customFormat="1" ht="15" customHeight="1">
      <c r="A66" s="377" t="str">
        <f t="shared" si="68"/>
        <v xml:space="preserve">BNI - Efficient Product Rebates; T8 Dimmable Stairwell Lighting; IND; Industrial </v>
      </c>
      <c r="B66" s="42" t="s">
        <v>76</v>
      </c>
      <c r="C66" s="15" t="s">
        <v>69</v>
      </c>
      <c r="D66" s="15" t="s">
        <v>70</v>
      </c>
      <c r="E66" s="43">
        <v>10</v>
      </c>
      <c r="F66" s="44">
        <v>449.80654612634993</v>
      </c>
      <c r="G66" s="44">
        <v>81.133936889481745</v>
      </c>
      <c r="H66" s="45">
        <v>95</v>
      </c>
      <c r="I66" s="46">
        <v>0.52631578947368418</v>
      </c>
      <c r="J66" s="45">
        <v>14.393809476043199</v>
      </c>
      <c r="K66" s="45">
        <v>64.393809476043202</v>
      </c>
      <c r="L66" s="45">
        <v>45</v>
      </c>
      <c r="M66" s="45">
        <v>109.3938094760432</v>
      </c>
      <c r="N66" s="45">
        <v>319.24865735592812</v>
      </c>
      <c r="O66" s="47">
        <v>0.82</v>
      </c>
      <c r="P66" s="47">
        <v>2.8364188293670183</v>
      </c>
      <c r="Q66" s="310">
        <f t="shared" si="69"/>
        <v>2.8364188293670183</v>
      </c>
      <c r="R66" s="311">
        <f t="shared" si="18"/>
        <v>0</v>
      </c>
      <c r="S66" s="311">
        <f t="shared" si="70"/>
        <v>108.42812040575144</v>
      </c>
      <c r="T66" s="310">
        <f t="shared" si="71"/>
        <v>3.7997668506207614</v>
      </c>
      <c r="U66" s="316">
        <f t="shared" si="45"/>
        <v>0.33963532158215365</v>
      </c>
      <c r="V66" s="48">
        <v>0.14315889804314916</v>
      </c>
      <c r="W66" s="49">
        <v>0.79367293077073964</v>
      </c>
      <c r="X66" s="48" t="s">
        <v>74</v>
      </c>
      <c r="Y66" s="48" t="s">
        <v>527</v>
      </c>
      <c r="Z66" s="247">
        <f>0.027*Z3</f>
        <v>3.4020000000000002E-2</v>
      </c>
      <c r="AA66" s="247"/>
      <c r="AB66" s="386">
        <v>0</v>
      </c>
      <c r="AC66" s="387">
        <f t="shared" si="115"/>
        <v>15.302418699218425</v>
      </c>
      <c r="AD66" s="361">
        <f t="shared" si="116"/>
        <v>0.76512093496092126</v>
      </c>
      <c r="AE66" s="361">
        <f t="shared" si="117"/>
        <v>0.44377014227733436</v>
      </c>
      <c r="AF66" s="361">
        <f t="shared" si="118"/>
        <v>6.1209674796873698E-2</v>
      </c>
      <c r="AG66" s="361">
        <f t="shared" si="119"/>
        <v>0</v>
      </c>
      <c r="AH66" s="361">
        <f t="shared" si="120"/>
        <v>1.1170765650429448</v>
      </c>
      <c r="AI66" s="361">
        <f t="shared" si="121"/>
        <v>11.277882581323979</v>
      </c>
      <c r="AJ66" s="361" t="s">
        <v>40</v>
      </c>
      <c r="AK66" s="361">
        <f t="shared" si="114"/>
        <v>0</v>
      </c>
      <c r="AL66" s="361">
        <f t="shared" si="122"/>
        <v>1.2701007520351293</v>
      </c>
      <c r="AM66" s="361">
        <f t="shared" si="123"/>
        <v>0.35195563008202374</v>
      </c>
      <c r="AN66" s="361">
        <f t="shared" si="74"/>
        <v>15.287116280519205</v>
      </c>
      <c r="AO66" s="294" t="s">
        <v>617</v>
      </c>
      <c r="AP66" s="282" t="s">
        <v>420</v>
      </c>
      <c r="AQ66" s="136" t="s">
        <v>74</v>
      </c>
      <c r="AR66" s="294"/>
      <c r="AS66" s="142"/>
      <c r="AT66" s="142" t="s">
        <v>217</v>
      </c>
      <c r="AU66" s="146" t="s">
        <v>227</v>
      </c>
      <c r="AV66" s="48" t="s">
        <v>201</v>
      </c>
      <c r="AW66" s="131" t="s">
        <v>284</v>
      </c>
      <c r="AX66" s="131"/>
      <c r="AY66" s="131"/>
      <c r="AZ66" s="48"/>
      <c r="BA66" s="48"/>
      <c r="BB66" s="50"/>
      <c r="BC66" s="51" t="s">
        <v>76</v>
      </c>
      <c r="BD66" s="52">
        <v>1.9139875924987564</v>
      </c>
      <c r="BE66" s="53">
        <v>10.611147213074091</v>
      </c>
      <c r="BF66" s="54">
        <v>1.9139875924987564</v>
      </c>
      <c r="BG66" s="53">
        <v>10.611147213074091</v>
      </c>
      <c r="BH66" s="450">
        <v>7531.2254344747407</v>
      </c>
      <c r="BI66" s="347">
        <f t="shared" si="75"/>
        <v>2557.8701723455238</v>
      </c>
      <c r="BJ66" s="347">
        <f t="shared" si="19"/>
        <v>10089.095606820265</v>
      </c>
      <c r="BK66" s="45">
        <v>2655.1880690185048</v>
      </c>
      <c r="BL66" s="47">
        <v>28.768864175096326</v>
      </c>
      <c r="BM66" s="45">
        <v>4876.0373654562354</v>
      </c>
      <c r="BN66" s="55">
        <v>2.8364188293670183</v>
      </c>
      <c r="BO66" s="47">
        <f t="shared" si="20"/>
        <v>3.7997668506207614</v>
      </c>
      <c r="BP66" s="45">
        <v>1852.5367585333174</v>
      </c>
      <c r="BQ66" s="55">
        <v>4.0653581634932472</v>
      </c>
      <c r="BR66" s="54">
        <v>1.7815215899932755</v>
      </c>
      <c r="BS66" s="53">
        <v>9.8767556951656417</v>
      </c>
      <c r="BT66" s="54">
        <v>3.6955091824920321</v>
      </c>
      <c r="BU66" s="53">
        <v>20.487902908239732</v>
      </c>
      <c r="BV66" s="450">
        <v>7541.5107366409256</v>
      </c>
      <c r="BW66" s="347">
        <f t="shared" si="76"/>
        <v>2380.8414193972008</v>
      </c>
      <c r="BX66" s="347">
        <f t="shared" si="21"/>
        <v>9922.3521560381269</v>
      </c>
      <c r="BY66" s="45">
        <v>2471.4239992922494</v>
      </c>
      <c r="BZ66" s="47">
        <v>26.7777873003905</v>
      </c>
      <c r="CA66" s="45">
        <v>5070.0867373486763</v>
      </c>
      <c r="CB66" s="55">
        <v>3.0514839779821736</v>
      </c>
      <c r="CC66" s="47">
        <f t="shared" si="22"/>
        <v>4.0148319992359172</v>
      </c>
      <c r="CD66" s="45">
        <v>1724.323733611355</v>
      </c>
      <c r="CE66" s="55">
        <v>4.3736049035561821</v>
      </c>
      <c r="CF66" s="52">
        <v>1.8778529849440315</v>
      </c>
      <c r="CG66" s="53">
        <v>10.410816948785769</v>
      </c>
      <c r="CH66" s="54">
        <v>5.5733621674360636</v>
      </c>
      <c r="CI66" s="53">
        <v>30.898719857025501</v>
      </c>
      <c r="CJ66" s="450">
        <v>8580.5981692488695</v>
      </c>
      <c r="CK66" s="347">
        <f t="shared" si="77"/>
        <v>2509.5795589602112</v>
      </c>
      <c r="CL66" s="347">
        <f t="shared" si="23"/>
        <v>11090.177728209081</v>
      </c>
      <c r="CM66" s="45">
        <v>2605.0601689035857</v>
      </c>
      <c r="CN66" s="47">
        <v>28.225730237950405</v>
      </c>
      <c r="CO66" s="45">
        <v>5975.5380003452838</v>
      </c>
      <c r="CP66" s="55">
        <v>3.2938195714919938</v>
      </c>
      <c r="CQ66" s="47">
        <f t="shared" si="24"/>
        <v>4.2571675927457369</v>
      </c>
      <c r="CR66" s="45">
        <v>1817.5622952647698</v>
      </c>
      <c r="CS66" s="55">
        <v>4.7209375940530878</v>
      </c>
    </row>
    <row r="67" spans="1:97" s="23" customFormat="1" ht="15" customHeight="1">
      <c r="A67" s="377" t="str">
        <f t="shared" si="68"/>
        <v>BNI - Efficient Product Rebates; T8 Dimmable Stairwell Lighting; COM-Lighting; Office</v>
      </c>
      <c r="B67" s="42" t="s">
        <v>76</v>
      </c>
      <c r="C67" s="15" t="s">
        <v>73</v>
      </c>
      <c r="D67" s="15" t="s">
        <v>66</v>
      </c>
      <c r="E67" s="43">
        <v>10</v>
      </c>
      <c r="F67" s="44">
        <v>286.55840330774993</v>
      </c>
      <c r="G67" s="44">
        <v>21.192330061541021</v>
      </c>
      <c r="H67" s="45">
        <v>95</v>
      </c>
      <c r="I67" s="46">
        <v>0.52631578947368418</v>
      </c>
      <c r="J67" s="45">
        <v>9.1698689058479985</v>
      </c>
      <c r="K67" s="45">
        <v>59.169868905847999</v>
      </c>
      <c r="L67" s="45">
        <v>45</v>
      </c>
      <c r="M67" s="45">
        <v>104.16986890584801</v>
      </c>
      <c r="N67" s="45">
        <v>169.29929577381824</v>
      </c>
      <c r="O67" s="47">
        <v>0.82</v>
      </c>
      <c r="P67" s="47">
        <v>1.5944140525196868</v>
      </c>
      <c r="Q67" s="310">
        <f t="shared" si="69"/>
        <v>1.5944140525196868</v>
      </c>
      <c r="R67" s="311">
        <f t="shared" si="18"/>
        <v>0</v>
      </c>
      <c r="S67" s="311">
        <f t="shared" si="70"/>
        <v>69.076338094032081</v>
      </c>
      <c r="T67" s="310">
        <f t="shared" si="71"/>
        <v>2.2449559443233387</v>
      </c>
      <c r="U67" s="316">
        <f t="shared" si="45"/>
        <v>0.40801314487638046</v>
      </c>
      <c r="V67" s="48">
        <v>0.20648450097030449</v>
      </c>
      <c r="W67" s="49">
        <v>2.792041683666822</v>
      </c>
      <c r="X67" s="48" t="s">
        <v>74</v>
      </c>
      <c r="Y67" s="48" t="s">
        <v>527</v>
      </c>
      <c r="Z67" s="247">
        <f>0.027*Z3</f>
        <v>3.4020000000000002E-2</v>
      </c>
      <c r="AA67" s="247"/>
      <c r="AB67" s="386">
        <v>0</v>
      </c>
      <c r="AC67" s="387">
        <f t="shared" si="115"/>
        <v>9.7487168805296527</v>
      </c>
      <c r="AD67" s="361">
        <f t="shared" si="116"/>
        <v>0.48743584402648266</v>
      </c>
      <c r="AE67" s="361">
        <f t="shared" si="117"/>
        <v>0.28271278953535994</v>
      </c>
      <c r="AF67" s="361">
        <f t="shared" si="118"/>
        <v>3.8994867522118615E-2</v>
      </c>
      <c r="AG67" s="361">
        <f t="shared" si="119"/>
        <v>0</v>
      </c>
      <c r="AH67" s="361">
        <f t="shared" si="120"/>
        <v>0.71165633227866465</v>
      </c>
      <c r="AI67" s="361">
        <f t="shared" si="121"/>
        <v>7.1848043409503539</v>
      </c>
      <c r="AJ67" s="361" t="s">
        <v>40</v>
      </c>
      <c r="AK67" s="361">
        <f t="shared" si="114"/>
        <v>0</v>
      </c>
      <c r="AL67" s="361">
        <f t="shared" si="122"/>
        <v>0.80914350108396127</v>
      </c>
      <c r="AM67" s="361">
        <f t="shared" si="123"/>
        <v>0.22422048825218202</v>
      </c>
      <c r="AN67" s="361">
        <f t="shared" si="74"/>
        <v>9.7389681636491225</v>
      </c>
      <c r="AO67" s="294" t="s">
        <v>617</v>
      </c>
      <c r="AP67" s="282" t="s">
        <v>420</v>
      </c>
      <c r="AQ67" s="136" t="s">
        <v>74</v>
      </c>
      <c r="AR67" s="294"/>
      <c r="AS67" s="142"/>
      <c r="AT67" s="142" t="s">
        <v>217</v>
      </c>
      <c r="AU67" s="146" t="s">
        <v>227</v>
      </c>
      <c r="AV67" s="48" t="s">
        <v>201</v>
      </c>
      <c r="AW67" s="131" t="s">
        <v>284</v>
      </c>
      <c r="AX67" s="131"/>
      <c r="AY67" s="131"/>
      <c r="AZ67" s="48"/>
      <c r="BA67" s="48"/>
      <c r="BB67" s="50"/>
      <c r="BC67" s="51" t="s">
        <v>76</v>
      </c>
      <c r="BD67" s="52">
        <v>0.40414106104041503</v>
      </c>
      <c r="BE67" s="53">
        <v>5.4647137349473685</v>
      </c>
      <c r="BF67" s="54">
        <v>0.40414106104041503</v>
      </c>
      <c r="BG67" s="53">
        <v>5.4647137349473685</v>
      </c>
      <c r="BH67" s="450">
        <v>3228.5641469690599</v>
      </c>
      <c r="BI67" s="347">
        <f t="shared" si="75"/>
        <v>1317.2966110399748</v>
      </c>
      <c r="BJ67" s="347">
        <f t="shared" si="19"/>
        <v>4545.8607580090347</v>
      </c>
      <c r="BK67" s="45">
        <v>2024.9220344407347</v>
      </c>
      <c r="BL67" s="47">
        <v>23.256288999703916</v>
      </c>
      <c r="BM67" s="45">
        <v>1203.6421125283252</v>
      </c>
      <c r="BN67" s="55">
        <v>1.5944140525196864</v>
      </c>
      <c r="BO67" s="47">
        <f t="shared" si="20"/>
        <v>2.2449559443233382</v>
      </c>
      <c r="BP67" s="45">
        <v>1376.0715713489956</v>
      </c>
      <c r="BQ67" s="55">
        <v>2.346218186750288</v>
      </c>
      <c r="BR67" s="54">
        <v>0.39011303040658651</v>
      </c>
      <c r="BS67" s="53">
        <v>5.2750295403208813</v>
      </c>
      <c r="BT67" s="54">
        <v>0.79425409144700154</v>
      </c>
      <c r="BU67" s="53">
        <v>10.73974327526825</v>
      </c>
      <c r="BV67" s="450">
        <v>3294.9235166184903</v>
      </c>
      <c r="BW67" s="347">
        <f t="shared" si="76"/>
        <v>1271.5722860581602</v>
      </c>
      <c r="BX67" s="347">
        <f t="shared" si="21"/>
        <v>4566.4958026766508</v>
      </c>
      <c r="BY67" s="45">
        <v>1954.6355155279523</v>
      </c>
      <c r="BZ67" s="47">
        <v>22.449046266987896</v>
      </c>
      <c r="CA67" s="45">
        <v>1340.288001090538</v>
      </c>
      <c r="CB67" s="55">
        <v>1.6856971493882442</v>
      </c>
      <c r="CC67" s="47">
        <f t="shared" si="22"/>
        <v>2.3362390411918961</v>
      </c>
      <c r="CD67" s="45">
        <v>1328.3071246789902</v>
      </c>
      <c r="CE67" s="55">
        <v>2.4805434341209072</v>
      </c>
      <c r="CF67" s="52">
        <v>0.4296514926250346</v>
      </c>
      <c r="CG67" s="53">
        <v>5.8096606341959074</v>
      </c>
      <c r="CH67" s="54">
        <v>1.2239055840720361</v>
      </c>
      <c r="CI67" s="53">
        <v>16.549403909464157</v>
      </c>
      <c r="CJ67" s="450">
        <v>3858.4031026302473</v>
      </c>
      <c r="CK67" s="347">
        <f t="shared" si="77"/>
        <v>1400.4477884681598</v>
      </c>
      <c r="CL67" s="347">
        <f t="shared" si="23"/>
        <v>5258.8508910984074</v>
      </c>
      <c r="CM67" s="45">
        <v>2152.7403632460409</v>
      </c>
      <c r="CN67" s="47">
        <v>24.724286257670631</v>
      </c>
      <c r="CO67" s="45">
        <v>1705.6627393842064</v>
      </c>
      <c r="CP67" s="55">
        <v>1.7923216234085462</v>
      </c>
      <c r="CQ67" s="47">
        <f t="shared" si="24"/>
        <v>2.4428635152121978</v>
      </c>
      <c r="CR67" s="45">
        <v>1462.9327766570304</v>
      </c>
      <c r="CS67" s="55">
        <v>2.6374438827238129</v>
      </c>
    </row>
    <row r="68" spans="1:97" s="23" customFormat="1" ht="15" customHeight="1">
      <c r="A68" s="377" t="str">
        <f t="shared" si="68"/>
        <v>BNI - Efficient Product Rebates; T8 Dimmable Stairwell Lighting; COM-Lighting; Other Commercial</v>
      </c>
      <c r="B68" s="42" t="s">
        <v>76</v>
      </c>
      <c r="C68" s="15" t="s">
        <v>73</v>
      </c>
      <c r="D68" s="15" t="s">
        <v>56</v>
      </c>
      <c r="E68" s="43">
        <v>10</v>
      </c>
      <c r="F68" s="44">
        <v>478.2438481133247</v>
      </c>
      <c r="G68" s="44">
        <v>37.463574623671157</v>
      </c>
      <c r="H68" s="45">
        <v>95</v>
      </c>
      <c r="I68" s="46">
        <v>0.52631578947368418</v>
      </c>
      <c r="J68" s="45">
        <v>15.303803139626391</v>
      </c>
      <c r="K68" s="45">
        <v>65.303803139626396</v>
      </c>
      <c r="L68" s="45">
        <v>45</v>
      </c>
      <c r="M68" s="45">
        <v>110.3038031396264</v>
      </c>
      <c r="N68" s="45">
        <v>284.88923718440503</v>
      </c>
      <c r="O68" s="47">
        <v>0.82</v>
      </c>
      <c r="P68" s="47">
        <v>2.5064339288950239</v>
      </c>
      <c r="Q68" s="310">
        <f t="shared" si="69"/>
        <v>2.5064339288950239</v>
      </c>
      <c r="R68" s="311">
        <f t="shared" si="18"/>
        <v>0</v>
      </c>
      <c r="S68" s="311">
        <f t="shared" si="70"/>
        <v>115.28307445302377</v>
      </c>
      <c r="T68" s="310">
        <f t="shared" si="71"/>
        <v>3.5206856854447346</v>
      </c>
      <c r="U68" s="316">
        <f t="shared" si="45"/>
        <v>0.40465928299847487</v>
      </c>
      <c r="V68" s="48">
        <v>0.13654917548286372</v>
      </c>
      <c r="W68" s="49">
        <v>1.7431279261420116</v>
      </c>
      <c r="X68" s="48" t="s">
        <v>74</v>
      </c>
      <c r="Y68" s="48" t="s">
        <v>527</v>
      </c>
      <c r="Z68" s="247">
        <f>0.027*Z3</f>
        <v>3.4020000000000002E-2</v>
      </c>
      <c r="AA68" s="247"/>
      <c r="AB68" s="386">
        <v>0</v>
      </c>
      <c r="AC68" s="387">
        <f t="shared" si="115"/>
        <v>16.269855712815307</v>
      </c>
      <c r="AD68" s="361">
        <f t="shared" si="116"/>
        <v>0.81349278564076544</v>
      </c>
      <c r="AE68" s="361">
        <f t="shared" si="117"/>
        <v>0.47182581567164394</v>
      </c>
      <c r="AF68" s="361">
        <f t="shared" si="118"/>
        <v>6.5079422851261226E-2</v>
      </c>
      <c r="AG68" s="361">
        <f t="shared" si="119"/>
        <v>0</v>
      </c>
      <c r="AH68" s="361">
        <f t="shared" si="120"/>
        <v>1.1876994670355174</v>
      </c>
      <c r="AI68" s="361">
        <f t="shared" si="121"/>
        <v>11.990883660344881</v>
      </c>
      <c r="AJ68" s="361" t="s">
        <v>40</v>
      </c>
      <c r="AK68" s="361">
        <f t="shared" si="114"/>
        <v>0</v>
      </c>
      <c r="AL68" s="361">
        <f t="shared" si="122"/>
        <v>1.3503980241636706</v>
      </c>
      <c r="AM68" s="361">
        <f t="shared" si="123"/>
        <v>0.37420668139475205</v>
      </c>
      <c r="AN68" s="361">
        <f t="shared" si="74"/>
        <v>16.253585857102493</v>
      </c>
      <c r="AO68" s="294" t="s">
        <v>617</v>
      </c>
      <c r="AP68" s="282" t="s">
        <v>420</v>
      </c>
      <c r="AQ68" s="136" t="s">
        <v>74</v>
      </c>
      <c r="AR68" s="294"/>
      <c r="AS68" s="142"/>
      <c r="AT68" s="142" t="s">
        <v>217</v>
      </c>
      <c r="AU68" s="146" t="s">
        <v>227</v>
      </c>
      <c r="AV68" s="48" t="s">
        <v>201</v>
      </c>
      <c r="AW68" s="131" t="s">
        <v>284</v>
      </c>
      <c r="AX68" s="131"/>
      <c r="AY68" s="131"/>
      <c r="AZ68" s="48"/>
      <c r="BA68" s="48"/>
      <c r="BB68" s="50"/>
      <c r="BC68" s="51" t="s">
        <v>76</v>
      </c>
      <c r="BD68" s="52">
        <v>0.96553990960904146</v>
      </c>
      <c r="BE68" s="53">
        <v>12.325666371053041</v>
      </c>
      <c r="BF68" s="54">
        <v>0.96553990960904146</v>
      </c>
      <c r="BG68" s="53">
        <v>12.325666371053041</v>
      </c>
      <c r="BH68" s="450">
        <v>7342.3833972804214</v>
      </c>
      <c r="BI68" s="347">
        <f t="shared" si="75"/>
        <v>2971.1636010434013</v>
      </c>
      <c r="BJ68" s="347">
        <f t="shared" si="19"/>
        <v>10313.546998323822</v>
      </c>
      <c r="BK68" s="45">
        <v>2929.4143015839859</v>
      </c>
      <c r="BL68" s="47">
        <v>31.43020137488918</v>
      </c>
      <c r="BM68" s="45">
        <v>4412.969095696435</v>
      </c>
      <c r="BN68" s="55">
        <v>2.5064339288950235</v>
      </c>
      <c r="BO68" s="47">
        <f t="shared" si="20"/>
        <v>3.5206856854447337</v>
      </c>
      <c r="BP68" s="45">
        <v>2052.5116832245776</v>
      </c>
      <c r="BQ68" s="55">
        <v>3.5772675289941565</v>
      </c>
      <c r="BR68" s="54">
        <v>0.92729673843749871</v>
      </c>
      <c r="BS68" s="53">
        <v>11.837470529389309</v>
      </c>
      <c r="BT68" s="54">
        <v>1.8928366480465402</v>
      </c>
      <c r="BU68" s="53">
        <v>24.16313690044235</v>
      </c>
      <c r="BV68" s="450">
        <v>7461.7038793082302</v>
      </c>
      <c r="BW68" s="347">
        <f t="shared" si="76"/>
        <v>2853.481548709211</v>
      </c>
      <c r="BX68" s="347">
        <f t="shared" si="21"/>
        <v>10315.185428017441</v>
      </c>
      <c r="BY68" s="45">
        <v>2813.3858583752485</v>
      </c>
      <c r="BZ68" s="47">
        <v>30.18531179635001</v>
      </c>
      <c r="CA68" s="45">
        <v>4648.3180209329821</v>
      </c>
      <c r="CB68" s="55">
        <v>2.6522148951219298</v>
      </c>
      <c r="CC68" s="47">
        <f t="shared" si="22"/>
        <v>3.6664666516716404</v>
      </c>
      <c r="CD68" s="45">
        <v>1971.2156592570834</v>
      </c>
      <c r="CE68" s="55">
        <v>3.7853310693160864</v>
      </c>
      <c r="CF68" s="52">
        <v>1.0150351577811851</v>
      </c>
      <c r="CG68" s="53">
        <v>12.957501378442156</v>
      </c>
      <c r="CH68" s="54">
        <v>2.9078718058277251</v>
      </c>
      <c r="CI68" s="53">
        <v>37.120638278884506</v>
      </c>
      <c r="CJ68" s="450">
        <v>8690.9220683330441</v>
      </c>
      <c r="CK68" s="347">
        <f t="shared" si="77"/>
        <v>3123.4705935666088</v>
      </c>
      <c r="CL68" s="347">
        <f t="shared" si="23"/>
        <v>11814.392661899652</v>
      </c>
      <c r="CM68" s="45">
        <v>3079.5811527032056</v>
      </c>
      <c r="CN68" s="47">
        <v>33.041367937419452</v>
      </c>
      <c r="CO68" s="45">
        <v>5611.3409156298385</v>
      </c>
      <c r="CP68" s="55">
        <v>2.8221117214931311</v>
      </c>
      <c r="CQ68" s="47">
        <f t="shared" si="24"/>
        <v>3.8363634780428413</v>
      </c>
      <c r="CR68" s="45">
        <v>2157.7269872492029</v>
      </c>
      <c r="CS68" s="55">
        <v>4.0278135833174806</v>
      </c>
    </row>
    <row r="69" spans="1:97" s="23" customFormat="1" ht="15" customHeight="1">
      <c r="A69" s="377" t="str">
        <f t="shared" ref="A69:A100" si="124">CONCATENATE($B$4,"; ",B69,"; ",C69,"; ",D69)</f>
        <v>BNI - Efficient Product Rebates; T8 Dimmable Stairwell Lighting; COM-Lighting; Retail</v>
      </c>
      <c r="B69" s="42" t="s">
        <v>76</v>
      </c>
      <c r="C69" s="15" t="s">
        <v>73</v>
      </c>
      <c r="D69" s="15" t="s">
        <v>30</v>
      </c>
      <c r="E69" s="43">
        <v>10</v>
      </c>
      <c r="F69" s="44">
        <v>447.91254714674983</v>
      </c>
      <c r="G69" s="44">
        <v>38.476204381358983</v>
      </c>
      <c r="H69" s="45">
        <v>95</v>
      </c>
      <c r="I69" s="46">
        <v>0.52631578947368418</v>
      </c>
      <c r="J69" s="45">
        <v>14.333201508695995</v>
      </c>
      <c r="K69" s="45">
        <v>64.333201508695993</v>
      </c>
      <c r="L69" s="45">
        <v>45</v>
      </c>
      <c r="M69" s="45">
        <v>109.33320150869599</v>
      </c>
      <c r="N69" s="45">
        <v>270.60836523600153</v>
      </c>
      <c r="O69" s="47">
        <v>0.82</v>
      </c>
      <c r="P69" s="47">
        <v>2.4058457894102272</v>
      </c>
      <c r="Q69" s="310">
        <f t="shared" ref="Q69:Q100" si="125">N69*O69/(O69*H69+J69)</f>
        <v>2.4058457894102272</v>
      </c>
      <c r="R69" s="311">
        <f t="shared" si="18"/>
        <v>0</v>
      </c>
      <c r="S69" s="311">
        <f t="shared" ref="S69:S100" si="126">-PV(RDR,E69,AC69)</f>
        <v>107.97156246728433</v>
      </c>
      <c r="T69" s="310">
        <f t="shared" ref="T69:T100" si="127">(N69+SUM(R69:S69))*O69/(O69*H69+J69)</f>
        <v>3.3657678107099613</v>
      </c>
      <c r="U69" s="316">
        <f t="shared" si="45"/>
        <v>0.39899565696396982</v>
      </c>
      <c r="V69" s="48">
        <v>0.1436289336356065</v>
      </c>
      <c r="W69" s="49">
        <v>1.6720256725703497</v>
      </c>
      <c r="X69" s="48" t="s">
        <v>74</v>
      </c>
      <c r="Y69" s="48" t="s">
        <v>527</v>
      </c>
      <c r="Z69" s="247">
        <f>0.027*Z3</f>
        <v>3.4020000000000002E-2</v>
      </c>
      <c r="AA69" s="247"/>
      <c r="AB69" s="386">
        <v>0</v>
      </c>
      <c r="AC69" s="387">
        <f t="shared" si="115"/>
        <v>15.23798485393243</v>
      </c>
      <c r="AD69" s="361">
        <f t="shared" si="116"/>
        <v>0.76189924269662157</v>
      </c>
      <c r="AE69" s="361">
        <f t="shared" si="117"/>
        <v>0.44190156076404047</v>
      </c>
      <c r="AF69" s="361">
        <f t="shared" si="118"/>
        <v>6.0951939415729718E-2</v>
      </c>
      <c r="AG69" s="361">
        <f t="shared" si="119"/>
        <v>0</v>
      </c>
      <c r="AH69" s="361">
        <f t="shared" si="120"/>
        <v>1.1123728943370672</v>
      </c>
      <c r="AI69" s="361">
        <f t="shared" si="121"/>
        <v>11.2303948373482</v>
      </c>
      <c r="AJ69" s="361" t="s">
        <v>40</v>
      </c>
      <c r="AK69" s="361">
        <f t="shared" si="114"/>
        <v>0</v>
      </c>
      <c r="AL69" s="361">
        <f t="shared" si="122"/>
        <v>1.2647527428763918</v>
      </c>
      <c r="AM69" s="361">
        <f t="shared" si="123"/>
        <v>0.35047365164044586</v>
      </c>
      <c r="AN69" s="361">
        <f t="shared" ref="AN69:AN100" si="128">SUM(AD69:AM69)</f>
        <v>15.222746869078495</v>
      </c>
      <c r="AO69" s="294" t="s">
        <v>617</v>
      </c>
      <c r="AP69" s="282" t="s">
        <v>420</v>
      </c>
      <c r="AQ69" s="136" t="s">
        <v>74</v>
      </c>
      <c r="AR69" s="294"/>
      <c r="AS69" s="142"/>
      <c r="AT69" s="142" t="s">
        <v>217</v>
      </c>
      <c r="AU69" s="146" t="s">
        <v>227</v>
      </c>
      <c r="AV69" s="48" t="s">
        <v>201</v>
      </c>
      <c r="AW69" s="131" t="s">
        <v>284</v>
      </c>
      <c r="AX69" s="131"/>
      <c r="AY69" s="131"/>
      <c r="AZ69" s="48"/>
      <c r="BA69" s="48"/>
      <c r="BB69" s="50"/>
      <c r="BC69" s="51" t="s">
        <v>76</v>
      </c>
      <c r="BD69" s="52">
        <v>1.4200406951215945</v>
      </c>
      <c r="BE69" s="53">
        <v>16.531101625817101</v>
      </c>
      <c r="BF69" s="54">
        <v>1.4200406951215945</v>
      </c>
      <c r="BG69" s="53">
        <v>16.531101625817101</v>
      </c>
      <c r="BH69" s="450">
        <v>9987.3388566784943</v>
      </c>
      <c r="BI69" s="347">
        <f t="shared" ref="BI69:BI100" si="129">SUM(R69:S69)*O69*BL69</f>
        <v>3984.9048284422192</v>
      </c>
      <c r="BJ69" s="347">
        <f t="shared" si="19"/>
        <v>13972.243685120713</v>
      </c>
      <c r="BK69" s="45">
        <v>4151.2797289999235</v>
      </c>
      <c r="BL69" s="47">
        <v>45.008518202726918</v>
      </c>
      <c r="BM69" s="45">
        <v>5836.0591276785708</v>
      </c>
      <c r="BN69" s="55">
        <v>2.4058457894102272</v>
      </c>
      <c r="BO69" s="47">
        <f t="shared" si="20"/>
        <v>3.3657678107099609</v>
      </c>
      <c r="BP69" s="45">
        <v>2895.5420711438428</v>
      </c>
      <c r="BQ69" s="55">
        <v>3.4492121375853944</v>
      </c>
      <c r="BR69" s="54">
        <v>1.3653423884341613</v>
      </c>
      <c r="BS69" s="53">
        <v>15.894342926072484</v>
      </c>
      <c r="BT69" s="54">
        <v>2.7853830835557556</v>
      </c>
      <c r="BU69" s="53">
        <v>32.425444551889584</v>
      </c>
      <c r="BV69" s="450">
        <v>10175.92442676499</v>
      </c>
      <c r="BW69" s="347">
        <f t="shared" ref="BW69:BW100" si="130">SUM(R69:S69)*O69*BZ69</f>
        <v>3831.4109552207187</v>
      </c>
      <c r="BX69" s="347">
        <f t="shared" si="21"/>
        <v>14007.335381985709</v>
      </c>
      <c r="BY69" s="45">
        <v>3991.3772892020847</v>
      </c>
      <c r="BZ69" s="47">
        <v>43.27484272380773</v>
      </c>
      <c r="CA69" s="45">
        <v>6184.5471375629058</v>
      </c>
      <c r="CB69" s="55">
        <v>2.5494769573134635</v>
      </c>
      <c r="CC69" s="47">
        <f t="shared" si="22"/>
        <v>3.5093989786131976</v>
      </c>
      <c r="CD69" s="45">
        <v>2784.0091772078495</v>
      </c>
      <c r="CE69" s="55">
        <v>3.6551332194136918</v>
      </c>
      <c r="CF69" s="52">
        <v>1.4964498088787992</v>
      </c>
      <c r="CG69" s="53">
        <v>17.420602066894823</v>
      </c>
      <c r="CH69" s="54">
        <v>4.2818328924345552</v>
      </c>
      <c r="CI69" s="53">
        <v>49.846046618784406</v>
      </c>
      <c r="CJ69" s="450">
        <v>11882.664852727716</v>
      </c>
      <c r="CK69" s="347">
        <f t="shared" ref="CK69:CK100" si="131">SUM(R69:S69)*O69*CN69</f>
        <v>4199.3233640476401</v>
      </c>
      <c r="CL69" s="347">
        <f t="shared" si="23"/>
        <v>16081.988216775357</v>
      </c>
      <c r="CM69" s="45">
        <v>4374.650514175888</v>
      </c>
      <c r="CN69" s="47">
        <v>47.430322732139302</v>
      </c>
      <c r="CO69" s="45">
        <v>7508.0143385518277</v>
      </c>
      <c r="CP69" s="55">
        <v>2.7162546617660985</v>
      </c>
      <c r="CQ69" s="47">
        <f t="shared" si="24"/>
        <v>3.6761766830658331</v>
      </c>
      <c r="CR69" s="45">
        <v>3051.3445099492019</v>
      </c>
      <c r="CS69" s="55">
        <v>3.8942390195479879</v>
      </c>
    </row>
    <row r="70" spans="1:97" s="23" customFormat="1" ht="15" customHeight="1">
      <c r="A70" s="377" t="str">
        <f t="shared" si="124"/>
        <v>BNI - Efficient Product Rebates; T8 Dimmable Stairwell Lighting; COM-Lighting; School</v>
      </c>
      <c r="B70" s="42" t="s">
        <v>76</v>
      </c>
      <c r="C70" s="15" t="s">
        <v>73</v>
      </c>
      <c r="D70" s="15" t="s">
        <v>59</v>
      </c>
      <c r="E70" s="43">
        <v>10</v>
      </c>
      <c r="F70" s="44">
        <v>260.44307122364995</v>
      </c>
      <c r="G70" s="44">
        <v>1.3680018577157411</v>
      </c>
      <c r="H70" s="45">
        <v>95</v>
      </c>
      <c r="I70" s="46">
        <v>0.52631578947368418</v>
      </c>
      <c r="J70" s="45">
        <v>8.3341782791567987</v>
      </c>
      <c r="K70" s="45">
        <v>58.334178279156802</v>
      </c>
      <c r="L70" s="45">
        <v>45</v>
      </c>
      <c r="M70" s="45">
        <v>103.3341782791568</v>
      </c>
      <c r="N70" s="45">
        <v>133.87160781783328</v>
      </c>
      <c r="O70" s="47">
        <v>0.82</v>
      </c>
      <c r="P70" s="47">
        <v>1.2729838748536708</v>
      </c>
      <c r="Q70" s="310">
        <f t="shared" si="125"/>
        <v>1.2729838748536708</v>
      </c>
      <c r="R70" s="311">
        <f t="shared" ref="R70:R133" si="132">AB70</f>
        <v>0</v>
      </c>
      <c r="S70" s="311">
        <f t="shared" si="126"/>
        <v>62.781106519399621</v>
      </c>
      <c r="T70" s="310">
        <f t="shared" si="127"/>
        <v>1.8699688334075204</v>
      </c>
      <c r="U70" s="316">
        <f t="shared" si="45"/>
        <v>0.46896505945330441</v>
      </c>
      <c r="V70" s="48">
        <v>0.22398053442191046</v>
      </c>
      <c r="W70" s="49">
        <v>42.641885279718778</v>
      </c>
      <c r="X70" s="48" t="s">
        <v>74</v>
      </c>
      <c r="Y70" s="48" t="s">
        <v>527</v>
      </c>
      <c r="Z70" s="247">
        <f>0.027*Z3</f>
        <v>3.4020000000000002E-2</v>
      </c>
      <c r="AA70" s="247"/>
      <c r="AB70" s="386">
        <v>0</v>
      </c>
      <c r="AC70" s="387">
        <f t="shared" si="115"/>
        <v>8.8602732830285724</v>
      </c>
      <c r="AD70" s="361">
        <f t="shared" si="116"/>
        <v>0.44301366415142862</v>
      </c>
      <c r="AE70" s="361">
        <f t="shared" si="117"/>
        <v>0.25694792520782861</v>
      </c>
      <c r="AF70" s="361">
        <f t="shared" si="118"/>
        <v>3.5441093132114292E-2</v>
      </c>
      <c r="AG70" s="361">
        <f t="shared" si="119"/>
        <v>0</v>
      </c>
      <c r="AH70" s="361">
        <f t="shared" si="120"/>
        <v>0.64679994966108578</v>
      </c>
      <c r="AI70" s="361">
        <f t="shared" si="121"/>
        <v>6.5300214095920577</v>
      </c>
      <c r="AJ70" s="361" t="s">
        <v>40</v>
      </c>
      <c r="AK70" s="361">
        <f t="shared" si="114"/>
        <v>0</v>
      </c>
      <c r="AL70" s="361">
        <f t="shared" si="122"/>
        <v>0.73540268249137153</v>
      </c>
      <c r="AM70" s="361">
        <f t="shared" si="123"/>
        <v>0.20378628550965716</v>
      </c>
      <c r="AN70" s="361">
        <f t="shared" si="128"/>
        <v>8.8514130097455457</v>
      </c>
      <c r="AO70" s="294" t="s">
        <v>617</v>
      </c>
      <c r="AP70" s="282" t="s">
        <v>420</v>
      </c>
      <c r="AQ70" s="136" t="s">
        <v>74</v>
      </c>
      <c r="AR70" s="294"/>
      <c r="AS70" s="142"/>
      <c r="AT70" s="142" t="s">
        <v>217</v>
      </c>
      <c r="AU70" s="146" t="s">
        <v>227</v>
      </c>
      <c r="AV70" s="48" t="s">
        <v>201</v>
      </c>
      <c r="AW70" s="131" t="s">
        <v>284</v>
      </c>
      <c r="AX70" s="131"/>
      <c r="AY70" s="131"/>
      <c r="AZ70" s="48"/>
      <c r="BA70" s="48"/>
      <c r="BB70" s="50"/>
      <c r="BC70" s="51" t="s">
        <v>76</v>
      </c>
      <c r="BD70" s="52">
        <v>5.0458485148330963E-2</v>
      </c>
      <c r="BE70" s="53">
        <v>9.6063925404807069</v>
      </c>
      <c r="BF70" s="54">
        <v>5.0458485148330963E-2</v>
      </c>
      <c r="BG70" s="53">
        <v>9.6063925404807069</v>
      </c>
      <c r="BH70" s="450">
        <v>4937.828480831603</v>
      </c>
      <c r="BI70" s="347">
        <f t="shared" si="129"/>
        <v>2315.6690270834119</v>
      </c>
      <c r="BJ70" s="347">
        <f t="shared" ref="BJ70:BJ133" si="133">BH70+BI70</f>
        <v>7253.4975079150154</v>
      </c>
      <c r="BK70" s="45">
        <v>3878.9403215332982</v>
      </c>
      <c r="BL70" s="47">
        <v>44.981472531418049</v>
      </c>
      <c r="BM70" s="45">
        <v>1058.8881592983048</v>
      </c>
      <c r="BN70" s="55">
        <v>1.2729838748536713</v>
      </c>
      <c r="BO70" s="47">
        <f t="shared" ref="BO70:BO133" si="134">SUM(BH70:BI70)/BK70</f>
        <v>1.8699688334075208</v>
      </c>
      <c r="BP70" s="45">
        <v>2623.9572379067349</v>
      </c>
      <c r="BQ70" s="55">
        <v>1.8818250577782898</v>
      </c>
      <c r="BR70" s="47">
        <v>4.8702245919554181E-2</v>
      </c>
      <c r="BS70" s="53">
        <v>9.2720360219085496</v>
      </c>
      <c r="BT70" s="54">
        <v>9.9160731067885144E-2</v>
      </c>
      <c r="BU70" s="53">
        <v>18.878428562389256</v>
      </c>
      <c r="BV70" s="450">
        <v>4959.9279506015555</v>
      </c>
      <c r="BW70" s="347">
        <f t="shared" si="130"/>
        <v>2235.0707139499118</v>
      </c>
      <c r="BX70" s="347">
        <f t="shared" ref="BX70:BX133" si="135">BV70+BW70</f>
        <v>7194.9986645514673</v>
      </c>
      <c r="BY70" s="45">
        <v>3743.9313703383746</v>
      </c>
      <c r="BZ70" s="47">
        <v>43.415864162566045</v>
      </c>
      <c r="CA70" s="45">
        <v>1215.9965802631809</v>
      </c>
      <c r="CB70" s="55">
        <v>1.3247913650065866</v>
      </c>
      <c r="CC70" s="47">
        <f t="shared" ref="CC70:CC133" si="136">SUM(BV70:BW70)/BY70</f>
        <v>1.9217763235604362</v>
      </c>
      <c r="CD70" s="45">
        <v>2532.6287602027824</v>
      </c>
      <c r="CE70" s="55">
        <v>1.9584109714541915</v>
      </c>
      <c r="CF70" s="52">
        <v>5.3640357965025975E-2</v>
      </c>
      <c r="CG70" s="53">
        <v>10.212164180299116</v>
      </c>
      <c r="CH70" s="54">
        <v>0.15280108903291112</v>
      </c>
      <c r="CI70" s="53">
        <v>29.090592742688372</v>
      </c>
      <c r="CJ70" s="450">
        <v>5727.0079296144777</v>
      </c>
      <c r="CK70" s="347">
        <f t="shared" si="131"/>
        <v>2461.6933143381593</v>
      </c>
      <c r="CL70" s="347">
        <f t="shared" ref="CL70:CL133" si="137">CJ70+CK70</f>
        <v>8188.701243952637</v>
      </c>
      <c r="CM70" s="45">
        <v>4123.5432803892136</v>
      </c>
      <c r="CN70" s="47">
        <v>47.817969193612569</v>
      </c>
      <c r="CO70" s="45">
        <v>1603.4646492252641</v>
      </c>
      <c r="CP70" s="55">
        <v>1.388856025072184</v>
      </c>
      <c r="CQ70" s="47">
        <f t="shared" ref="CQ70:CQ133" si="138">SUM(CJ70:CK70)/CM70</f>
        <v>1.9858409836260336</v>
      </c>
      <c r="CR70" s="45">
        <v>2789.4219398874234</v>
      </c>
      <c r="CS70" s="55">
        <v>2.0531163993947832</v>
      </c>
    </row>
    <row r="71" spans="1:97" s="23" customFormat="1" ht="15" customHeight="1">
      <c r="A71" s="377" t="str">
        <f t="shared" si="124"/>
        <v xml:space="preserve">BNI - Efficient Product Rebates; LED Lamps-Retrofit (dual baseline); IND; Industrial </v>
      </c>
      <c r="B71" s="149" t="s">
        <v>77</v>
      </c>
      <c r="C71" s="15" t="s">
        <v>69</v>
      </c>
      <c r="D71" s="15" t="s">
        <v>70</v>
      </c>
      <c r="E71" s="43">
        <v>10</v>
      </c>
      <c r="F71" s="44">
        <v>141.83399969466313</v>
      </c>
      <c r="G71" s="44">
        <v>25.58333327762891</v>
      </c>
      <c r="H71" s="45">
        <v>6.060495051526221</v>
      </c>
      <c r="I71" s="46">
        <v>0.82501511138778083</v>
      </c>
      <c r="J71" s="45">
        <v>4.5386879902292208</v>
      </c>
      <c r="K71" s="45">
        <v>9.5386879902292208</v>
      </c>
      <c r="L71" s="45">
        <v>1.060495051526221</v>
      </c>
      <c r="M71" s="45">
        <v>10.599183041755442</v>
      </c>
      <c r="N71" s="45">
        <v>100.66619607893203</v>
      </c>
      <c r="O71" s="47">
        <v>0.76</v>
      </c>
      <c r="P71" s="47">
        <v>8.3662239641464513</v>
      </c>
      <c r="Q71" s="310">
        <f t="shared" si="125"/>
        <v>8.3662239641464513</v>
      </c>
      <c r="R71" s="311">
        <f t="shared" si="132"/>
        <v>0</v>
      </c>
      <c r="S71" s="311">
        <f t="shared" si="126"/>
        <v>34.189795877720208</v>
      </c>
      <c r="T71" s="310">
        <f t="shared" si="127"/>
        <v>11.207689130637652</v>
      </c>
      <c r="U71" s="316">
        <f t="shared" si="45"/>
        <v>0.3396353215821537</v>
      </c>
      <c r="V71" s="48">
        <v>6.7252478325111623E-2</v>
      </c>
      <c r="W71" s="49">
        <v>0.37284773984358915</v>
      </c>
      <c r="X71" s="48" t="s">
        <v>74</v>
      </c>
      <c r="Y71" s="48" t="s">
        <v>527</v>
      </c>
      <c r="Z71" s="247">
        <f>0.027*Z3</f>
        <v>3.4020000000000002E-2</v>
      </c>
      <c r="AA71" s="247"/>
      <c r="AB71" s="386">
        <v>0</v>
      </c>
      <c r="AC71" s="387">
        <f t="shared" si="115"/>
        <v>4.8251926696124396</v>
      </c>
      <c r="AD71" s="361">
        <f t="shared" si="116"/>
        <v>0.24125963348062199</v>
      </c>
      <c r="AE71" s="361">
        <f t="shared" si="117"/>
        <v>0.13993058741876074</v>
      </c>
      <c r="AF71" s="361">
        <f t="shared" si="118"/>
        <v>1.930077067844976E-2</v>
      </c>
      <c r="AG71" s="361">
        <f t="shared" si="119"/>
        <v>0</v>
      </c>
      <c r="AH71" s="361">
        <f t="shared" si="120"/>
        <v>0.35223906488170809</v>
      </c>
      <c r="AI71" s="361">
        <f t="shared" si="121"/>
        <v>3.5561669975043682</v>
      </c>
      <c r="AJ71" s="361" t="s">
        <v>40</v>
      </c>
      <c r="AK71" s="361">
        <f t="shared" si="114"/>
        <v>0</v>
      </c>
      <c r="AL71" s="361">
        <f t="shared" si="122"/>
        <v>0.40049099157783252</v>
      </c>
      <c r="AM71" s="361">
        <f t="shared" si="123"/>
        <v>0.11097943140108611</v>
      </c>
      <c r="AN71" s="361">
        <f t="shared" si="128"/>
        <v>4.8203674769428275</v>
      </c>
      <c r="AO71" s="294" t="s">
        <v>617</v>
      </c>
      <c r="AP71" s="282" t="s">
        <v>420</v>
      </c>
      <c r="AQ71" s="136" t="s">
        <v>74</v>
      </c>
      <c r="AR71" s="294"/>
      <c r="AS71" s="142"/>
      <c r="AT71" s="142" t="s">
        <v>217</v>
      </c>
      <c r="AU71" s="146" t="s">
        <v>227</v>
      </c>
      <c r="AV71" s="48"/>
      <c r="AW71" s="131" t="s">
        <v>284</v>
      </c>
      <c r="AX71" s="131"/>
      <c r="AY71" s="131"/>
      <c r="AZ71" s="48"/>
      <c r="BA71" s="48"/>
      <c r="BB71" s="50"/>
      <c r="BC71" s="51" t="s">
        <v>77</v>
      </c>
      <c r="BD71" s="52">
        <v>207.13965016830562</v>
      </c>
      <c r="BE71" s="53">
        <v>1148.3822205613312</v>
      </c>
      <c r="BF71" s="54">
        <v>207.13965016830562</v>
      </c>
      <c r="BG71" s="53">
        <v>1148.3822205613312</v>
      </c>
      <c r="BH71" s="450">
        <v>500752.21940938913</v>
      </c>
      <c r="BI71" s="347">
        <f t="shared" si="129"/>
        <v>159567.31680779828</v>
      </c>
      <c r="BJ71" s="347">
        <f t="shared" si="133"/>
        <v>660319.53621718741</v>
      </c>
      <c r="BK71" s="45">
        <v>76637.893411563069</v>
      </c>
      <c r="BL71" s="47">
        <v>6140.9256887828669</v>
      </c>
      <c r="BM71" s="45">
        <v>424114.32599782606</v>
      </c>
      <c r="BN71" s="55">
        <v>6.5340029209862909</v>
      </c>
      <c r="BO71" s="47">
        <f t="shared" si="134"/>
        <v>8.6160971658122172</v>
      </c>
      <c r="BP71" s="45">
        <v>79057.5640464967</v>
      </c>
      <c r="BQ71" s="55">
        <v>6.3340203489558329</v>
      </c>
      <c r="BR71" s="54">
        <v>556.10965052638096</v>
      </c>
      <c r="BS71" s="53">
        <v>3083.0719025940853</v>
      </c>
      <c r="BT71" s="54">
        <v>763.24930069468667</v>
      </c>
      <c r="BU71" s="53">
        <v>4231.4541231554167</v>
      </c>
      <c r="BV71" s="450">
        <v>1529030.5973368962</v>
      </c>
      <c r="BW71" s="347">
        <f t="shared" si="130"/>
        <v>423486.5370115937</v>
      </c>
      <c r="BX71" s="347">
        <f t="shared" si="135"/>
        <v>1952517.1343484898</v>
      </c>
      <c r="BY71" s="45">
        <v>204880.92392708448</v>
      </c>
      <c r="BZ71" s="47">
        <v>16297.81966642117</v>
      </c>
      <c r="CA71" s="45">
        <v>1324149.6734098117</v>
      </c>
      <c r="CB71" s="55">
        <v>7.4630208026642162</v>
      </c>
      <c r="CC71" s="47">
        <f t="shared" si="136"/>
        <v>9.5300094168033684</v>
      </c>
      <c r="CD71" s="45">
        <v>211302.652125541</v>
      </c>
      <c r="CE71" s="55">
        <v>7.2362111026815459</v>
      </c>
      <c r="CF71" s="58">
        <v>3.451242741625046E-6</v>
      </c>
      <c r="CG71" s="59">
        <v>1.9133689760039854E-5</v>
      </c>
      <c r="CH71" s="54">
        <v>717.38338843338681</v>
      </c>
      <c r="CI71" s="53">
        <v>3977.1735055725167</v>
      </c>
      <c r="CJ71" s="456">
        <v>8.2454059450002091E-3</v>
      </c>
      <c r="CK71" s="352">
        <f t="shared" si="131"/>
        <v>2.5984244867067359E-3</v>
      </c>
      <c r="CL71" s="347">
        <f t="shared" si="137"/>
        <v>1.0843830431706945E-2</v>
      </c>
      <c r="CM71" s="60">
        <v>1.2662266664439869E-3</v>
      </c>
      <c r="CN71" s="47">
        <v>1E-4</v>
      </c>
      <c r="CO71" s="48">
        <v>6.9791792785562218E-3</v>
      </c>
      <c r="CP71" s="55">
        <v>6.5117930016086536</v>
      </c>
      <c r="CQ71" s="47">
        <f t="shared" si="138"/>
        <v>8.5638935895737074</v>
      </c>
      <c r="CR71" s="60">
        <v>1.3056290425279939E-3</v>
      </c>
      <c r="CS71" s="55">
        <v>6.3152746120255054</v>
      </c>
    </row>
    <row r="72" spans="1:97" s="23" customFormat="1" ht="15" customHeight="1">
      <c r="A72" s="377" t="str">
        <f t="shared" si="124"/>
        <v>BNI - Efficient Product Rebates; LED Lamps-Retrofit (dual baseline); COM-Lighting; Office</v>
      </c>
      <c r="B72" s="149" t="s">
        <v>77</v>
      </c>
      <c r="C72" s="15" t="s">
        <v>73</v>
      </c>
      <c r="D72" s="15" t="s">
        <v>66</v>
      </c>
      <c r="E72" s="43">
        <v>10</v>
      </c>
      <c r="F72" s="44">
        <v>90.35823252745152</v>
      </c>
      <c r="G72" s="44">
        <v>10.326651770704132</v>
      </c>
      <c r="H72" s="45">
        <v>6.060495051526221</v>
      </c>
      <c r="I72" s="46">
        <v>0.82501511138778083</v>
      </c>
      <c r="J72" s="45">
        <v>2.8914634408784488</v>
      </c>
      <c r="K72" s="45">
        <v>7.8914634408784483</v>
      </c>
      <c r="L72" s="45">
        <v>1.060495051526221</v>
      </c>
      <c r="M72" s="45">
        <v>8.9519584924046693</v>
      </c>
      <c r="N72" s="45">
        <v>57.456938187932067</v>
      </c>
      <c r="O72" s="47">
        <v>0.76</v>
      </c>
      <c r="P72" s="47">
        <v>5.824291342962141</v>
      </c>
      <c r="Q72" s="310">
        <f t="shared" si="125"/>
        <v>5.824291342962141</v>
      </c>
      <c r="R72" s="311">
        <f t="shared" si="132"/>
        <v>0</v>
      </c>
      <c r="S72" s="311">
        <f t="shared" si="126"/>
        <v>21.781304430783745</v>
      </c>
      <c r="T72" s="310">
        <f t="shared" si="127"/>
        <v>8.0322172581874991</v>
      </c>
      <c r="U72" s="316">
        <f t="shared" si="45"/>
        <v>0.37908919475557046</v>
      </c>
      <c r="V72" s="48">
        <v>8.7335301058273376E-2</v>
      </c>
      <c r="W72" s="49">
        <v>0.76418413403518515</v>
      </c>
      <c r="X72" s="48" t="s">
        <v>74</v>
      </c>
      <c r="Y72" s="48" t="s">
        <v>527</v>
      </c>
      <c r="Z72" s="247">
        <f>0.027*Z3</f>
        <v>3.4020000000000002E-2</v>
      </c>
      <c r="AA72" s="247"/>
      <c r="AB72" s="386">
        <v>0</v>
      </c>
      <c r="AC72" s="387">
        <f t="shared" si="115"/>
        <v>3.0739870705839007</v>
      </c>
      <c r="AD72" s="361">
        <f t="shared" si="116"/>
        <v>0.15369935352919506</v>
      </c>
      <c r="AE72" s="361">
        <f t="shared" si="117"/>
        <v>8.914562504693313E-2</v>
      </c>
      <c r="AF72" s="361">
        <f t="shared" si="118"/>
        <v>1.2295948282335604E-2</v>
      </c>
      <c r="AG72" s="361">
        <f t="shared" si="119"/>
        <v>0</v>
      </c>
      <c r="AH72" s="361">
        <f t="shared" si="120"/>
        <v>0.22440105615262473</v>
      </c>
      <c r="AI72" s="361">
        <f t="shared" si="121"/>
        <v>2.2655284710203349</v>
      </c>
      <c r="AJ72" s="361" t="s">
        <v>40</v>
      </c>
      <c r="AK72" s="361">
        <f t="shared" si="114"/>
        <v>0</v>
      </c>
      <c r="AL72" s="361">
        <f t="shared" si="122"/>
        <v>0.25514092685846379</v>
      </c>
      <c r="AM72" s="361">
        <f t="shared" si="123"/>
        <v>7.0701702623429716E-2</v>
      </c>
      <c r="AN72" s="361">
        <f t="shared" si="128"/>
        <v>3.0709130835133167</v>
      </c>
      <c r="AO72" s="294" t="s">
        <v>617</v>
      </c>
      <c r="AP72" s="282" t="s">
        <v>420</v>
      </c>
      <c r="AQ72" s="136" t="s">
        <v>74</v>
      </c>
      <c r="AR72" s="294"/>
      <c r="AS72" s="142"/>
      <c r="AT72" s="142" t="s">
        <v>217</v>
      </c>
      <c r="AU72" s="146" t="s">
        <v>227</v>
      </c>
      <c r="AV72" s="48"/>
      <c r="AW72" s="131" t="s">
        <v>284</v>
      </c>
      <c r="AX72" s="131"/>
      <c r="AY72" s="131"/>
      <c r="AZ72" s="48"/>
      <c r="BA72" s="48"/>
      <c r="BB72" s="50"/>
      <c r="BC72" s="51" t="s">
        <v>77</v>
      </c>
      <c r="BD72" s="52">
        <v>3.6708657253565993</v>
      </c>
      <c r="BE72" s="53">
        <v>32.120085595392048</v>
      </c>
      <c r="BF72" s="54">
        <v>3.6708657253565993</v>
      </c>
      <c r="BG72" s="53">
        <v>32.120085595392048</v>
      </c>
      <c r="BH72" s="450">
        <v>14264.901089175304</v>
      </c>
      <c r="BI72" s="347">
        <f t="shared" si="129"/>
        <v>5293.1566317578208</v>
      </c>
      <c r="BJ72" s="347">
        <f t="shared" si="133"/>
        <v>19558.057720933124</v>
      </c>
      <c r="BK72" s="45">
        <v>2825.208331090636</v>
      </c>
      <c r="BL72" s="47">
        <v>319.75494400534876</v>
      </c>
      <c r="BM72" s="45">
        <v>11439.692758084668</v>
      </c>
      <c r="BN72" s="55">
        <v>5.0491501572446937</v>
      </c>
      <c r="BO72" s="47">
        <f t="shared" si="134"/>
        <v>6.9226957551066626</v>
      </c>
      <c r="BP72" s="45">
        <v>2951.1993766748301</v>
      </c>
      <c r="BQ72" s="55">
        <v>4.8335945046341893</v>
      </c>
      <c r="BR72" s="54">
        <v>3.2531513481413699</v>
      </c>
      <c r="BS72" s="53">
        <v>28.465083600113214</v>
      </c>
      <c r="BT72" s="54">
        <v>6.9240170734979687</v>
      </c>
      <c r="BU72" s="53">
        <v>60.585169195505259</v>
      </c>
      <c r="BV72" s="450">
        <v>13818.606935563012</v>
      </c>
      <c r="BW72" s="347">
        <f t="shared" si="130"/>
        <v>4637.1269749386329</v>
      </c>
      <c r="BX72" s="347">
        <f t="shared" si="135"/>
        <v>18455.733910501644</v>
      </c>
      <c r="BY72" s="45">
        <v>2488.7778636026978</v>
      </c>
      <c r="BZ72" s="47">
        <v>280.12476852112076</v>
      </c>
      <c r="CA72" s="45">
        <v>11329.829071960314</v>
      </c>
      <c r="CB72" s="55">
        <v>5.552366540081449</v>
      </c>
      <c r="CC72" s="47">
        <f t="shared" si="136"/>
        <v>7.4155810289093242</v>
      </c>
      <c r="CD72" s="45">
        <v>2599.1536783998445</v>
      </c>
      <c r="CE72" s="55">
        <v>5.3165794121378642</v>
      </c>
      <c r="CF72" s="52">
        <v>2.9888217023654002</v>
      </c>
      <c r="CG72" s="53">
        <v>26.152198443601797</v>
      </c>
      <c r="CH72" s="54">
        <v>7.0014838864622098</v>
      </c>
      <c r="CI72" s="53">
        <v>61.263004030494201</v>
      </c>
      <c r="CJ72" s="450">
        <v>10547.056359240163</v>
      </c>
      <c r="CK72" s="347">
        <f t="shared" si="131"/>
        <v>4212.1142717032626</v>
      </c>
      <c r="CL72" s="347">
        <f t="shared" si="137"/>
        <v>14759.170630943427</v>
      </c>
      <c r="CM72" s="45">
        <v>2273.1364243786052</v>
      </c>
      <c r="CN72" s="47">
        <v>254.45012433824942</v>
      </c>
      <c r="CO72" s="45">
        <v>8273.9199348615584</v>
      </c>
      <c r="CP72" s="55">
        <v>4.6398694975482409</v>
      </c>
      <c r="CQ72" s="47">
        <f t="shared" si="138"/>
        <v>6.4928661881690886</v>
      </c>
      <c r="CR72" s="45">
        <v>2373.3958193165859</v>
      </c>
      <c r="CS72" s="55">
        <v>4.4438674212703235</v>
      </c>
    </row>
    <row r="73" spans="1:97" s="23" customFormat="1" ht="15" customHeight="1">
      <c r="A73" s="377" t="str">
        <f t="shared" si="124"/>
        <v>BNI - Efficient Product Rebates; LED Lamps-Retrofit (dual baseline); COM-Lighting; Other Commercial</v>
      </c>
      <c r="B73" s="149" t="s">
        <v>77</v>
      </c>
      <c r="C73" s="15" t="s">
        <v>73</v>
      </c>
      <c r="D73" s="15" t="s">
        <v>56</v>
      </c>
      <c r="E73" s="43">
        <v>10</v>
      </c>
      <c r="F73" s="44">
        <v>150.80091295120059</v>
      </c>
      <c r="G73" s="44">
        <v>18.282318452771843</v>
      </c>
      <c r="H73" s="45">
        <v>6.060495051526221</v>
      </c>
      <c r="I73" s="46">
        <v>0.82501511138778083</v>
      </c>
      <c r="J73" s="45">
        <v>4.8256292144384192</v>
      </c>
      <c r="K73" s="45">
        <v>9.8256292144384183</v>
      </c>
      <c r="L73" s="45">
        <v>1.060495051526221</v>
      </c>
      <c r="M73" s="45">
        <v>10.886124265964639</v>
      </c>
      <c r="N73" s="45">
        <v>97.062452384609216</v>
      </c>
      <c r="O73" s="47">
        <v>0.76</v>
      </c>
      <c r="P73" s="47">
        <v>7.8213050975493505</v>
      </c>
      <c r="Q73" s="310">
        <f t="shared" si="125"/>
        <v>7.8213050975493505</v>
      </c>
      <c r="R73" s="311">
        <f t="shared" si="132"/>
        <v>0</v>
      </c>
      <c r="S73" s="311">
        <f t="shared" si="126"/>
        <v>36.351315221137384</v>
      </c>
      <c r="T73" s="310">
        <f t="shared" si="127"/>
        <v>10.750498828561939</v>
      </c>
      <c r="U73" s="316">
        <f t="shared" si="45"/>
        <v>0.37451469984598773</v>
      </c>
      <c r="V73" s="48">
        <v>6.5156297943753216E-2</v>
      </c>
      <c r="W73" s="49">
        <v>0.53743890523626237</v>
      </c>
      <c r="X73" s="48" t="s">
        <v>74</v>
      </c>
      <c r="Y73" s="48" t="s">
        <v>527</v>
      </c>
      <c r="Z73" s="247">
        <f>0.027*Z3</f>
        <v>3.4020000000000002E-2</v>
      </c>
      <c r="AA73" s="247"/>
      <c r="AB73" s="386">
        <v>0</v>
      </c>
      <c r="AC73" s="387">
        <f t="shared" si="115"/>
        <v>5.1302470585998439</v>
      </c>
      <c r="AD73" s="361">
        <f t="shared" si="116"/>
        <v>0.25651235292999219</v>
      </c>
      <c r="AE73" s="361">
        <f t="shared" si="117"/>
        <v>0.14877716469939548</v>
      </c>
      <c r="AF73" s="361">
        <f t="shared" si="118"/>
        <v>2.0520988234399375E-2</v>
      </c>
      <c r="AG73" s="361">
        <f t="shared" si="119"/>
        <v>0</v>
      </c>
      <c r="AH73" s="361">
        <f t="shared" si="120"/>
        <v>0.37450803527778859</v>
      </c>
      <c r="AI73" s="361">
        <f t="shared" si="121"/>
        <v>3.7809920821880847</v>
      </c>
      <c r="AJ73" s="361" t="s">
        <v>40</v>
      </c>
      <c r="AK73" s="361">
        <f t="shared" si="114"/>
        <v>0</v>
      </c>
      <c r="AL73" s="361">
        <f t="shared" si="122"/>
        <v>0.42581050586378705</v>
      </c>
      <c r="AM73" s="361">
        <f t="shared" si="123"/>
        <v>0.11799568234779641</v>
      </c>
      <c r="AN73" s="361">
        <f t="shared" si="128"/>
        <v>5.1251168115412433</v>
      </c>
      <c r="AO73" s="294" t="s">
        <v>617</v>
      </c>
      <c r="AP73" s="282" t="s">
        <v>420</v>
      </c>
      <c r="AQ73" s="136" t="s">
        <v>74</v>
      </c>
      <c r="AR73" s="294"/>
      <c r="AS73" s="142"/>
      <c r="AT73" s="142" t="s">
        <v>217</v>
      </c>
      <c r="AU73" s="146" t="s">
        <v>227</v>
      </c>
      <c r="AV73" s="48"/>
      <c r="AW73" s="131" t="s">
        <v>284</v>
      </c>
      <c r="AX73" s="131"/>
      <c r="AY73" s="131"/>
      <c r="AZ73" s="48"/>
      <c r="BA73" s="48"/>
      <c r="BB73" s="50"/>
      <c r="BC73" s="51" t="s">
        <v>77</v>
      </c>
      <c r="BD73" s="52">
        <v>8.8707999873484837</v>
      </c>
      <c r="BE73" s="53">
        <v>73.170409986859909</v>
      </c>
      <c r="BF73" s="54">
        <v>8.8707999873484837</v>
      </c>
      <c r="BG73" s="53">
        <v>73.170409986859909</v>
      </c>
      <c r="BH73" s="450">
        <v>32933.577135303385</v>
      </c>
      <c r="BI73" s="347">
        <f t="shared" si="129"/>
        <v>12120.317294265547</v>
      </c>
      <c r="BJ73" s="347">
        <f t="shared" si="133"/>
        <v>45053.894429568929</v>
      </c>
      <c r="BK73" s="45">
        <v>5101.5599267876369</v>
      </c>
      <c r="BL73" s="47">
        <v>438.71276228910853</v>
      </c>
      <c r="BM73" s="45">
        <v>27832.017208515746</v>
      </c>
      <c r="BN73" s="55">
        <v>6.455589585917318</v>
      </c>
      <c r="BO73" s="47">
        <f t="shared" si="134"/>
        <v>8.8313957056540122</v>
      </c>
      <c r="BP73" s="45">
        <v>5274.4231793133276</v>
      </c>
      <c r="BQ73" s="55">
        <v>6.2440149407183094</v>
      </c>
      <c r="BR73" s="54">
        <v>7.9091179537751568</v>
      </c>
      <c r="BS73" s="53">
        <v>65.238017330739339</v>
      </c>
      <c r="BT73" s="54">
        <v>16.779917941123642</v>
      </c>
      <c r="BU73" s="53">
        <v>138.40842731759926</v>
      </c>
      <c r="BV73" s="450">
        <v>32183.775496933733</v>
      </c>
      <c r="BW73" s="347">
        <f t="shared" si="130"/>
        <v>10682.618703567608</v>
      </c>
      <c r="BX73" s="347">
        <f t="shared" si="135"/>
        <v>42866.394200501338</v>
      </c>
      <c r="BY73" s="45">
        <v>4527.8711880740539</v>
      </c>
      <c r="BZ73" s="47">
        <v>386.67314115124691</v>
      </c>
      <c r="CA73" s="45">
        <v>27655.904308859681</v>
      </c>
      <c r="CB73" s="55">
        <v>7.1079264758464156</v>
      </c>
      <c r="CC73" s="47">
        <f t="shared" si="136"/>
        <v>9.4672291723772979</v>
      </c>
      <c r="CD73" s="45">
        <v>4680.2295933663117</v>
      </c>
      <c r="CE73" s="55">
        <v>6.8765377541628601</v>
      </c>
      <c r="CF73" s="52">
        <v>7.4274263652100494</v>
      </c>
      <c r="CG73" s="53">
        <v>61.264805098156266</v>
      </c>
      <c r="CH73" s="54">
        <v>17.264025567338834</v>
      </c>
      <c r="CI73" s="53">
        <v>142.40156813223271</v>
      </c>
      <c r="CJ73" s="450">
        <v>25145.282071472586</v>
      </c>
      <c r="CK73" s="347">
        <f t="shared" si="131"/>
        <v>9918.4417511526663</v>
      </c>
      <c r="CL73" s="347">
        <f t="shared" si="137"/>
        <v>35063.723822625252</v>
      </c>
      <c r="CM73" s="45">
        <v>4233.1743805142642</v>
      </c>
      <c r="CN73" s="47">
        <v>359.0126291751908</v>
      </c>
      <c r="CO73" s="45">
        <v>20912.107690958321</v>
      </c>
      <c r="CP73" s="55">
        <v>5.9400534471764024</v>
      </c>
      <c r="CQ73" s="47">
        <f t="shared" si="138"/>
        <v>8.2830804192775922</v>
      </c>
      <c r="CR73" s="45">
        <v>4374.6338868509547</v>
      </c>
      <c r="CS73" s="55">
        <v>5.7479740526522587</v>
      </c>
    </row>
    <row r="74" spans="1:97" s="23" customFormat="1" ht="15" customHeight="1">
      <c r="A74" s="377" t="str">
        <f t="shared" si="124"/>
        <v>BNI - Efficient Product Rebates; LED Lamps-Retrofit (dual baseline); COM-Lighting; Retail</v>
      </c>
      <c r="B74" s="149" t="s">
        <v>77</v>
      </c>
      <c r="C74" s="15" t="s">
        <v>73</v>
      </c>
      <c r="D74" s="15" t="s">
        <v>30</v>
      </c>
      <c r="E74" s="43">
        <v>10</v>
      </c>
      <c r="F74" s="44">
        <v>141.2367797275291</v>
      </c>
      <c r="G74" s="44">
        <v>19.043691455299697</v>
      </c>
      <c r="H74" s="45">
        <v>6.060495051526221</v>
      </c>
      <c r="I74" s="46">
        <v>0.82501511138778083</v>
      </c>
      <c r="J74" s="45">
        <v>4.5195769512809312</v>
      </c>
      <c r="K74" s="45">
        <v>9.5195769512809321</v>
      </c>
      <c r="L74" s="45">
        <v>1.060495051526221</v>
      </c>
      <c r="M74" s="45">
        <v>10.580072002807153</v>
      </c>
      <c r="N74" s="45">
        <v>93.053468840567461</v>
      </c>
      <c r="O74" s="47">
        <v>0.76</v>
      </c>
      <c r="P74" s="47">
        <v>7.749736902844651</v>
      </c>
      <c r="Q74" s="310">
        <f t="shared" si="125"/>
        <v>7.749736902844651</v>
      </c>
      <c r="R74" s="311">
        <f t="shared" si="132"/>
        <v>0</v>
      </c>
      <c r="S74" s="311">
        <f t="shared" si="126"/>
        <v>34.045833013989593</v>
      </c>
      <c r="T74" s="310">
        <f t="shared" si="127"/>
        <v>10.585163155988003</v>
      </c>
      <c r="U74" s="316">
        <f t="shared" si="45"/>
        <v>0.36587387271206179</v>
      </c>
      <c r="V74" s="48">
        <v>6.7401543490625396E-2</v>
      </c>
      <c r="W74" s="49">
        <v>0.49988086467509507</v>
      </c>
      <c r="X74" s="48" t="s">
        <v>74</v>
      </c>
      <c r="Y74" s="48" t="s">
        <v>527</v>
      </c>
      <c r="Z74" s="247">
        <f>0.027*Z3</f>
        <v>3.4020000000000002E-2</v>
      </c>
      <c r="AA74" s="247"/>
      <c r="AB74" s="386">
        <v>0</v>
      </c>
      <c r="AC74" s="387">
        <f t="shared" si="115"/>
        <v>4.80487524633054</v>
      </c>
      <c r="AD74" s="361">
        <f t="shared" si="116"/>
        <v>0.240243762316527</v>
      </c>
      <c r="AE74" s="361">
        <f t="shared" si="117"/>
        <v>0.13934138214358566</v>
      </c>
      <c r="AF74" s="361">
        <f t="shared" si="118"/>
        <v>1.9219500985322161E-2</v>
      </c>
      <c r="AG74" s="361">
        <f t="shared" si="119"/>
        <v>0</v>
      </c>
      <c r="AH74" s="361">
        <f t="shared" si="120"/>
        <v>0.35075589298212939</v>
      </c>
      <c r="AI74" s="361">
        <f t="shared" si="121"/>
        <v>3.541193056545608</v>
      </c>
      <c r="AJ74" s="361" t="s">
        <v>40</v>
      </c>
      <c r="AK74" s="361">
        <f t="shared" si="114"/>
        <v>0</v>
      </c>
      <c r="AL74" s="361">
        <f t="shared" si="122"/>
        <v>0.39880464544543481</v>
      </c>
      <c r="AM74" s="361">
        <f t="shared" si="123"/>
        <v>0.11051213066560242</v>
      </c>
      <c r="AN74" s="361">
        <f t="shared" si="128"/>
        <v>4.8000703710842103</v>
      </c>
      <c r="AO74" s="294" t="s">
        <v>617</v>
      </c>
      <c r="AP74" s="282" t="s">
        <v>420</v>
      </c>
      <c r="AQ74" s="136" t="s">
        <v>74</v>
      </c>
      <c r="AR74" s="294"/>
      <c r="AS74" s="142"/>
      <c r="AT74" s="142" t="s">
        <v>217</v>
      </c>
      <c r="AU74" s="146" t="s">
        <v>227</v>
      </c>
      <c r="AV74" s="48"/>
      <c r="AW74" s="131" t="s">
        <v>284</v>
      </c>
      <c r="AX74" s="131"/>
      <c r="AY74" s="131"/>
      <c r="AZ74" s="48"/>
      <c r="BA74" s="48"/>
      <c r="BB74" s="50"/>
      <c r="BC74" s="51" t="s">
        <v>77</v>
      </c>
      <c r="BD74" s="52">
        <v>10.510572260477291</v>
      </c>
      <c r="BE74" s="53">
        <v>77.951240842551599</v>
      </c>
      <c r="BF74" s="54">
        <v>10.510572260477291</v>
      </c>
      <c r="BG74" s="53">
        <v>77.951240842551599</v>
      </c>
      <c r="BH74" s="450">
        <v>41691.017788870464</v>
      </c>
      <c r="BI74" s="347">
        <f t="shared" si="129"/>
        <v>16216.981396085381</v>
      </c>
      <c r="BJ74" s="347">
        <f t="shared" si="133"/>
        <v>57907.999184955843</v>
      </c>
      <c r="BK74" s="45">
        <v>6168.9406130213629</v>
      </c>
      <c r="BL74" s="47">
        <v>626.74728525907642</v>
      </c>
      <c r="BM74" s="45">
        <v>35522.077175849103</v>
      </c>
      <c r="BN74" s="55">
        <v>6.7582135092805586</v>
      </c>
      <c r="BO74" s="47">
        <f t="shared" si="134"/>
        <v>9.3870249071167891</v>
      </c>
      <c r="BP74" s="45">
        <v>6415.8939354554495</v>
      </c>
      <c r="BQ74" s="55">
        <v>6.4980840095373109</v>
      </c>
      <c r="BR74" s="54">
        <v>9.3637314817100759</v>
      </c>
      <c r="BS74" s="53">
        <v>69.445741851797024</v>
      </c>
      <c r="BT74" s="54">
        <v>19.874303742187365</v>
      </c>
      <c r="BU74" s="53">
        <v>147.39698269434862</v>
      </c>
      <c r="BV74" s="450">
        <v>40401.668075283444</v>
      </c>
      <c r="BW74" s="347">
        <f t="shared" si="130"/>
        <v>14282.067460252698</v>
      </c>
      <c r="BX74" s="347">
        <f t="shared" si="135"/>
        <v>54683.735535536143</v>
      </c>
      <c r="BY74" s="45">
        <v>5466.3805193401149</v>
      </c>
      <c r="BZ74" s="47">
        <v>551.96752034019801</v>
      </c>
      <c r="CA74" s="45">
        <v>34935.287555943331</v>
      </c>
      <c r="CB74" s="55">
        <v>7.3909359094819491</v>
      </c>
      <c r="CC74" s="47">
        <f t="shared" si="136"/>
        <v>10.003645985138517</v>
      </c>
      <c r="CD74" s="45">
        <v>5683.8688375661277</v>
      </c>
      <c r="CE74" s="55">
        <v>7.1081281482532805</v>
      </c>
      <c r="CF74" s="52">
        <v>8.7661251990711779</v>
      </c>
      <c r="CG74" s="53">
        <v>65.013618641705392</v>
      </c>
      <c r="CH74" s="54">
        <v>21.148367271291811</v>
      </c>
      <c r="CI74" s="53">
        <v>156.8460241494351</v>
      </c>
      <c r="CJ74" s="450">
        <v>30571.033986270038</v>
      </c>
      <c r="CK74" s="347">
        <f t="shared" si="131"/>
        <v>13219.201278814486</v>
      </c>
      <c r="CL74" s="347">
        <f t="shared" si="137"/>
        <v>43790.235265084528</v>
      </c>
      <c r="CM74" s="45">
        <v>5090.5641112607791</v>
      </c>
      <c r="CN74" s="47">
        <v>510.89030149533448</v>
      </c>
      <c r="CO74" s="45">
        <v>25480.469875009258</v>
      </c>
      <c r="CP74" s="55">
        <v>6.0054314842326022</v>
      </c>
      <c r="CQ74" s="47">
        <f t="shared" si="138"/>
        <v>8.6022362763719347</v>
      </c>
      <c r="CR74" s="45">
        <v>5291.8670292326888</v>
      </c>
      <c r="CS74" s="55">
        <v>5.7769845344550887</v>
      </c>
    </row>
    <row r="75" spans="1:97" s="23" customFormat="1" ht="15" customHeight="1">
      <c r="A75" s="377" t="str">
        <f t="shared" si="124"/>
        <v>BNI - Efficient Product Rebates; LED Lamps-Retrofit (dual baseline); COM-Lighting; School</v>
      </c>
      <c r="B75" s="149" t="s">
        <v>77</v>
      </c>
      <c r="C75" s="15" t="s">
        <v>73</v>
      </c>
      <c r="D75" s="15" t="s">
        <v>59</v>
      </c>
      <c r="E75" s="43">
        <v>10</v>
      </c>
      <c r="F75" s="44">
        <v>82.123487980621817</v>
      </c>
      <c r="G75" s="44">
        <v>10.585891076656853</v>
      </c>
      <c r="H75" s="45">
        <v>6.060495051526221</v>
      </c>
      <c r="I75" s="46">
        <v>0.82501511138778083</v>
      </c>
      <c r="J75" s="45">
        <v>2.6279516153798981</v>
      </c>
      <c r="K75" s="45">
        <v>7.6279516153798976</v>
      </c>
      <c r="L75" s="45">
        <v>1.060495051526221</v>
      </c>
      <c r="M75" s="45">
        <v>8.6884466669061187</v>
      </c>
      <c r="N75" s="45">
        <v>53.562248847696459</v>
      </c>
      <c r="O75" s="47">
        <v>0.76</v>
      </c>
      <c r="P75" s="47">
        <v>5.6272760722520125</v>
      </c>
      <c r="Q75" s="310">
        <f t="shared" si="125"/>
        <v>5.6272760722520125</v>
      </c>
      <c r="R75" s="311">
        <f t="shared" si="132"/>
        <v>0</v>
      </c>
      <c r="S75" s="311">
        <f t="shared" si="126"/>
        <v>19.796278021267135</v>
      </c>
      <c r="T75" s="310">
        <f t="shared" si="127"/>
        <v>7.7070827275977756</v>
      </c>
      <c r="U75" s="316">
        <f t="shared" si="45"/>
        <v>0.36959385476060941</v>
      </c>
      <c r="V75" s="48">
        <v>9.2883921554571813E-2</v>
      </c>
      <c r="W75" s="49">
        <v>0.72057718713925145</v>
      </c>
      <c r="X75" s="48" t="s">
        <v>74</v>
      </c>
      <c r="Y75" s="48" t="s">
        <v>527</v>
      </c>
      <c r="Z75" s="247">
        <f>0.027*Z3</f>
        <v>3.4020000000000002E-2</v>
      </c>
      <c r="AA75" s="247"/>
      <c r="AB75" s="386">
        <v>0</v>
      </c>
      <c r="AC75" s="387">
        <f t="shared" si="115"/>
        <v>2.7938410611007543</v>
      </c>
      <c r="AD75" s="361">
        <f t="shared" si="116"/>
        <v>0.13969205305503771</v>
      </c>
      <c r="AE75" s="361">
        <f t="shared" si="117"/>
        <v>8.1021390771921872E-2</v>
      </c>
      <c r="AF75" s="361">
        <f t="shared" si="118"/>
        <v>1.1175364244403017E-2</v>
      </c>
      <c r="AG75" s="361">
        <f t="shared" si="119"/>
        <v>0</v>
      </c>
      <c r="AH75" s="361">
        <f t="shared" si="120"/>
        <v>0.20395039746035504</v>
      </c>
      <c r="AI75" s="361">
        <f t="shared" si="121"/>
        <v>2.0590608620312558</v>
      </c>
      <c r="AJ75" s="361" t="s">
        <v>40</v>
      </c>
      <c r="AK75" s="361">
        <f t="shared" si="114"/>
        <v>0</v>
      </c>
      <c r="AL75" s="361">
        <f t="shared" si="122"/>
        <v>0.23188880807136261</v>
      </c>
      <c r="AM75" s="361">
        <f t="shared" si="123"/>
        <v>6.4258344405317344E-2</v>
      </c>
      <c r="AN75" s="361">
        <f t="shared" si="128"/>
        <v>2.7910472200396534</v>
      </c>
      <c r="AO75" s="294" t="s">
        <v>617</v>
      </c>
      <c r="AP75" s="282" t="s">
        <v>420</v>
      </c>
      <c r="AQ75" s="136" t="s">
        <v>74</v>
      </c>
      <c r="AR75" s="294"/>
      <c r="AS75" s="142"/>
      <c r="AT75" s="142" t="s">
        <v>217</v>
      </c>
      <c r="AU75" s="146" t="s">
        <v>227</v>
      </c>
      <c r="AV75" s="48"/>
      <c r="AW75" s="131" t="s">
        <v>284</v>
      </c>
      <c r="AX75" s="131"/>
      <c r="AY75" s="131"/>
      <c r="AZ75" s="48"/>
      <c r="BA75" s="48"/>
      <c r="BB75" s="50"/>
      <c r="BC75" s="51" t="s">
        <v>77</v>
      </c>
      <c r="BD75" s="52">
        <v>30.22219626545461</v>
      </c>
      <c r="BE75" s="53">
        <v>234.45850271660686</v>
      </c>
      <c r="BF75" s="54">
        <v>30.22219626545461</v>
      </c>
      <c r="BG75" s="53">
        <v>234.45850271660686</v>
      </c>
      <c r="BH75" s="450">
        <v>103729.0497036398</v>
      </c>
      <c r="BI75" s="347">
        <f t="shared" si="129"/>
        <v>37155.565549203093</v>
      </c>
      <c r="BJ75" s="347">
        <f t="shared" si="133"/>
        <v>140884.61525284289</v>
      </c>
      <c r="BK75" s="45">
        <v>21246.8590961804</v>
      </c>
      <c r="BL75" s="47">
        <v>2469.600698975019</v>
      </c>
      <c r="BM75" s="45">
        <v>82482.190607459401</v>
      </c>
      <c r="BN75" s="55">
        <v>4.8820886529194061</v>
      </c>
      <c r="BO75" s="47">
        <f t="shared" si="134"/>
        <v>6.6308443339829966</v>
      </c>
      <c r="BP75" s="45">
        <v>22219.940451363807</v>
      </c>
      <c r="BQ75" s="55">
        <v>4.6682865748757285</v>
      </c>
      <c r="BR75" s="54">
        <v>26.75562313531146</v>
      </c>
      <c r="BS75" s="53">
        <v>207.56543582920742</v>
      </c>
      <c r="BT75" s="54">
        <v>56.977819400766073</v>
      </c>
      <c r="BU75" s="53">
        <v>442.0239385458143</v>
      </c>
      <c r="BV75" s="450">
        <v>101228.63600440657</v>
      </c>
      <c r="BW75" s="347">
        <f t="shared" si="130"/>
        <v>32517.069362077553</v>
      </c>
      <c r="BX75" s="347">
        <f t="shared" si="135"/>
        <v>133745.70536648412</v>
      </c>
      <c r="BY75" s="45">
        <v>18694.475571012601</v>
      </c>
      <c r="BZ75" s="47">
        <v>2161.2960545268365</v>
      </c>
      <c r="CA75" s="45">
        <v>82534.160433393961</v>
      </c>
      <c r="CB75" s="55">
        <v>5.4148957332277519</v>
      </c>
      <c r="CC75" s="47">
        <f t="shared" si="136"/>
        <v>7.1542903066972574</v>
      </c>
      <c r="CD75" s="45">
        <v>19546.077570706075</v>
      </c>
      <c r="CE75" s="55">
        <v>5.1789744330145835</v>
      </c>
      <c r="CF75" s="52">
        <v>24.503993089858909</v>
      </c>
      <c r="CG75" s="53">
        <v>190.09768449533229</v>
      </c>
      <c r="CH75" s="54">
        <v>57.14331177044464</v>
      </c>
      <c r="CI75" s="53">
        <v>443.30779935014016</v>
      </c>
      <c r="CJ75" s="450">
        <v>77812.293925719598</v>
      </c>
      <c r="CK75" s="347">
        <f t="shared" si="131"/>
        <v>29443.443860887077</v>
      </c>
      <c r="CL75" s="347">
        <f t="shared" si="137"/>
        <v>107255.73778660668</v>
      </c>
      <c r="CM75" s="45">
        <v>17018.021889759537</v>
      </c>
      <c r="CN75" s="47">
        <v>1957.0029002192919</v>
      </c>
      <c r="CO75" s="45">
        <v>60794.272035960064</v>
      </c>
      <c r="CP75" s="55">
        <v>4.5723465647051817</v>
      </c>
      <c r="CQ75" s="47">
        <f t="shared" si="138"/>
        <v>6.3024797171724751</v>
      </c>
      <c r="CR75" s="45">
        <v>17789.127532478869</v>
      </c>
      <c r="CS75" s="55">
        <v>4.374148972941601</v>
      </c>
    </row>
    <row r="76" spans="1:97" s="23" customFormat="1" ht="15" customHeight="1">
      <c r="A76" s="377" t="str">
        <f t="shared" si="124"/>
        <v xml:space="preserve">BNI - Efficient Product Rebates; LED Lamps-End of Life; IND; Industrial </v>
      </c>
      <c r="B76" s="149" t="s">
        <v>78</v>
      </c>
      <c r="C76" s="15" t="s">
        <v>69</v>
      </c>
      <c r="D76" s="15" t="s">
        <v>70</v>
      </c>
      <c r="E76" s="43">
        <v>10</v>
      </c>
      <c r="F76" s="44">
        <v>82.508151060970349</v>
      </c>
      <c r="G76" s="44">
        <v>14.882422629679118</v>
      </c>
      <c r="H76" s="45">
        <v>23.5</v>
      </c>
      <c r="I76" s="46">
        <v>0.21276595744680851</v>
      </c>
      <c r="J76" s="45">
        <v>2.6402608339510514</v>
      </c>
      <c r="K76" s="45">
        <v>7.6402608339510518</v>
      </c>
      <c r="L76" s="45">
        <v>18.5</v>
      </c>
      <c r="M76" s="45">
        <v>26.140260833951054</v>
      </c>
      <c r="N76" s="45">
        <v>58.559877960815285</v>
      </c>
      <c r="O76" s="47">
        <v>0.76</v>
      </c>
      <c r="P76" s="47">
        <v>2.1709727310646123</v>
      </c>
      <c r="Q76" s="310">
        <f t="shared" si="125"/>
        <v>2.1709727310646123</v>
      </c>
      <c r="R76" s="311">
        <f t="shared" si="132"/>
        <v>0</v>
      </c>
      <c r="S76" s="311">
        <f t="shared" si="126"/>
        <v>19.889002983033173</v>
      </c>
      <c r="T76" s="310">
        <f t="shared" si="127"/>
        <v>2.9083117527258282</v>
      </c>
      <c r="U76" s="316">
        <f t="shared" si="45"/>
        <v>0.33963532158215359</v>
      </c>
      <c r="V76" s="48">
        <v>9.2600073274035591E-2</v>
      </c>
      <c r="W76" s="49">
        <v>0.51337480624387999</v>
      </c>
      <c r="X76" s="48" t="s">
        <v>74</v>
      </c>
      <c r="Y76" s="48" t="s">
        <v>527</v>
      </c>
      <c r="Z76" s="247">
        <f>0.027*Z3</f>
        <v>3.4020000000000002E-2</v>
      </c>
      <c r="AA76" s="247"/>
      <c r="AB76" s="386">
        <v>0</v>
      </c>
      <c r="AC76" s="387">
        <f t="shared" si="115"/>
        <v>2.8069272990942116</v>
      </c>
      <c r="AD76" s="361">
        <f t="shared" si="116"/>
        <v>0.14034636495471059</v>
      </c>
      <c r="AE76" s="361">
        <f t="shared" si="117"/>
        <v>8.1400891673732143E-2</v>
      </c>
      <c r="AF76" s="361">
        <f t="shared" si="118"/>
        <v>1.1227709196376846E-2</v>
      </c>
      <c r="AG76" s="361">
        <f t="shared" si="119"/>
        <v>0</v>
      </c>
      <c r="AH76" s="361">
        <f t="shared" si="120"/>
        <v>0.20490569283387744</v>
      </c>
      <c r="AI76" s="361">
        <f t="shared" si="121"/>
        <v>2.0687054194324337</v>
      </c>
      <c r="AJ76" s="361" t="s">
        <v>40</v>
      </c>
      <c r="AK76" s="361">
        <f t="shared" si="114"/>
        <v>0</v>
      </c>
      <c r="AL76" s="361">
        <f t="shared" si="122"/>
        <v>0.23297496582481958</v>
      </c>
      <c r="AM76" s="361">
        <f t="shared" si="123"/>
        <v>6.4559327879166864E-2</v>
      </c>
      <c r="AN76" s="361">
        <f t="shared" si="128"/>
        <v>2.8041203717951175</v>
      </c>
      <c r="AO76" s="294" t="s">
        <v>617</v>
      </c>
      <c r="AP76" s="282" t="s">
        <v>420</v>
      </c>
      <c r="AQ76" s="136" t="s">
        <v>74</v>
      </c>
      <c r="AR76" s="294"/>
      <c r="AS76" s="142"/>
      <c r="AT76" s="142" t="s">
        <v>217</v>
      </c>
      <c r="AU76" s="146" t="s">
        <v>227</v>
      </c>
      <c r="AV76" s="48"/>
      <c r="AW76" s="131" t="s">
        <v>284</v>
      </c>
      <c r="AX76" s="144"/>
      <c r="AY76" s="131">
        <v>98.32</v>
      </c>
      <c r="AZ76" s="48"/>
      <c r="BA76" s="48"/>
      <c r="BB76" s="50"/>
      <c r="BC76" s="51" t="s">
        <v>78</v>
      </c>
      <c r="BD76" s="52">
        <v>10.054912867539812</v>
      </c>
      <c r="BE76" s="53">
        <v>55.74443693901177</v>
      </c>
      <c r="BF76" s="54">
        <v>10.054912867539812</v>
      </c>
      <c r="BG76" s="53">
        <v>55.74443693901177</v>
      </c>
      <c r="BH76" s="450">
        <v>39564.423419579914</v>
      </c>
      <c r="BI76" s="347">
        <f t="shared" si="129"/>
        <v>13437.475671321519</v>
      </c>
      <c r="BJ76" s="347">
        <f t="shared" si="133"/>
        <v>53001.899090901432</v>
      </c>
      <c r="BK76" s="45">
        <v>18224.283913588413</v>
      </c>
      <c r="BL76" s="47">
        <v>888.97814819051825</v>
      </c>
      <c r="BM76" s="45">
        <v>21340.139505991501</v>
      </c>
      <c r="BN76" s="55">
        <v>2.1709727310646119</v>
      </c>
      <c r="BO76" s="47">
        <f t="shared" si="134"/>
        <v>2.9083117527258282</v>
      </c>
      <c r="BP76" s="45">
        <v>6792.0249278583497</v>
      </c>
      <c r="BQ76" s="55">
        <v>5.8251293008807172</v>
      </c>
      <c r="BR76" s="54">
        <v>7.1329018803484505</v>
      </c>
      <c r="BS76" s="53">
        <v>39.544808025624427</v>
      </c>
      <c r="BT76" s="54">
        <v>17.187814747888261</v>
      </c>
      <c r="BU76" s="53">
        <v>95.289244964636197</v>
      </c>
      <c r="BV76" s="450">
        <v>30194.894306196496</v>
      </c>
      <c r="BW76" s="347">
        <f t="shared" si="130"/>
        <v>9423.3235344511413</v>
      </c>
      <c r="BX76" s="347">
        <f t="shared" si="135"/>
        <v>39618.217840647638</v>
      </c>
      <c r="BY76" s="45">
        <v>12799.242841268449</v>
      </c>
      <c r="BZ76" s="47">
        <v>623.41535794071137</v>
      </c>
      <c r="CA76" s="45">
        <v>17395.651464928047</v>
      </c>
      <c r="CB76" s="55">
        <v>2.3591156665017285</v>
      </c>
      <c r="CC76" s="47">
        <f t="shared" si="136"/>
        <v>3.0953563684960397</v>
      </c>
      <c r="CD76" s="45">
        <v>4782.1213381509006</v>
      </c>
      <c r="CE76" s="55">
        <v>6.3141213221226913</v>
      </c>
      <c r="CF76" s="52">
        <v>2.2835903144851044</v>
      </c>
      <c r="CG76" s="53">
        <v>12.660224703816802</v>
      </c>
      <c r="CH76" s="54">
        <v>19.471405062373364</v>
      </c>
      <c r="CI76" s="53">
        <v>107.94946966845299</v>
      </c>
      <c r="CJ76" s="450">
        <v>10434.560654581459</v>
      </c>
      <c r="CK76" s="347">
        <f t="shared" si="131"/>
        <v>4986.0276427459039</v>
      </c>
      <c r="CL76" s="347">
        <f t="shared" si="137"/>
        <v>15420.588297327362</v>
      </c>
      <c r="CM76" s="45">
        <v>6424.3402883099316</v>
      </c>
      <c r="CN76" s="47">
        <v>329.85880154074164</v>
      </c>
      <c r="CO76" s="45">
        <v>4010.2203662715274</v>
      </c>
      <c r="CP76" s="55">
        <v>1.624222906368882</v>
      </c>
      <c r="CQ76" s="47">
        <f t="shared" si="138"/>
        <v>2.400338027764108</v>
      </c>
      <c r="CR76" s="45">
        <v>2182.3561004959947</v>
      </c>
      <c r="CS76" s="55">
        <v>4.781328149063274</v>
      </c>
    </row>
    <row r="77" spans="1:97" s="23" customFormat="1" ht="15" customHeight="1">
      <c r="A77" s="377" t="str">
        <f t="shared" si="124"/>
        <v>BNI - Efficient Product Rebates; LED Lamps-End of Life; COM-Lighting; Office</v>
      </c>
      <c r="B77" s="149" t="s">
        <v>78</v>
      </c>
      <c r="C77" s="15" t="s">
        <v>73</v>
      </c>
      <c r="D77" s="15" t="s">
        <v>66</v>
      </c>
      <c r="E77" s="43">
        <v>10</v>
      </c>
      <c r="F77" s="44">
        <v>52.563494754620386</v>
      </c>
      <c r="G77" s="44">
        <v>6.0072545798999526</v>
      </c>
      <c r="H77" s="45">
        <v>23.5</v>
      </c>
      <c r="I77" s="46">
        <v>0.21276595744680851</v>
      </c>
      <c r="J77" s="45">
        <v>1.6820318321478525</v>
      </c>
      <c r="K77" s="45">
        <v>6.6820318321478522</v>
      </c>
      <c r="L77" s="45">
        <v>18.5</v>
      </c>
      <c r="M77" s="45">
        <v>25.182031832147853</v>
      </c>
      <c r="N77" s="45">
        <v>33.424043217538305</v>
      </c>
      <c r="O77" s="47">
        <v>0.76</v>
      </c>
      <c r="P77" s="47">
        <v>1.2998787978402941</v>
      </c>
      <c r="Q77" s="310">
        <f t="shared" si="125"/>
        <v>1.2998787978402941</v>
      </c>
      <c r="R77" s="311">
        <f t="shared" si="132"/>
        <v>0</v>
      </c>
      <c r="S77" s="311">
        <f t="shared" si="126"/>
        <v>12.670693628811977</v>
      </c>
      <c r="T77" s="310">
        <f t="shared" si="127"/>
        <v>1.7926488045934101</v>
      </c>
      <c r="U77" s="316">
        <f t="shared" si="45"/>
        <v>0.3790891947555704</v>
      </c>
      <c r="V77" s="48">
        <v>0.12712305114683217</v>
      </c>
      <c r="W77" s="49">
        <v>1.1123270611013689</v>
      </c>
      <c r="X77" s="48" t="s">
        <v>74</v>
      </c>
      <c r="Y77" s="48" t="s">
        <v>527</v>
      </c>
      <c r="Z77" s="247">
        <f>0.027*Z3</f>
        <v>3.4020000000000002E-2</v>
      </c>
      <c r="AA77" s="247"/>
      <c r="AB77" s="386">
        <v>0</v>
      </c>
      <c r="AC77" s="387">
        <f t="shared" si="115"/>
        <v>1.7882100915521857</v>
      </c>
      <c r="AD77" s="361">
        <f t="shared" si="116"/>
        <v>8.9410504577609295E-2</v>
      </c>
      <c r="AE77" s="361">
        <f t="shared" si="117"/>
        <v>5.1858092655013385E-2</v>
      </c>
      <c r="AF77" s="361">
        <f t="shared" si="118"/>
        <v>7.1528403662087427E-3</v>
      </c>
      <c r="AG77" s="361">
        <f t="shared" si="119"/>
        <v>0</v>
      </c>
      <c r="AH77" s="361">
        <f t="shared" si="120"/>
        <v>0.13053933668330955</v>
      </c>
      <c r="AI77" s="361">
        <f t="shared" si="121"/>
        <v>1.3179108374739608</v>
      </c>
      <c r="AJ77" s="361" t="s">
        <v>40</v>
      </c>
      <c r="AK77" s="361">
        <f t="shared" si="114"/>
        <v>0</v>
      </c>
      <c r="AL77" s="361">
        <f t="shared" si="122"/>
        <v>0.14842143759883142</v>
      </c>
      <c r="AM77" s="361">
        <f t="shared" si="123"/>
        <v>4.1128832105700272E-2</v>
      </c>
      <c r="AN77" s="361">
        <f t="shared" si="128"/>
        <v>1.7864218814606334</v>
      </c>
      <c r="AO77" s="294" t="s">
        <v>617</v>
      </c>
      <c r="AP77" s="282" t="s">
        <v>420</v>
      </c>
      <c r="AQ77" s="136" t="s">
        <v>74</v>
      </c>
      <c r="AR77" s="294"/>
      <c r="AS77" s="142"/>
      <c r="AT77" s="142" t="s">
        <v>217</v>
      </c>
      <c r="AU77" s="146" t="s">
        <v>227</v>
      </c>
      <c r="AV77" s="48"/>
      <c r="AW77" s="131" t="s">
        <v>284</v>
      </c>
      <c r="AX77" s="131"/>
      <c r="AY77" s="131">
        <v>98.32</v>
      </c>
      <c r="AZ77" s="48"/>
      <c r="BA77" s="48"/>
      <c r="BB77" s="50"/>
      <c r="BC77" s="51" t="s">
        <v>78</v>
      </c>
      <c r="BD77" s="52">
        <v>0.86904428113873133</v>
      </c>
      <c r="BE77" s="53">
        <v>7.6041399453940448</v>
      </c>
      <c r="BF77" s="54">
        <v>0.86904428113873133</v>
      </c>
      <c r="BG77" s="53">
        <v>7.6041399453940448</v>
      </c>
      <c r="BH77" s="450">
        <v>4835.3159041944973</v>
      </c>
      <c r="BI77" s="347">
        <f t="shared" si="129"/>
        <v>1833.0160125098939</v>
      </c>
      <c r="BJ77" s="347">
        <f t="shared" si="133"/>
        <v>6668.331916704391</v>
      </c>
      <c r="BK77" s="45">
        <v>3719.8205803711962</v>
      </c>
      <c r="BL77" s="47">
        <v>190.34973498773354</v>
      </c>
      <c r="BM77" s="45">
        <v>1115.4953238233011</v>
      </c>
      <c r="BN77" s="55">
        <v>1.2998787978402946</v>
      </c>
      <c r="BO77" s="47">
        <f t="shared" si="134"/>
        <v>1.7926488045934104</v>
      </c>
      <c r="BP77" s="45">
        <v>1271.9229884289434</v>
      </c>
      <c r="BQ77" s="55">
        <v>3.8015791429062804</v>
      </c>
      <c r="BR77" s="54">
        <v>0.66437136839672761</v>
      </c>
      <c r="BS77" s="53">
        <v>5.8132513735455777</v>
      </c>
      <c r="BT77" s="54">
        <v>1.5334156495354587</v>
      </c>
      <c r="BU77" s="53">
        <v>13.417391318939622</v>
      </c>
      <c r="BV77" s="450">
        <v>3937.1978857738886</v>
      </c>
      <c r="BW77" s="347">
        <f t="shared" si="130"/>
        <v>1385.2677814118042</v>
      </c>
      <c r="BX77" s="347">
        <f t="shared" si="135"/>
        <v>5322.4656671856928</v>
      </c>
      <c r="BY77" s="45">
        <v>2813.9879562755209</v>
      </c>
      <c r="BZ77" s="47">
        <v>143.85327420993232</v>
      </c>
      <c r="CA77" s="45">
        <v>1123.2099294983677</v>
      </c>
      <c r="CB77" s="55">
        <v>1.3991523584859269</v>
      </c>
      <c r="CC77" s="47">
        <f t="shared" si="136"/>
        <v>1.8914315732290092</v>
      </c>
      <c r="CD77" s="45">
        <v>964.03484993579127</v>
      </c>
      <c r="CE77" s="55">
        <v>4.0840825267220602</v>
      </c>
      <c r="CF77" s="52">
        <v>0.23934208852246189</v>
      </c>
      <c r="CG77" s="53">
        <v>2.0942439590798627</v>
      </c>
      <c r="CH77" s="54">
        <v>1.7727577380579207</v>
      </c>
      <c r="CI77" s="53">
        <v>15.511635278019485</v>
      </c>
      <c r="CJ77" s="450">
        <v>1517.9009598646262</v>
      </c>
      <c r="CK77" s="347">
        <f t="shared" si="131"/>
        <v>824.78459228909048</v>
      </c>
      <c r="CL77" s="347">
        <f t="shared" si="137"/>
        <v>2342.6855521537168</v>
      </c>
      <c r="CM77" s="45">
        <v>1617.8848390704684</v>
      </c>
      <c r="CN77" s="47">
        <v>85.649840204735696</v>
      </c>
      <c r="CO77" s="45">
        <v>-99.983879205842186</v>
      </c>
      <c r="CP77" s="55">
        <v>0.93820086770620437</v>
      </c>
      <c r="CQ77" s="47">
        <f t="shared" si="138"/>
        <v>1.4479927715372325</v>
      </c>
      <c r="CR77" s="45">
        <v>516.42789403756751</v>
      </c>
      <c r="CS77" s="55">
        <v>2.9392311635169084</v>
      </c>
    </row>
    <row r="78" spans="1:97" s="23" customFormat="1" ht="15" customHeight="1">
      <c r="A78" s="377" t="str">
        <f t="shared" si="124"/>
        <v>BNI - Efficient Product Rebates; LED Lamps-End of Life; COM-Lighting; Other Commercial</v>
      </c>
      <c r="B78" s="149" t="s">
        <v>78</v>
      </c>
      <c r="C78" s="15" t="s">
        <v>73</v>
      </c>
      <c r="D78" s="15" t="s">
        <v>56</v>
      </c>
      <c r="E78" s="43">
        <v>10</v>
      </c>
      <c r="F78" s="44">
        <v>87.724413981805441</v>
      </c>
      <c r="G78" s="44">
        <v>10.635251744246084</v>
      </c>
      <c r="H78" s="45">
        <v>23.5</v>
      </c>
      <c r="I78" s="46">
        <v>0.21276595744680851</v>
      </c>
      <c r="J78" s="45">
        <v>2.8071812474177742</v>
      </c>
      <c r="K78" s="45">
        <v>7.8071812474177742</v>
      </c>
      <c r="L78" s="45">
        <v>18.5</v>
      </c>
      <c r="M78" s="45">
        <v>26.307181247417773</v>
      </c>
      <c r="N78" s="45">
        <v>56.463496065386039</v>
      </c>
      <c r="O78" s="47">
        <v>0.76</v>
      </c>
      <c r="P78" s="47">
        <v>2.0763478335999492</v>
      </c>
      <c r="Q78" s="310">
        <f t="shared" si="125"/>
        <v>2.0763478335999492</v>
      </c>
      <c r="R78" s="311">
        <f t="shared" si="132"/>
        <v>0</v>
      </c>
      <c r="S78" s="311">
        <f t="shared" si="126"/>
        <v>21.146409281183157</v>
      </c>
      <c r="T78" s="310">
        <f t="shared" si="127"/>
        <v>2.8539706192765006</v>
      </c>
      <c r="U78" s="316">
        <f t="shared" si="45"/>
        <v>0.37451469984598751</v>
      </c>
      <c r="V78" s="48">
        <v>8.8996675988477159E-2</v>
      </c>
      <c r="W78" s="49">
        <v>0.73408523231635203</v>
      </c>
      <c r="X78" s="48" t="s">
        <v>74</v>
      </c>
      <c r="Y78" s="48" t="s">
        <v>527</v>
      </c>
      <c r="Z78" s="247">
        <f>0.027*Z3</f>
        <v>3.4020000000000002E-2</v>
      </c>
      <c r="AA78" s="247"/>
      <c r="AB78" s="386">
        <v>0</v>
      </c>
      <c r="AC78" s="387">
        <f t="shared" si="115"/>
        <v>2.9843845636610213</v>
      </c>
      <c r="AD78" s="361">
        <f t="shared" si="116"/>
        <v>0.14921922818305108</v>
      </c>
      <c r="AE78" s="361">
        <f t="shared" si="117"/>
        <v>8.6547152346169623E-2</v>
      </c>
      <c r="AF78" s="361">
        <f t="shared" si="118"/>
        <v>1.1937538254644086E-2</v>
      </c>
      <c r="AG78" s="361">
        <f t="shared" si="119"/>
        <v>0</v>
      </c>
      <c r="AH78" s="361">
        <f t="shared" si="120"/>
        <v>0.21786007314725456</v>
      </c>
      <c r="AI78" s="361">
        <f t="shared" si="121"/>
        <v>2.1994914234181726</v>
      </c>
      <c r="AJ78" s="361" t="s">
        <v>40</v>
      </c>
      <c r="AK78" s="361">
        <f t="shared" si="114"/>
        <v>0</v>
      </c>
      <c r="AL78" s="361">
        <f t="shared" si="122"/>
        <v>0.24770391878386477</v>
      </c>
      <c r="AM78" s="361">
        <f t="shared" si="123"/>
        <v>6.8640844964203487E-2</v>
      </c>
      <c r="AN78" s="361">
        <f t="shared" si="128"/>
        <v>2.9814001790973603</v>
      </c>
      <c r="AO78" s="294" t="s">
        <v>617</v>
      </c>
      <c r="AP78" s="282" t="s">
        <v>420</v>
      </c>
      <c r="AQ78" s="136" t="s">
        <v>74</v>
      </c>
      <c r="AR78" s="294"/>
      <c r="AS78" s="142"/>
      <c r="AT78" s="142" t="s">
        <v>217</v>
      </c>
      <c r="AU78" s="146" t="s">
        <v>227</v>
      </c>
      <c r="AV78" s="48"/>
      <c r="AW78" s="131" t="s">
        <v>284</v>
      </c>
      <c r="AX78" s="131"/>
      <c r="AY78" s="131">
        <v>98.32</v>
      </c>
      <c r="AZ78" s="48"/>
      <c r="BA78" s="48"/>
      <c r="BB78" s="50"/>
      <c r="BC78" s="51" t="s">
        <v>78</v>
      </c>
      <c r="BD78" s="52">
        <v>2.2016729102456623</v>
      </c>
      <c r="BE78" s="53">
        <v>18.160403766221169</v>
      </c>
      <c r="BF78" s="54">
        <v>2.2016729102456623</v>
      </c>
      <c r="BG78" s="53">
        <v>18.160403766221169</v>
      </c>
      <c r="BH78" s="450">
        <v>11688.877019030586</v>
      </c>
      <c r="BI78" s="347">
        <f t="shared" si="129"/>
        <v>4377.6562683189013</v>
      </c>
      <c r="BJ78" s="347">
        <f t="shared" si="133"/>
        <v>16066.533287349488</v>
      </c>
      <c r="BK78" s="45">
        <v>5629.5370312615369</v>
      </c>
      <c r="BL78" s="47">
        <v>272.39017086400742</v>
      </c>
      <c r="BM78" s="45">
        <v>6059.339987769049</v>
      </c>
      <c r="BN78" s="55">
        <v>2.0763478335999501</v>
      </c>
      <c r="BO78" s="47">
        <f t="shared" si="134"/>
        <v>2.853970619276502</v>
      </c>
      <c r="BP78" s="45">
        <v>2126.5994339504018</v>
      </c>
      <c r="BQ78" s="55">
        <v>5.4965109236943412</v>
      </c>
      <c r="BR78" s="54">
        <v>1.6996222761670881</v>
      </c>
      <c r="BS78" s="53">
        <v>14.019260827356131</v>
      </c>
      <c r="BT78" s="54">
        <v>3.9012951864127503</v>
      </c>
      <c r="BU78" s="53">
        <v>32.1796645935773</v>
      </c>
      <c r="BV78" s="450">
        <v>9622.1491433941228</v>
      </c>
      <c r="BW78" s="347">
        <f t="shared" si="130"/>
        <v>3340.7174566236363</v>
      </c>
      <c r="BX78" s="347">
        <f t="shared" si="135"/>
        <v>12962.866600017758</v>
      </c>
      <c r="BY78" s="45">
        <v>4302.823243851577</v>
      </c>
      <c r="BZ78" s="47">
        <v>207.86890131223865</v>
      </c>
      <c r="CA78" s="45">
        <v>5319.3258995425458</v>
      </c>
      <c r="CB78" s="55">
        <v>2.2362408581722426</v>
      </c>
      <c r="CC78" s="47">
        <f t="shared" si="136"/>
        <v>3.012642134101315</v>
      </c>
      <c r="CD78" s="45">
        <v>1629.6291729761881</v>
      </c>
      <c r="CE78" s="55">
        <v>5.90450226527377</v>
      </c>
      <c r="CF78" s="52">
        <v>0.67088335166052981</v>
      </c>
      <c r="CG78" s="53">
        <v>5.5337523069362442</v>
      </c>
      <c r="CH78" s="54">
        <v>4.5721785380732802</v>
      </c>
      <c r="CI78" s="53">
        <v>37.713416900513543</v>
      </c>
      <c r="CJ78" s="450">
        <v>4068.6838440500887</v>
      </c>
      <c r="CK78" s="347">
        <f t="shared" si="131"/>
        <v>2179.380114965476</v>
      </c>
      <c r="CL78" s="347">
        <f t="shared" si="137"/>
        <v>6248.0639590155643</v>
      </c>
      <c r="CM78" s="45">
        <v>2654.9447412899881</v>
      </c>
      <c r="CN78" s="47">
        <v>135.60720292025925</v>
      </c>
      <c r="CO78" s="45">
        <v>1413.7391027601006</v>
      </c>
      <c r="CP78" s="55">
        <v>1.5324928540972913</v>
      </c>
      <c r="CQ78" s="47">
        <f t="shared" si="138"/>
        <v>2.3533687394110308</v>
      </c>
      <c r="CR78" s="45">
        <v>911.03611173545391</v>
      </c>
      <c r="CS78" s="55">
        <v>4.4659962340016994</v>
      </c>
    </row>
    <row r="79" spans="1:97" s="23" customFormat="1" ht="15" customHeight="1">
      <c r="A79" s="377" t="str">
        <f t="shared" si="124"/>
        <v>BNI - Efficient Product Rebates; LED Lamps-End of Life; COM-Lighting; Retail</v>
      </c>
      <c r="B79" s="149" t="s">
        <v>78</v>
      </c>
      <c r="C79" s="15" t="s">
        <v>73</v>
      </c>
      <c r="D79" s="15" t="s">
        <v>30</v>
      </c>
      <c r="E79" s="43">
        <v>10</v>
      </c>
      <c r="F79" s="44">
        <v>82.160734254203248</v>
      </c>
      <c r="G79" s="44">
        <v>11.078160206543904</v>
      </c>
      <c r="H79" s="45">
        <v>23.5</v>
      </c>
      <c r="I79" s="46">
        <v>0.21276595744680851</v>
      </c>
      <c r="J79" s="45">
        <v>2.6291434961345042</v>
      </c>
      <c r="K79" s="45">
        <v>7.6291434961345042</v>
      </c>
      <c r="L79" s="45">
        <v>18.5</v>
      </c>
      <c r="M79" s="45">
        <v>26.129143496134503</v>
      </c>
      <c r="N79" s="45">
        <v>54.131376682411421</v>
      </c>
      <c r="O79" s="47">
        <v>0.76</v>
      </c>
      <c r="P79" s="47">
        <v>2.0078851166420968</v>
      </c>
      <c r="Q79" s="310">
        <f t="shared" si="125"/>
        <v>2.0078851166420968</v>
      </c>
      <c r="R79" s="311">
        <f t="shared" si="132"/>
        <v>0</v>
      </c>
      <c r="S79" s="311">
        <f t="shared" si="126"/>
        <v>19.805256422029267</v>
      </c>
      <c r="T79" s="310">
        <f t="shared" si="127"/>
        <v>2.7425178202288505</v>
      </c>
      <c r="U79" s="316">
        <f t="shared" si="45"/>
        <v>0.36587387271206173</v>
      </c>
      <c r="V79" s="48">
        <v>9.2856320788591365E-2</v>
      </c>
      <c r="W79" s="49">
        <v>0.68866520738957582</v>
      </c>
      <c r="X79" s="48" t="s">
        <v>74</v>
      </c>
      <c r="Y79" s="48" t="s">
        <v>527</v>
      </c>
      <c r="Z79" s="247">
        <f>0.027*Z3</f>
        <v>3.4020000000000002E-2</v>
      </c>
      <c r="AA79" s="247"/>
      <c r="AB79" s="386">
        <v>0</v>
      </c>
      <c r="AC79" s="387">
        <f t="shared" si="115"/>
        <v>2.7951081793279946</v>
      </c>
      <c r="AD79" s="361">
        <f t="shared" si="116"/>
        <v>0.13975540896639974</v>
      </c>
      <c r="AE79" s="361">
        <f t="shared" si="117"/>
        <v>8.1058137200511846E-2</v>
      </c>
      <c r="AF79" s="361">
        <f t="shared" si="118"/>
        <v>1.1180432717311979E-2</v>
      </c>
      <c r="AG79" s="361">
        <f t="shared" si="119"/>
        <v>0</v>
      </c>
      <c r="AH79" s="361">
        <f t="shared" si="120"/>
        <v>0.20404289709094359</v>
      </c>
      <c r="AI79" s="361">
        <f t="shared" si="121"/>
        <v>2.0599947281647322</v>
      </c>
      <c r="AJ79" s="361" t="s">
        <v>40</v>
      </c>
      <c r="AK79" s="361">
        <f t="shared" si="114"/>
        <v>0</v>
      </c>
      <c r="AL79" s="361">
        <f t="shared" si="122"/>
        <v>0.23199397888422357</v>
      </c>
      <c r="AM79" s="361">
        <f t="shared" si="123"/>
        <v>6.4287488124543879E-2</v>
      </c>
      <c r="AN79" s="361">
        <f t="shared" si="128"/>
        <v>2.7923130711486666</v>
      </c>
      <c r="AO79" s="294" t="s">
        <v>617</v>
      </c>
      <c r="AP79" s="282" t="s">
        <v>420</v>
      </c>
      <c r="AQ79" s="136" t="s">
        <v>74</v>
      </c>
      <c r="AR79" s="294"/>
      <c r="AS79" s="142"/>
      <c r="AT79" s="142" t="s">
        <v>217</v>
      </c>
      <c r="AU79" s="146" t="s">
        <v>227</v>
      </c>
      <c r="AV79" s="48"/>
      <c r="AW79" s="131" t="s">
        <v>284</v>
      </c>
      <c r="AX79" s="131"/>
      <c r="AY79" s="131">
        <v>98.32</v>
      </c>
      <c r="AZ79" s="48"/>
      <c r="BA79" s="48"/>
      <c r="BB79" s="50"/>
      <c r="BC79" s="51" t="s">
        <v>78</v>
      </c>
      <c r="BD79" s="52">
        <v>3.2576732425243118</v>
      </c>
      <c r="BE79" s="53">
        <v>24.160403945771179</v>
      </c>
      <c r="BF79" s="54">
        <v>3.2576732425243118</v>
      </c>
      <c r="BG79" s="53">
        <v>24.160403945771179</v>
      </c>
      <c r="BH79" s="450">
        <v>15918.016539888113</v>
      </c>
      <c r="BI79" s="347">
        <f t="shared" si="129"/>
        <v>5823.9863573435168</v>
      </c>
      <c r="BJ79" s="347">
        <f t="shared" si="133"/>
        <v>21742.002897231629</v>
      </c>
      <c r="BK79" s="45">
        <v>7927.7526427949924</v>
      </c>
      <c r="BL79" s="47">
        <v>386.92455076468411</v>
      </c>
      <c r="BM79" s="45">
        <v>7990.2638970931202</v>
      </c>
      <c r="BN79" s="55">
        <v>2.0078851166420963</v>
      </c>
      <c r="BO79" s="47">
        <f t="shared" si="134"/>
        <v>2.74251782022885</v>
      </c>
      <c r="BP79" s="45">
        <v>2951.9029199611546</v>
      </c>
      <c r="BQ79" s="55">
        <v>5.3924593631614366</v>
      </c>
      <c r="BR79" s="54">
        <v>2.5119872168917743</v>
      </c>
      <c r="BS79" s="53">
        <v>18.630053215432596</v>
      </c>
      <c r="BT79" s="54">
        <v>5.7696604594160865</v>
      </c>
      <c r="BU79" s="53">
        <v>42.790457161203776</v>
      </c>
      <c r="BV79" s="450">
        <v>13117.566281962794</v>
      </c>
      <c r="BW79" s="347">
        <f t="shared" si="130"/>
        <v>4439.4454715598777</v>
      </c>
      <c r="BX79" s="347">
        <f t="shared" si="135"/>
        <v>17557.011753522671</v>
      </c>
      <c r="BY79" s="45">
        <v>6052.0636791748311</v>
      </c>
      <c r="BZ79" s="47">
        <v>294.94067110265723</v>
      </c>
      <c r="CA79" s="45">
        <v>7065.502602787963</v>
      </c>
      <c r="CB79" s="55">
        <v>2.1674534468466313</v>
      </c>
      <c r="CC79" s="47">
        <f t="shared" si="136"/>
        <v>2.900995872521368</v>
      </c>
      <c r="CD79" s="45">
        <v>2259.1266487946586</v>
      </c>
      <c r="CE79" s="55">
        <v>5.8064767147789524</v>
      </c>
      <c r="CF79" s="52">
        <v>0.97836024918683884</v>
      </c>
      <c r="CG79" s="53">
        <v>7.25596984875102</v>
      </c>
      <c r="CH79" s="54">
        <v>6.7480207086029251</v>
      </c>
      <c r="CI79" s="53">
        <v>50.046427009954797</v>
      </c>
      <c r="CJ79" s="450">
        <v>5483.3704936807999</v>
      </c>
      <c r="CK79" s="347">
        <f t="shared" si="131"/>
        <v>2857.6480344694282</v>
      </c>
      <c r="CL79" s="347">
        <f t="shared" si="137"/>
        <v>8341.0185281502272</v>
      </c>
      <c r="CM79" s="45">
        <v>3696.2673271332737</v>
      </c>
      <c r="CN79" s="47">
        <v>189.8517809174615</v>
      </c>
      <c r="CO79" s="45">
        <v>1787.1031665475261</v>
      </c>
      <c r="CP79" s="55">
        <v>1.4834886138859322</v>
      </c>
      <c r="CQ79" s="47">
        <f t="shared" si="138"/>
        <v>2.2566058647655494</v>
      </c>
      <c r="CR79" s="45">
        <v>1254.7734245347187</v>
      </c>
      <c r="CS79" s="55">
        <v>4.3700084704249162</v>
      </c>
    </row>
    <row r="80" spans="1:97" s="23" customFormat="1" ht="15" customHeight="1">
      <c r="A80" s="377" t="str">
        <f t="shared" si="124"/>
        <v>BNI - Efficient Product Rebates; LED Lamps-End of Life; COM-Lighting; School</v>
      </c>
      <c r="B80" s="149" t="s">
        <v>78</v>
      </c>
      <c r="C80" s="15" t="s">
        <v>73</v>
      </c>
      <c r="D80" s="15" t="s">
        <v>59</v>
      </c>
      <c r="E80" s="43">
        <v>10</v>
      </c>
      <c r="F80" s="44">
        <v>47.77315147669691</v>
      </c>
      <c r="G80" s="44">
        <v>6.1580601403617203</v>
      </c>
      <c r="H80" s="45">
        <v>23.5</v>
      </c>
      <c r="I80" s="46">
        <v>0.21276595744680851</v>
      </c>
      <c r="J80" s="45">
        <v>1.5287408472543011</v>
      </c>
      <c r="K80" s="45">
        <v>6.5287408472543014</v>
      </c>
      <c r="L80" s="45">
        <v>18.5</v>
      </c>
      <c r="M80" s="45">
        <v>25.028740847254301</v>
      </c>
      <c r="N80" s="45">
        <v>31.158411442988527</v>
      </c>
      <c r="O80" s="47">
        <v>0.76</v>
      </c>
      <c r="P80" s="47">
        <v>1.2213476307320252</v>
      </c>
      <c r="Q80" s="310">
        <f t="shared" si="125"/>
        <v>1.2213476307320252</v>
      </c>
      <c r="R80" s="311">
        <f t="shared" si="132"/>
        <v>0</v>
      </c>
      <c r="S80" s="311">
        <f t="shared" si="126"/>
        <v>11.515957393431206</v>
      </c>
      <c r="T80" s="310">
        <f t="shared" si="127"/>
        <v>1.6727502095770113</v>
      </c>
      <c r="U80" s="316">
        <f t="shared" si="45"/>
        <v>0.36959385476060896</v>
      </c>
      <c r="V80" s="48">
        <v>0.13666129709778371</v>
      </c>
      <c r="W80" s="49">
        <v>1.0601943953848441</v>
      </c>
      <c r="X80" s="48" t="s">
        <v>74</v>
      </c>
      <c r="Y80" s="48" t="s">
        <v>527</v>
      </c>
      <c r="Z80" s="247">
        <f>0.027*Z3</f>
        <v>3.4020000000000002E-2</v>
      </c>
      <c r="AA80" s="247"/>
      <c r="AB80" s="386">
        <v>0</v>
      </c>
      <c r="AC80" s="387">
        <f t="shared" si="115"/>
        <v>1.6252426132372289</v>
      </c>
      <c r="AD80" s="361">
        <f t="shared" si="116"/>
        <v>8.1262130661861443E-2</v>
      </c>
      <c r="AE80" s="361">
        <f t="shared" si="117"/>
        <v>4.7132035783879637E-2</v>
      </c>
      <c r="AF80" s="361">
        <f t="shared" si="118"/>
        <v>6.5009704529489154E-3</v>
      </c>
      <c r="AG80" s="361">
        <f t="shared" si="119"/>
        <v>0</v>
      </c>
      <c r="AH80" s="361">
        <f t="shared" si="120"/>
        <v>0.1186427107663177</v>
      </c>
      <c r="AI80" s="361">
        <f t="shared" si="121"/>
        <v>1.1978038059558376</v>
      </c>
      <c r="AJ80" s="361" t="s">
        <v>40</v>
      </c>
      <c r="AK80" s="361">
        <f t="shared" si="114"/>
        <v>0</v>
      </c>
      <c r="AL80" s="361">
        <f t="shared" si="122"/>
        <v>0.13489513689869001</v>
      </c>
      <c r="AM80" s="361">
        <f t="shared" si="123"/>
        <v>3.738058010445626E-2</v>
      </c>
      <c r="AN80" s="361">
        <f t="shared" si="128"/>
        <v>1.6236173706239914</v>
      </c>
      <c r="AO80" s="294" t="s">
        <v>617</v>
      </c>
      <c r="AP80" s="282" t="s">
        <v>420</v>
      </c>
      <c r="AQ80" s="136" t="s">
        <v>74</v>
      </c>
      <c r="AR80" s="294"/>
      <c r="AS80" s="142"/>
      <c r="AT80" s="142" t="s">
        <v>217</v>
      </c>
      <c r="AU80" s="146" t="s">
        <v>227</v>
      </c>
      <c r="AV80" s="48"/>
      <c r="AW80" s="131" t="s">
        <v>284</v>
      </c>
      <c r="AX80" s="131"/>
      <c r="AY80" s="131">
        <v>98.32</v>
      </c>
      <c r="AZ80" s="48"/>
      <c r="BA80" s="48"/>
      <c r="BB80" s="50"/>
      <c r="BC80" s="51" t="s">
        <v>78</v>
      </c>
      <c r="BD80" s="52">
        <v>6.8349665481808763</v>
      </c>
      <c r="BE80" s="53">
        <v>53.024472772560678</v>
      </c>
      <c r="BF80" s="54">
        <v>6.8349665481808763</v>
      </c>
      <c r="BG80" s="53">
        <v>53.024472772560678</v>
      </c>
      <c r="BH80" s="450">
        <v>34583.40695821352</v>
      </c>
      <c r="BI80" s="347">
        <f t="shared" si="129"/>
        <v>12781.814688441007</v>
      </c>
      <c r="BJ80" s="347">
        <f t="shared" si="133"/>
        <v>47365.221646654529</v>
      </c>
      <c r="BK80" s="45">
        <v>28315.776841918178</v>
      </c>
      <c r="BL80" s="47">
        <v>1460.4237100795569</v>
      </c>
      <c r="BM80" s="45">
        <v>6267.6301162953423</v>
      </c>
      <c r="BN80" s="55">
        <v>1.2213476307320255</v>
      </c>
      <c r="BO80" s="47">
        <f t="shared" si="134"/>
        <v>1.6727502095770117</v>
      </c>
      <c r="BP80" s="45">
        <v>9534.7279302950774</v>
      </c>
      <c r="BQ80" s="55">
        <v>3.6270995052024779</v>
      </c>
      <c r="BR80" s="54">
        <v>5.2154581854533832</v>
      </c>
      <c r="BS80" s="53">
        <v>40.460610685008326</v>
      </c>
      <c r="BT80" s="54">
        <v>12.05042473363426</v>
      </c>
      <c r="BU80" s="53">
        <v>93.485083457569004</v>
      </c>
      <c r="BV80" s="450">
        <v>28175.231584162855</v>
      </c>
      <c r="BW80" s="347">
        <f t="shared" si="130"/>
        <v>9641.5545787766878</v>
      </c>
      <c r="BX80" s="347">
        <f t="shared" si="135"/>
        <v>37816.786162939541</v>
      </c>
      <c r="BY80" s="45">
        <v>21378.61081583608</v>
      </c>
      <c r="BZ80" s="47">
        <v>1101.6240848496461</v>
      </c>
      <c r="CA80" s="45">
        <v>6796.6207683267749</v>
      </c>
      <c r="CB80" s="55">
        <v>1.3179168575019018</v>
      </c>
      <c r="CC80" s="47">
        <f t="shared" si="136"/>
        <v>1.7689075538494288</v>
      </c>
      <c r="CD80" s="45">
        <v>7211.7250846696343</v>
      </c>
      <c r="CE80" s="55">
        <v>3.9068643429096479</v>
      </c>
      <c r="CF80" s="52">
        <v>1.8559231444714601</v>
      </c>
      <c r="CG80" s="53">
        <v>14.397926536770504</v>
      </c>
      <c r="CH80" s="54">
        <v>13.90634787810572</v>
      </c>
      <c r="CI80" s="53">
        <v>107.8830099943395</v>
      </c>
      <c r="CJ80" s="450">
        <v>10752.095957846712</v>
      </c>
      <c r="CK80" s="347">
        <f t="shared" si="131"/>
        <v>5670.3938034306548</v>
      </c>
      <c r="CL80" s="347">
        <f t="shared" si="137"/>
        <v>16422.489761277368</v>
      </c>
      <c r="CM80" s="45">
        <v>12177.498665746545</v>
      </c>
      <c r="CN80" s="47">
        <v>647.88746808442261</v>
      </c>
      <c r="CO80" s="45">
        <v>-1425.4027078998333</v>
      </c>
      <c r="CP80" s="55">
        <v>0.88294782475244482</v>
      </c>
      <c r="CQ80" s="47">
        <f t="shared" si="138"/>
        <v>1.3485930248936375</v>
      </c>
      <c r="CR80" s="45">
        <v>3845.6658261808711</v>
      </c>
      <c r="CS80" s="55">
        <v>2.7958997073140424</v>
      </c>
    </row>
    <row r="81" spans="1:97" s="23" customFormat="1" ht="15" customHeight="1">
      <c r="A81" s="377" t="str">
        <f t="shared" si="124"/>
        <v>BNI - Efficient Product Rebates; LED Refrigeration Strip Lighting-End of Life replacement; COM-Lighting; Other Commercial</v>
      </c>
      <c r="B81" s="42" t="s">
        <v>79</v>
      </c>
      <c r="C81" s="15" t="s">
        <v>73</v>
      </c>
      <c r="D81" s="15" t="s">
        <v>56</v>
      </c>
      <c r="E81" s="43">
        <v>6</v>
      </c>
      <c r="F81" s="44">
        <v>444.52928352000004</v>
      </c>
      <c r="G81" s="44">
        <v>53.892418579223467</v>
      </c>
      <c r="H81" s="45">
        <v>150</v>
      </c>
      <c r="I81" s="46">
        <v>0.33333333333333331</v>
      </c>
      <c r="J81" s="45">
        <v>14.224937072640001</v>
      </c>
      <c r="K81" s="45">
        <v>64.224937072640003</v>
      </c>
      <c r="L81" s="45">
        <v>100</v>
      </c>
      <c r="M81" s="45">
        <v>164.22493707263999</v>
      </c>
      <c r="N81" s="45">
        <v>166.79346160923726</v>
      </c>
      <c r="O81" s="47">
        <v>0.76</v>
      </c>
      <c r="P81" s="47">
        <v>0.98859889282853386</v>
      </c>
      <c r="Q81" s="310">
        <f t="shared" si="125"/>
        <v>0.98859889282853386</v>
      </c>
      <c r="R81" s="311">
        <f t="shared" si="132"/>
        <v>0</v>
      </c>
      <c r="S81" s="311">
        <f t="shared" si="126"/>
        <v>72.508598292205136</v>
      </c>
      <c r="T81" s="310">
        <f t="shared" si="127"/>
        <v>1.4183634609394764</v>
      </c>
      <c r="U81" s="316">
        <f t="shared" si="45"/>
        <v>0.43472086730880294</v>
      </c>
      <c r="V81" s="48">
        <v>0.14447852920751492</v>
      </c>
      <c r="W81" s="49">
        <v>1.1917248987114473</v>
      </c>
      <c r="X81" s="48" t="s">
        <v>74</v>
      </c>
      <c r="Y81" s="48" t="s">
        <v>527</v>
      </c>
      <c r="Z81" s="247">
        <f>0.027*Z3</f>
        <v>3.4020000000000002E-2</v>
      </c>
      <c r="AA81" s="247"/>
      <c r="AB81" s="386">
        <v>0</v>
      </c>
      <c r="AC81" s="387">
        <f t="shared" si="115"/>
        <v>15.122886225350403</v>
      </c>
      <c r="AD81" s="361">
        <f t="shared" si="116"/>
        <v>0.75614431126752013</v>
      </c>
      <c r="AE81" s="361">
        <f t="shared" si="117"/>
        <v>0.43856370053516169</v>
      </c>
      <c r="AF81" s="361">
        <f t="shared" si="118"/>
        <v>6.0491544901401614E-2</v>
      </c>
      <c r="AG81" s="361">
        <f t="shared" si="119"/>
        <v>0</v>
      </c>
      <c r="AH81" s="361">
        <f t="shared" si="120"/>
        <v>1.1039706944505794</v>
      </c>
      <c r="AI81" s="361">
        <f t="shared" si="121"/>
        <v>11.145567148083247</v>
      </c>
      <c r="AJ81" s="361" t="s">
        <v>40</v>
      </c>
      <c r="AK81" s="361">
        <f t="shared" si="114"/>
        <v>0</v>
      </c>
      <c r="AL81" s="361">
        <f t="shared" si="122"/>
        <v>1.2551995567040835</v>
      </c>
      <c r="AM81" s="361">
        <f t="shared" si="123"/>
        <v>0.34782638318305925</v>
      </c>
      <c r="AN81" s="361">
        <f t="shared" si="128"/>
        <v>15.107763339125054</v>
      </c>
      <c r="AO81" s="294" t="s">
        <v>617</v>
      </c>
      <c r="AP81" s="282" t="s">
        <v>420</v>
      </c>
      <c r="AQ81" s="136" t="s">
        <v>74</v>
      </c>
      <c r="AR81" s="294"/>
      <c r="AS81" s="142"/>
      <c r="AT81" s="142" t="s">
        <v>217</v>
      </c>
      <c r="AU81" s="146" t="s">
        <v>227</v>
      </c>
      <c r="AV81" s="48"/>
      <c r="AW81" s="131" t="s">
        <v>284</v>
      </c>
      <c r="AX81" s="131"/>
      <c r="AY81" s="131"/>
      <c r="AZ81" s="48"/>
      <c r="BA81" s="48"/>
      <c r="BB81" s="50"/>
      <c r="BC81" s="51" t="s">
        <v>79</v>
      </c>
      <c r="BD81" s="52">
        <v>5.8766411816741382</v>
      </c>
      <c r="BE81" s="53">
        <v>48.473220591380851</v>
      </c>
      <c r="BF81" s="54">
        <v>5.8766411816741382</v>
      </c>
      <c r="BG81" s="53">
        <v>48.473220591380851</v>
      </c>
      <c r="BH81" s="450">
        <v>18187.814745889093</v>
      </c>
      <c r="BI81" s="347">
        <f t="shared" si="129"/>
        <v>7906.6226007847417</v>
      </c>
      <c r="BJ81" s="347">
        <f t="shared" si="133"/>
        <v>26094.437346673833</v>
      </c>
      <c r="BK81" s="45">
        <v>18397.567383320606</v>
      </c>
      <c r="BL81" s="47">
        <v>143.47885679131431</v>
      </c>
      <c r="BM81" s="45">
        <v>-209.75263743151299</v>
      </c>
      <c r="BN81" s="55">
        <v>0.98859889282853364</v>
      </c>
      <c r="BO81" s="47">
        <f t="shared" si="134"/>
        <v>1.418363460939476</v>
      </c>
      <c r="BP81" s="45">
        <v>9214.9205486764877</v>
      </c>
      <c r="BQ81" s="55">
        <v>1.9737353838065761</v>
      </c>
      <c r="BR81" s="54">
        <v>5.2588687384721595</v>
      </c>
      <c r="BS81" s="53">
        <v>43.377551315538668</v>
      </c>
      <c r="BT81" s="54">
        <v>11.135509920146298</v>
      </c>
      <c r="BU81" s="53">
        <v>91.850771906919519</v>
      </c>
      <c r="BV81" s="450">
        <v>17954.007980995484</v>
      </c>
      <c r="BW81" s="347">
        <f t="shared" si="130"/>
        <v>6994.4350073341893</v>
      </c>
      <c r="BX81" s="347">
        <f t="shared" si="135"/>
        <v>24948.442988329673</v>
      </c>
      <c r="BY81" s="45">
        <v>16295.952011402413</v>
      </c>
      <c r="BZ81" s="47">
        <v>126.92569121154888</v>
      </c>
      <c r="CA81" s="45">
        <v>1658.0559695930715</v>
      </c>
      <c r="CB81" s="55">
        <v>1.101746493143384</v>
      </c>
      <c r="CC81" s="47">
        <f t="shared" si="136"/>
        <v>1.5309595273030407</v>
      </c>
      <c r="CD81" s="45">
        <v>8172.7077738632825</v>
      </c>
      <c r="CE81" s="55">
        <v>2.1968249052551805</v>
      </c>
      <c r="CF81" s="52">
        <v>5.7944897956193415</v>
      </c>
      <c r="CG81" s="53">
        <v>47.795598436987653</v>
      </c>
      <c r="CH81" s="54">
        <v>16.929999715765639</v>
      </c>
      <c r="CI81" s="53">
        <v>139.64637034390717</v>
      </c>
      <c r="CJ81" s="450">
        <v>21917.796127555393</v>
      </c>
      <c r="CK81" s="347">
        <f t="shared" si="131"/>
        <v>7619.5781521510999</v>
      </c>
      <c r="CL81" s="347">
        <f t="shared" si="137"/>
        <v>29537.374279706492</v>
      </c>
      <c r="CM81" s="45">
        <v>17775.221282764211</v>
      </c>
      <c r="CN81" s="47">
        <v>138.26995642794546</v>
      </c>
      <c r="CO81" s="45">
        <v>4142.5748447911828</v>
      </c>
      <c r="CP81" s="55">
        <v>1.2330533487539781</v>
      </c>
      <c r="CQ81" s="47">
        <f t="shared" si="138"/>
        <v>1.6617162627588487</v>
      </c>
      <c r="CR81" s="45">
        <v>8925.9440713756994</v>
      </c>
      <c r="CS81" s="55">
        <v>2.4555157361833371</v>
      </c>
    </row>
    <row r="82" spans="1:97" s="23" customFormat="1" ht="15" customHeight="1">
      <c r="A82" s="377" t="str">
        <f t="shared" si="124"/>
        <v>BNI - Efficient Product Rebates; LED Refrigeration Strip Lighting-End of Life replacement; COM-Lighting; Retail</v>
      </c>
      <c r="B82" s="42" t="s">
        <v>79</v>
      </c>
      <c r="C82" s="15" t="s">
        <v>73</v>
      </c>
      <c r="D82" s="15" t="s">
        <v>30</v>
      </c>
      <c r="E82" s="43">
        <v>6</v>
      </c>
      <c r="F82" s="44">
        <v>444.52928352000004</v>
      </c>
      <c r="G82" s="44">
        <v>59.938201186204736</v>
      </c>
      <c r="H82" s="45">
        <v>150</v>
      </c>
      <c r="I82" s="46">
        <v>0.33333333333333331</v>
      </c>
      <c r="J82" s="45">
        <v>14.224937072640001</v>
      </c>
      <c r="K82" s="45">
        <v>64.224937072640003</v>
      </c>
      <c r="L82" s="45">
        <v>100</v>
      </c>
      <c r="M82" s="45">
        <v>164.22493707263999</v>
      </c>
      <c r="N82" s="45">
        <v>170.5517618009832</v>
      </c>
      <c r="O82" s="47">
        <v>0.76</v>
      </c>
      <c r="P82" s="47">
        <v>1.010874654555824</v>
      </c>
      <c r="Q82" s="310">
        <f t="shared" si="125"/>
        <v>1.010874654555824</v>
      </c>
      <c r="R82" s="311">
        <f t="shared" si="132"/>
        <v>0</v>
      </c>
      <c r="S82" s="311">
        <f t="shared" si="126"/>
        <v>72.508598292205136</v>
      </c>
      <c r="T82" s="310">
        <f t="shared" si="127"/>
        <v>1.4406392226667666</v>
      </c>
      <c r="U82" s="316">
        <f t="shared" si="45"/>
        <v>0.42514130330014072</v>
      </c>
      <c r="V82" s="48">
        <v>0.14447852920751492</v>
      </c>
      <c r="W82" s="49">
        <v>1.0715192615326916</v>
      </c>
      <c r="X82" s="48" t="s">
        <v>74</v>
      </c>
      <c r="Y82" s="48" t="s">
        <v>527</v>
      </c>
      <c r="Z82" s="247">
        <f>0.027*Z3</f>
        <v>3.4020000000000002E-2</v>
      </c>
      <c r="AA82" s="247"/>
      <c r="AB82" s="386">
        <v>0</v>
      </c>
      <c r="AC82" s="387">
        <f t="shared" si="115"/>
        <v>15.122886225350403</v>
      </c>
      <c r="AD82" s="361">
        <f t="shared" si="116"/>
        <v>0.75614431126752013</v>
      </c>
      <c r="AE82" s="361">
        <f t="shared" si="117"/>
        <v>0.43856370053516169</v>
      </c>
      <c r="AF82" s="361">
        <f t="shared" si="118"/>
        <v>6.0491544901401614E-2</v>
      </c>
      <c r="AG82" s="361">
        <f t="shared" si="119"/>
        <v>0</v>
      </c>
      <c r="AH82" s="361">
        <f t="shared" si="120"/>
        <v>1.1039706944505794</v>
      </c>
      <c r="AI82" s="361">
        <f t="shared" si="121"/>
        <v>11.145567148083247</v>
      </c>
      <c r="AJ82" s="361" t="s">
        <v>40</v>
      </c>
      <c r="AK82" s="361">
        <f t="shared" si="114"/>
        <v>0</v>
      </c>
      <c r="AL82" s="361">
        <f t="shared" si="122"/>
        <v>1.2551995567040835</v>
      </c>
      <c r="AM82" s="361">
        <f t="shared" si="123"/>
        <v>0.34782638318305925</v>
      </c>
      <c r="AN82" s="361">
        <f t="shared" si="128"/>
        <v>15.107763339125054</v>
      </c>
      <c r="AO82" s="294" t="s">
        <v>617</v>
      </c>
      <c r="AP82" s="282" t="s">
        <v>420</v>
      </c>
      <c r="AQ82" s="136" t="s">
        <v>74</v>
      </c>
      <c r="AR82" s="294"/>
      <c r="AS82" s="142"/>
      <c r="AT82" s="142" t="s">
        <v>217</v>
      </c>
      <c r="AU82" s="146" t="s">
        <v>227</v>
      </c>
      <c r="AV82" s="48"/>
      <c r="AW82" s="131" t="s">
        <v>284</v>
      </c>
      <c r="AX82" s="131"/>
      <c r="AY82" s="131"/>
      <c r="AZ82" s="48"/>
      <c r="BA82" s="48"/>
      <c r="BB82" s="50"/>
      <c r="BC82" s="51" t="s">
        <v>79</v>
      </c>
      <c r="BD82" s="52">
        <v>9.351184139008744</v>
      </c>
      <c r="BE82" s="53">
        <v>69.3526849840446</v>
      </c>
      <c r="BF82" s="54">
        <v>9.351184139008744</v>
      </c>
      <c r="BG82" s="53">
        <v>69.3526849840446</v>
      </c>
      <c r="BH82" s="450">
        <v>26608.421645466751</v>
      </c>
      <c r="BI82" s="347">
        <f t="shared" si="129"/>
        <v>11312.339057113408</v>
      </c>
      <c r="BJ82" s="347">
        <f t="shared" si="133"/>
        <v>37920.760702580155</v>
      </c>
      <c r="BK82" s="45">
        <v>26322.177062752089</v>
      </c>
      <c r="BL82" s="47">
        <v>205.2812632525642</v>
      </c>
      <c r="BM82" s="45">
        <v>286.2445827146621</v>
      </c>
      <c r="BN82" s="55">
        <v>1.010874654555824</v>
      </c>
      <c r="BO82" s="47">
        <f t="shared" si="134"/>
        <v>1.4406392226667664</v>
      </c>
      <c r="BP82" s="45">
        <v>13184.176214587984</v>
      </c>
      <c r="BQ82" s="55">
        <v>2.0182088901409823</v>
      </c>
      <c r="BR82" s="54">
        <v>8.368155961211901</v>
      </c>
      <c r="BS82" s="53">
        <v>62.062095628543936</v>
      </c>
      <c r="BT82" s="54">
        <v>17.719340100220645</v>
      </c>
      <c r="BU82" s="53">
        <v>131.41478061258854</v>
      </c>
      <c r="BV82" s="450">
        <v>26363.652004104788</v>
      </c>
      <c r="BW82" s="347">
        <f t="shared" si="130"/>
        <v>10007.233721773289</v>
      </c>
      <c r="BX82" s="347">
        <f t="shared" si="135"/>
        <v>36370.885725878077</v>
      </c>
      <c r="BY82" s="45">
        <v>23315.307144309241</v>
      </c>
      <c r="BZ82" s="47">
        <v>181.59794978718395</v>
      </c>
      <c r="CA82" s="45">
        <v>3048.3448597955467</v>
      </c>
      <c r="CB82" s="55">
        <v>1.1307443578129994</v>
      </c>
      <c r="CC82" s="47">
        <f t="shared" si="136"/>
        <v>1.5599573919726559</v>
      </c>
      <c r="CD82" s="45">
        <v>11693.038357929468</v>
      </c>
      <c r="CE82" s="55">
        <v>2.2546451313252258</v>
      </c>
      <c r="CF82" s="52">
        <v>9.2204610414902497</v>
      </c>
      <c r="CG82" s="53">
        <v>68.383182334158846</v>
      </c>
      <c r="CH82" s="54">
        <v>26.939801141710898</v>
      </c>
      <c r="CI82" s="53">
        <v>199.79796294674739</v>
      </c>
      <c r="CJ82" s="450">
        <v>32292.800205681433</v>
      </c>
      <c r="CK82" s="347">
        <f t="shared" si="131"/>
        <v>10901.652435105723</v>
      </c>
      <c r="CL82" s="347">
        <f t="shared" si="137"/>
        <v>43194.45264078716</v>
      </c>
      <c r="CM82" s="45">
        <v>25431.760198835062</v>
      </c>
      <c r="CN82" s="47">
        <v>197.82866939544741</v>
      </c>
      <c r="CO82" s="45">
        <v>6861.0400068463714</v>
      </c>
      <c r="CP82" s="55">
        <v>1.2697823490471829</v>
      </c>
      <c r="CQ82" s="47">
        <f t="shared" si="138"/>
        <v>1.6984452630520535</v>
      </c>
      <c r="CR82" s="45">
        <v>12770.725357526428</v>
      </c>
      <c r="CS82" s="55">
        <v>2.5286582634595356</v>
      </c>
    </row>
    <row r="83" spans="1:97" s="23" customFormat="1" ht="15" customHeight="1">
      <c r="A83" s="377" t="str">
        <f t="shared" si="124"/>
        <v>BNI - Efficient Product Rebates; LED Refrigeration Strip Lighting-End of Life replacement; COM-Lighting; School</v>
      </c>
      <c r="B83" s="42" t="s">
        <v>79</v>
      </c>
      <c r="C83" s="15" t="s">
        <v>73</v>
      </c>
      <c r="D83" s="15" t="s">
        <v>59</v>
      </c>
      <c r="E83" s="43">
        <v>6</v>
      </c>
      <c r="F83" s="44">
        <v>444.52928352000004</v>
      </c>
      <c r="G83" s="44">
        <v>57.300763660177438</v>
      </c>
      <c r="H83" s="45">
        <v>150</v>
      </c>
      <c r="I83" s="46">
        <v>0.33333333333333331</v>
      </c>
      <c r="J83" s="45">
        <v>14.224937072640001</v>
      </c>
      <c r="K83" s="45">
        <v>64.224937072640003</v>
      </c>
      <c r="L83" s="45">
        <v>100</v>
      </c>
      <c r="M83" s="45">
        <v>164.22493707263999</v>
      </c>
      <c r="N83" s="45">
        <v>168.91222518444323</v>
      </c>
      <c r="O83" s="47">
        <v>0.76</v>
      </c>
      <c r="P83" s="47">
        <v>1.0011569829623144</v>
      </c>
      <c r="Q83" s="310">
        <f t="shared" si="125"/>
        <v>1.0011569829623144</v>
      </c>
      <c r="R83" s="311">
        <f t="shared" si="132"/>
        <v>0</v>
      </c>
      <c r="S83" s="311">
        <f t="shared" si="126"/>
        <v>72.508598292205136</v>
      </c>
      <c r="T83" s="310">
        <f t="shared" si="127"/>
        <v>1.4309215510732567</v>
      </c>
      <c r="U83" s="316">
        <f t="shared" si="45"/>
        <v>0.42926791244996948</v>
      </c>
      <c r="V83" s="48">
        <v>0.14447852920751492</v>
      </c>
      <c r="W83" s="49">
        <v>1.1208391122590691</v>
      </c>
      <c r="X83" s="48" t="s">
        <v>74</v>
      </c>
      <c r="Y83" s="48" t="s">
        <v>527</v>
      </c>
      <c r="Z83" s="247">
        <f>0.027*Z3</f>
        <v>3.4020000000000002E-2</v>
      </c>
      <c r="AA83" s="247"/>
      <c r="AB83" s="386">
        <v>0</v>
      </c>
      <c r="AC83" s="387">
        <f t="shared" si="115"/>
        <v>15.122886225350403</v>
      </c>
      <c r="AD83" s="361">
        <f t="shared" si="116"/>
        <v>0.75614431126752013</v>
      </c>
      <c r="AE83" s="361">
        <f t="shared" si="117"/>
        <v>0.43856370053516169</v>
      </c>
      <c r="AF83" s="361">
        <f t="shared" si="118"/>
        <v>6.0491544901401614E-2</v>
      </c>
      <c r="AG83" s="361">
        <f t="shared" si="119"/>
        <v>0</v>
      </c>
      <c r="AH83" s="361">
        <f t="shared" si="120"/>
        <v>1.1039706944505794</v>
      </c>
      <c r="AI83" s="361">
        <f t="shared" si="121"/>
        <v>11.145567148083247</v>
      </c>
      <c r="AJ83" s="361" t="s">
        <v>40</v>
      </c>
      <c r="AK83" s="361">
        <f t="shared" si="114"/>
        <v>0</v>
      </c>
      <c r="AL83" s="361">
        <f t="shared" si="122"/>
        <v>1.2551995567040835</v>
      </c>
      <c r="AM83" s="361">
        <f t="shared" si="123"/>
        <v>0.34782638318305925</v>
      </c>
      <c r="AN83" s="361">
        <f t="shared" si="128"/>
        <v>15.107763339125054</v>
      </c>
      <c r="AO83" s="294" t="s">
        <v>617</v>
      </c>
      <c r="AP83" s="282" t="s">
        <v>420</v>
      </c>
      <c r="AQ83" s="136" t="s">
        <v>74</v>
      </c>
      <c r="AR83" s="294"/>
      <c r="AS83" s="142"/>
      <c r="AT83" s="142" t="s">
        <v>217</v>
      </c>
      <c r="AU83" s="146" t="s">
        <v>227</v>
      </c>
      <c r="AV83" s="48"/>
      <c r="AW83" s="131" t="s">
        <v>284</v>
      </c>
      <c r="AX83" s="131"/>
      <c r="AY83" s="131"/>
      <c r="AZ83" s="48"/>
      <c r="BA83" s="48"/>
      <c r="BB83" s="50"/>
      <c r="BC83" s="51" t="s">
        <v>79</v>
      </c>
      <c r="BD83" s="52">
        <v>8.9104928629202647</v>
      </c>
      <c r="BE83" s="53">
        <v>69.12604222265881</v>
      </c>
      <c r="BF83" s="54">
        <v>8.9104928629202647</v>
      </c>
      <c r="BG83" s="53">
        <v>69.12604222265881</v>
      </c>
      <c r="BH83" s="450">
        <v>26266.511662774956</v>
      </c>
      <c r="BI83" s="347">
        <f t="shared" si="129"/>
        <v>11275.370628822187</v>
      </c>
      <c r="BJ83" s="347">
        <f t="shared" si="133"/>
        <v>37541.88229159714</v>
      </c>
      <c r="BK83" s="45">
        <v>26236.156876272507</v>
      </c>
      <c r="BL83" s="47">
        <v>204.61040945108522</v>
      </c>
      <c r="BM83" s="45">
        <v>30.354786502448405</v>
      </c>
      <c r="BN83" s="55">
        <v>1.0011569829623141</v>
      </c>
      <c r="BO83" s="47">
        <f t="shared" si="134"/>
        <v>1.4309215510732565</v>
      </c>
      <c r="BP83" s="45">
        <v>13141.090671403053</v>
      </c>
      <c r="BQ83" s="55">
        <v>1.9988075814692268</v>
      </c>
      <c r="BR83" s="54">
        <v>7.9737916460370739</v>
      </c>
      <c r="BS83" s="53">
        <v>61.859278322568279</v>
      </c>
      <c r="BT83" s="54">
        <v>16.884284508957339</v>
      </c>
      <c r="BU83" s="53">
        <v>130.9853205452271</v>
      </c>
      <c r="BV83" s="450">
        <v>25983.518010612737</v>
      </c>
      <c r="BW83" s="347">
        <f t="shared" si="130"/>
        <v>9974.5303435975566</v>
      </c>
      <c r="BX83" s="347">
        <f t="shared" si="135"/>
        <v>35958.048354210296</v>
      </c>
      <c r="BY83" s="45">
        <v>23239.113330112144</v>
      </c>
      <c r="BZ83" s="47">
        <v>181.00449243493819</v>
      </c>
      <c r="CA83" s="45">
        <v>2744.4046805005928</v>
      </c>
      <c r="CB83" s="55">
        <v>1.1180942078777387</v>
      </c>
      <c r="CC83" s="47">
        <f t="shared" si="136"/>
        <v>1.5473072420373954</v>
      </c>
      <c r="CD83" s="45">
        <v>11654.825814276101</v>
      </c>
      <c r="CE83" s="55">
        <v>2.2294213937359144</v>
      </c>
      <c r="CF83" s="52">
        <v>8.7859303251558405</v>
      </c>
      <c r="CG83" s="53">
        <v>68.159707882086408</v>
      </c>
      <c r="CH83" s="54">
        <v>25.670214834113178</v>
      </c>
      <c r="CI83" s="53">
        <v>199.14502842731349</v>
      </c>
      <c r="CJ83" s="450">
        <v>31781.111504201159</v>
      </c>
      <c r="CK83" s="347">
        <f t="shared" si="131"/>
        <v>10866.026119958318</v>
      </c>
      <c r="CL83" s="347">
        <f t="shared" si="137"/>
        <v>42647.137624159477</v>
      </c>
      <c r="CM83" s="45">
        <v>25348.649871387883</v>
      </c>
      <c r="CN83" s="47">
        <v>197.18217047585441</v>
      </c>
      <c r="CO83" s="45">
        <v>6432.4616328132761</v>
      </c>
      <c r="CP83" s="55">
        <v>1.2537595361271636</v>
      </c>
      <c r="CQ83" s="47">
        <f t="shared" si="138"/>
        <v>1.6824224501320342</v>
      </c>
      <c r="CR83" s="45">
        <v>12728.990960933201</v>
      </c>
      <c r="CS83" s="55">
        <v>2.4967502610176409</v>
      </c>
    </row>
    <row r="84" spans="1:97" s="23" customFormat="1" ht="15" customHeight="1">
      <c r="A84" s="377" t="str">
        <f t="shared" si="124"/>
        <v xml:space="preserve">BNI - Efficient Product Rebates; LED High Bay Fixture; IND; Industrial </v>
      </c>
      <c r="B84" s="42" t="s">
        <v>80</v>
      </c>
      <c r="C84" s="15" t="s">
        <v>69</v>
      </c>
      <c r="D84" s="15" t="s">
        <v>70</v>
      </c>
      <c r="E84" s="43">
        <v>15</v>
      </c>
      <c r="F84" s="44">
        <v>1181.6822095721436</v>
      </c>
      <c r="G84" s="44">
        <v>213.14614169247471</v>
      </c>
      <c r="H84" s="45">
        <v>445</v>
      </c>
      <c r="I84" s="46">
        <v>0.449438202247191</v>
      </c>
      <c r="J84" s="45">
        <v>37.813830706308593</v>
      </c>
      <c r="K84" s="45">
        <v>237.81383070630858</v>
      </c>
      <c r="L84" s="45">
        <v>245</v>
      </c>
      <c r="M84" s="45">
        <v>482.81383070630858</v>
      </c>
      <c r="N84" s="45">
        <v>1196.5368168527762</v>
      </c>
      <c r="O84" s="47">
        <v>0.76</v>
      </c>
      <c r="P84" s="47">
        <v>2.4184429043472764</v>
      </c>
      <c r="Q84" s="310">
        <f t="shared" si="125"/>
        <v>2.4184429043472764</v>
      </c>
      <c r="R84" s="311">
        <f t="shared" si="132"/>
        <v>0</v>
      </c>
      <c r="S84" s="311">
        <f t="shared" si="126"/>
        <v>370.58051545172555</v>
      </c>
      <c r="T84" s="310">
        <f t="shared" si="127"/>
        <v>3.1674610753392143</v>
      </c>
      <c r="U84" s="316">
        <f t="shared" si="45"/>
        <v>0.30971091756829938</v>
      </c>
      <c r="V84" s="48">
        <v>0.20125024205316147</v>
      </c>
      <c r="W84" s="49">
        <v>1.1157313419701689</v>
      </c>
      <c r="X84" s="48" t="s">
        <v>74</v>
      </c>
      <c r="Y84" s="48" t="s">
        <v>527</v>
      </c>
      <c r="Z84" s="247">
        <f>0.027*Z3</f>
        <v>3.4020000000000002E-2</v>
      </c>
      <c r="AA84" s="247"/>
      <c r="AB84" s="386">
        <v>0</v>
      </c>
      <c r="AC84" s="387">
        <f t="shared" si="115"/>
        <v>40.200828769644325</v>
      </c>
      <c r="AD84" s="361">
        <f t="shared" si="116"/>
        <v>2.0100414384822165</v>
      </c>
      <c r="AE84" s="361">
        <f t="shared" si="117"/>
        <v>1.1658240343196855</v>
      </c>
      <c r="AF84" s="361">
        <f t="shared" si="118"/>
        <v>0.16080331507857731</v>
      </c>
      <c r="AG84" s="361">
        <f t="shared" si="119"/>
        <v>0</v>
      </c>
      <c r="AH84" s="361">
        <f t="shared" si="120"/>
        <v>2.9346605001840356</v>
      </c>
      <c r="AI84" s="361">
        <f t="shared" si="121"/>
        <v>29.628010803227866</v>
      </c>
      <c r="AJ84" s="361" t="s">
        <v>40</v>
      </c>
      <c r="AK84" s="361">
        <f t="shared" si="114"/>
        <v>0</v>
      </c>
      <c r="AL84" s="361">
        <f t="shared" si="122"/>
        <v>3.336668787880479</v>
      </c>
      <c r="AM84" s="361">
        <f t="shared" si="123"/>
        <v>0.9246190617018194</v>
      </c>
      <c r="AN84" s="361">
        <f t="shared" si="128"/>
        <v>40.160627940874676</v>
      </c>
      <c r="AO84" s="294" t="s">
        <v>617</v>
      </c>
      <c r="AP84" s="282" t="s">
        <v>420</v>
      </c>
      <c r="AQ84" s="136" t="s">
        <v>74</v>
      </c>
      <c r="AR84" s="294"/>
      <c r="AS84" s="142"/>
      <c r="AT84" s="142" t="s">
        <v>217</v>
      </c>
      <c r="AU84" s="146" t="s">
        <v>227</v>
      </c>
      <c r="AV84" s="61" t="s">
        <v>212</v>
      </c>
      <c r="AW84" s="131" t="s">
        <v>284</v>
      </c>
      <c r="AX84" s="131"/>
      <c r="AY84" s="131">
        <v>129.75</v>
      </c>
      <c r="AZ84" s="48"/>
      <c r="BA84" s="48"/>
      <c r="BB84" s="50"/>
      <c r="BC84" s="51" t="s">
        <v>80</v>
      </c>
      <c r="BD84" s="52">
        <v>415.48978549511344</v>
      </c>
      <c r="BE84" s="53">
        <v>2303.4753708415637</v>
      </c>
      <c r="BF84" s="54">
        <v>415.48978549511344</v>
      </c>
      <c r="BG84" s="53">
        <v>2303.4753708415637</v>
      </c>
      <c r="BH84" s="450">
        <v>2332431.7363832351</v>
      </c>
      <c r="BI84" s="347">
        <f t="shared" si="129"/>
        <v>722379.57324067352</v>
      </c>
      <c r="BJ84" s="347">
        <f t="shared" si="133"/>
        <v>3054811.3096239087</v>
      </c>
      <c r="BK84" s="45">
        <v>964435.31174152112</v>
      </c>
      <c r="BL84" s="47">
        <v>2564.8931847265167</v>
      </c>
      <c r="BM84" s="45">
        <v>1367996.424641714</v>
      </c>
      <c r="BN84" s="55">
        <v>2.4184429043472764</v>
      </c>
      <c r="BO84" s="47">
        <f t="shared" si="134"/>
        <v>3.1674610753392143</v>
      </c>
      <c r="BP84" s="45">
        <v>609967.07361231651</v>
      </c>
      <c r="BQ84" s="55">
        <v>3.8238649876135518</v>
      </c>
      <c r="BR84" s="54">
        <v>395.67699461339851</v>
      </c>
      <c r="BS84" s="53">
        <v>2193.6332581906345</v>
      </c>
      <c r="BT84" s="54">
        <v>811.16678010851194</v>
      </c>
      <c r="BU84" s="53">
        <v>4497.1086290321982</v>
      </c>
      <c r="BV84" s="450">
        <v>2360952.686552099</v>
      </c>
      <c r="BW84" s="347">
        <f t="shared" si="130"/>
        <v>680055.53319272411</v>
      </c>
      <c r="BX84" s="347">
        <f t="shared" si="135"/>
        <v>3041008.2197448229</v>
      </c>
      <c r="BY84" s="45">
        <v>908986.88339644764</v>
      </c>
      <c r="BZ84" s="47">
        <v>2414.6167291201091</v>
      </c>
      <c r="CA84" s="45">
        <v>1451965.8031556513</v>
      </c>
      <c r="CB84" s="55">
        <v>2.5973451649052977</v>
      </c>
      <c r="CC84" s="47">
        <f t="shared" si="136"/>
        <v>3.3454918605448243</v>
      </c>
      <c r="CD84" s="45">
        <v>575286.8514320486</v>
      </c>
      <c r="CE84" s="55">
        <v>4.1039573226383199</v>
      </c>
      <c r="CF84" s="52">
        <v>426.80549450458278</v>
      </c>
      <c r="CG84" s="53">
        <v>2366.2096615916048</v>
      </c>
      <c r="CH84" s="54">
        <v>1237.9722746130949</v>
      </c>
      <c r="CI84" s="53">
        <v>6863.3182906238035</v>
      </c>
      <c r="CJ84" s="450">
        <v>2717118.9603841039</v>
      </c>
      <c r="CK84" s="347">
        <f t="shared" si="131"/>
        <v>725252.10387302318</v>
      </c>
      <c r="CL84" s="347">
        <f t="shared" si="137"/>
        <v>3442371.0642571272</v>
      </c>
      <c r="CM84" s="45">
        <v>970526.14396292728</v>
      </c>
      <c r="CN84" s="47">
        <v>2575.0924407890589</v>
      </c>
      <c r="CO84" s="45">
        <v>1746592.8164211768</v>
      </c>
      <c r="CP84" s="55">
        <v>2.7996349993101206</v>
      </c>
      <c r="CQ84" s="47">
        <f t="shared" si="138"/>
        <v>3.5469122451467117</v>
      </c>
      <c r="CR84" s="45">
        <v>614648.36864587932</v>
      </c>
      <c r="CS84" s="55">
        <v>4.420607129195087</v>
      </c>
    </row>
    <row r="85" spans="1:97" s="23" customFormat="1" ht="15" customHeight="1">
      <c r="A85" s="377" t="str">
        <f t="shared" si="124"/>
        <v>BNI - Efficient Product Rebates; LED High Bay Fixture; COM-Lighting; Other Commercial</v>
      </c>
      <c r="B85" s="42" t="s">
        <v>80</v>
      </c>
      <c r="C85" s="15" t="s">
        <v>73</v>
      </c>
      <c r="D85" s="15" t="s">
        <v>56</v>
      </c>
      <c r="E85" s="43">
        <v>15</v>
      </c>
      <c r="F85" s="44">
        <v>1179.5454036869394</v>
      </c>
      <c r="G85" s="44">
        <v>143.00195056966501</v>
      </c>
      <c r="H85" s="45">
        <v>445</v>
      </c>
      <c r="I85" s="46">
        <v>0.449438202247191</v>
      </c>
      <c r="J85" s="45">
        <v>37.745452917982064</v>
      </c>
      <c r="K85" s="45">
        <v>237.74545291798205</v>
      </c>
      <c r="L85" s="45">
        <v>245</v>
      </c>
      <c r="M85" s="45">
        <v>482.74545291798205</v>
      </c>
      <c r="N85" s="45">
        <v>1085.1009567247193</v>
      </c>
      <c r="O85" s="47">
        <v>0.76</v>
      </c>
      <c r="P85" s="47">
        <v>2.193607398918858</v>
      </c>
      <c r="Q85" s="310">
        <f t="shared" si="125"/>
        <v>2.193607398918858</v>
      </c>
      <c r="R85" s="311">
        <f t="shared" si="132"/>
        <v>0</v>
      </c>
      <c r="S85" s="311">
        <f t="shared" si="126"/>
        <v>369.9104041308097</v>
      </c>
      <c r="T85" s="310">
        <f t="shared" si="127"/>
        <v>2.9414071261328707</v>
      </c>
      <c r="U85" s="316">
        <f t="shared" si="45"/>
        <v>0.34089952813916174</v>
      </c>
      <c r="V85" s="48">
        <v>0.20155684738786162</v>
      </c>
      <c r="W85" s="49">
        <v>1.662532937284388</v>
      </c>
      <c r="X85" s="48" t="s">
        <v>74</v>
      </c>
      <c r="Y85" s="48" t="s">
        <v>527</v>
      </c>
      <c r="Z85" s="247">
        <f>0.027*Z3</f>
        <v>3.4020000000000002E-2</v>
      </c>
      <c r="AA85" s="247"/>
      <c r="AB85" s="386">
        <v>0</v>
      </c>
      <c r="AC85" s="387">
        <f t="shared" si="115"/>
        <v>40.128134633429681</v>
      </c>
      <c r="AD85" s="361">
        <f t="shared" si="116"/>
        <v>2.006406731671484</v>
      </c>
      <c r="AE85" s="361">
        <f t="shared" si="117"/>
        <v>1.1637159043694607</v>
      </c>
      <c r="AF85" s="361">
        <f t="shared" si="118"/>
        <v>0.16051253853371872</v>
      </c>
      <c r="AG85" s="361">
        <f t="shared" si="119"/>
        <v>0</v>
      </c>
      <c r="AH85" s="361">
        <f t="shared" si="120"/>
        <v>2.9293538282403664</v>
      </c>
      <c r="AI85" s="361">
        <f t="shared" si="121"/>
        <v>29.574435224837675</v>
      </c>
      <c r="AJ85" s="361" t="s">
        <v>40</v>
      </c>
      <c r="AK85" s="361">
        <f t="shared" si="114"/>
        <v>0</v>
      </c>
      <c r="AL85" s="361">
        <f t="shared" si="122"/>
        <v>3.3306351745746636</v>
      </c>
      <c r="AM85" s="361">
        <f t="shared" si="123"/>
        <v>0.92294709656888263</v>
      </c>
      <c r="AN85" s="361">
        <f t="shared" si="128"/>
        <v>40.088006498796254</v>
      </c>
      <c r="AO85" s="294" t="s">
        <v>617</v>
      </c>
      <c r="AP85" s="282" t="s">
        <v>420</v>
      </c>
      <c r="AQ85" s="136" t="s">
        <v>74</v>
      </c>
      <c r="AR85" s="294"/>
      <c r="AS85" s="142"/>
      <c r="AT85" s="142" t="s">
        <v>217</v>
      </c>
      <c r="AU85" s="146" t="s">
        <v>227</v>
      </c>
      <c r="AV85" s="61" t="s">
        <v>212</v>
      </c>
      <c r="AW85" s="131" t="s">
        <v>284</v>
      </c>
      <c r="AX85" s="131"/>
      <c r="AY85" s="131">
        <v>129.75</v>
      </c>
      <c r="AZ85" s="48"/>
      <c r="BA85" s="48"/>
      <c r="BB85" s="50"/>
      <c r="BC85" s="51" t="s">
        <v>80</v>
      </c>
      <c r="BD85" s="52">
        <v>311.61525689310662</v>
      </c>
      <c r="BE85" s="53">
        <v>2570.3449674829826</v>
      </c>
      <c r="BF85" s="54">
        <v>311.61525689310662</v>
      </c>
      <c r="BG85" s="53">
        <v>2570.3449674829826</v>
      </c>
      <c r="BH85" s="450">
        <v>2364541.2670088252</v>
      </c>
      <c r="BI85" s="347">
        <f t="shared" si="129"/>
        <v>806071.00218888419</v>
      </c>
      <c r="BJ85" s="347">
        <f t="shared" si="133"/>
        <v>3170612.2691977094</v>
      </c>
      <c r="BK85" s="45">
        <v>1077923.6376455578</v>
      </c>
      <c r="BL85" s="47">
        <v>2867.2341406951991</v>
      </c>
      <c r="BM85" s="45">
        <v>1286617.6293632674</v>
      </c>
      <c r="BN85" s="55">
        <v>2.1936073989188576</v>
      </c>
      <c r="BO85" s="47">
        <f t="shared" si="134"/>
        <v>2.9414071261328703</v>
      </c>
      <c r="BP85" s="45">
        <v>681671.87940148113</v>
      </c>
      <c r="BQ85" s="55">
        <v>3.4687381692859773</v>
      </c>
      <c r="BR85" s="54">
        <v>314.59292389472921</v>
      </c>
      <c r="BS85" s="53">
        <v>2594.9061249460983</v>
      </c>
      <c r="BT85" s="54">
        <v>626.20818078783577</v>
      </c>
      <c r="BU85" s="53">
        <v>5165.2510924290809</v>
      </c>
      <c r="BV85" s="450">
        <v>2524521.2429059912</v>
      </c>
      <c r="BW85" s="347">
        <f t="shared" si="130"/>
        <v>804455.46756563988</v>
      </c>
      <c r="BX85" s="347">
        <f t="shared" si="135"/>
        <v>3328976.710471631</v>
      </c>
      <c r="BY85" s="45">
        <v>1077014.3131710675</v>
      </c>
      <c r="BZ85" s="47">
        <v>2861.4876047018902</v>
      </c>
      <c r="CA85" s="45">
        <v>1447506.9297349236</v>
      </c>
      <c r="CB85" s="55">
        <v>2.3439997147976706</v>
      </c>
      <c r="CC85" s="47">
        <f t="shared" si="136"/>
        <v>3.0909307980040497</v>
      </c>
      <c r="CD85" s="45">
        <v>681556.7262012664</v>
      </c>
      <c r="CE85" s="55">
        <v>3.7040515423810665</v>
      </c>
      <c r="CF85" s="52">
        <v>362.73556391234558</v>
      </c>
      <c r="CG85" s="53">
        <v>2992.0086087088644</v>
      </c>
      <c r="CH85" s="54">
        <v>988.94374470018147</v>
      </c>
      <c r="CI85" s="53">
        <v>8157.2597011379457</v>
      </c>
      <c r="CJ85" s="450">
        <v>3092064.5002634297</v>
      </c>
      <c r="CK85" s="347">
        <f t="shared" si="131"/>
        <v>917061.81979356031</v>
      </c>
      <c r="CL85" s="347">
        <f t="shared" si="137"/>
        <v>4009126.3200569898</v>
      </c>
      <c r="CM85" s="45">
        <v>1229199.184845085</v>
      </c>
      <c r="CN85" s="47">
        <v>3262.0339296413717</v>
      </c>
      <c r="CO85" s="45">
        <v>1862865.3154183447</v>
      </c>
      <c r="CP85" s="55">
        <v>2.5155113494914332</v>
      </c>
      <c r="CQ85" s="47">
        <f t="shared" si="138"/>
        <v>3.261575804382149</v>
      </c>
      <c r="CR85" s="45">
        <v>778386.09576864762</v>
      </c>
      <c r="CS85" s="55">
        <v>3.9724045908220527</v>
      </c>
    </row>
    <row r="86" spans="1:97" s="23" customFormat="1" ht="15" customHeight="1">
      <c r="A86" s="377" t="str">
        <f t="shared" si="124"/>
        <v>BNI - Efficient Product Rebates; LED High Bay Fixture; COM-Lighting; Retail</v>
      </c>
      <c r="B86" s="42" t="s">
        <v>80</v>
      </c>
      <c r="C86" s="15" t="s">
        <v>73</v>
      </c>
      <c r="D86" s="15" t="s">
        <v>30</v>
      </c>
      <c r="E86" s="43">
        <v>15</v>
      </c>
      <c r="F86" s="44">
        <v>1184.9800152768564</v>
      </c>
      <c r="G86" s="44">
        <v>159.77703424818498</v>
      </c>
      <c r="H86" s="45">
        <v>445</v>
      </c>
      <c r="I86" s="46">
        <v>0.449438202247191</v>
      </c>
      <c r="J86" s="45">
        <v>37.919360488859404</v>
      </c>
      <c r="K86" s="45">
        <v>237.91936048885941</v>
      </c>
      <c r="L86" s="45">
        <v>245</v>
      </c>
      <c r="M86" s="45">
        <v>482.91936048885941</v>
      </c>
      <c r="N86" s="45">
        <v>1115.3453504357492</v>
      </c>
      <c r="O86" s="47">
        <v>0.76</v>
      </c>
      <c r="P86" s="47">
        <v>2.2537060182954263</v>
      </c>
      <c r="Q86" s="310">
        <f t="shared" si="125"/>
        <v>2.2537060182954263</v>
      </c>
      <c r="R86" s="311">
        <f t="shared" si="132"/>
        <v>0</v>
      </c>
      <c r="S86" s="311">
        <f t="shared" si="126"/>
        <v>371.61472120350265</v>
      </c>
      <c r="T86" s="310">
        <f t="shared" si="127"/>
        <v>3.0046037858221459</v>
      </c>
      <c r="U86" s="316">
        <f t="shared" si="45"/>
        <v>0.33318354808967304</v>
      </c>
      <c r="V86" s="48">
        <v>0.20077921772653051</v>
      </c>
      <c r="W86" s="49">
        <v>1.4890710771317381</v>
      </c>
      <c r="X86" s="48" t="s">
        <v>74</v>
      </c>
      <c r="Y86" s="48" t="s">
        <v>527</v>
      </c>
      <c r="Z86" s="247">
        <f>0.027*Z3</f>
        <v>3.4020000000000002E-2</v>
      </c>
      <c r="AA86" s="247"/>
      <c r="AB86" s="386">
        <v>0</v>
      </c>
      <c r="AC86" s="387">
        <f t="shared" si="115"/>
        <v>40.313020119718658</v>
      </c>
      <c r="AD86" s="361">
        <f t="shared" si="116"/>
        <v>2.0156510059859332</v>
      </c>
      <c r="AE86" s="361">
        <f t="shared" si="117"/>
        <v>1.1690775834718412</v>
      </c>
      <c r="AF86" s="361">
        <f t="shared" si="118"/>
        <v>0.16125208047887463</v>
      </c>
      <c r="AG86" s="361">
        <f t="shared" si="119"/>
        <v>0</v>
      </c>
      <c r="AH86" s="361">
        <f t="shared" si="120"/>
        <v>2.9428504687394619</v>
      </c>
      <c r="AI86" s="361">
        <f t="shared" si="121"/>
        <v>29.710695828232652</v>
      </c>
      <c r="AJ86" s="361" t="s">
        <v>40</v>
      </c>
      <c r="AK86" s="361">
        <f t="shared" si="114"/>
        <v>0</v>
      </c>
      <c r="AL86" s="361">
        <f t="shared" si="122"/>
        <v>3.3459806699366488</v>
      </c>
      <c r="AM86" s="361">
        <f t="shared" si="123"/>
        <v>0.92719946275352916</v>
      </c>
      <c r="AN86" s="361">
        <f t="shared" si="128"/>
        <v>40.272707099598939</v>
      </c>
      <c r="AO86" s="294" t="s">
        <v>617</v>
      </c>
      <c r="AP86" s="282" t="s">
        <v>420</v>
      </c>
      <c r="AQ86" s="136" t="s">
        <v>74</v>
      </c>
      <c r="AR86" s="294"/>
      <c r="AS86" s="142"/>
      <c r="AT86" s="142" t="s">
        <v>217</v>
      </c>
      <c r="AU86" s="146" t="s">
        <v>227</v>
      </c>
      <c r="AV86" s="61" t="s">
        <v>212</v>
      </c>
      <c r="AW86" s="131" t="s">
        <v>284</v>
      </c>
      <c r="AX86" s="131"/>
      <c r="AY86" s="131">
        <v>129.75</v>
      </c>
      <c r="AZ86" s="48"/>
      <c r="BA86" s="48"/>
      <c r="BB86" s="50"/>
      <c r="BC86" s="51" t="s">
        <v>80</v>
      </c>
      <c r="BD86" s="52">
        <v>498.12901174323281</v>
      </c>
      <c r="BE86" s="53">
        <v>3694.3539897508563</v>
      </c>
      <c r="BF86" s="54">
        <v>498.12901174323281</v>
      </c>
      <c r="BG86" s="53">
        <v>3694.3539897508563</v>
      </c>
      <c r="BH86" s="450">
        <v>3477257.4154929323</v>
      </c>
      <c r="BI86" s="347">
        <f t="shared" si="129"/>
        <v>1158564.9633150615</v>
      </c>
      <c r="BJ86" s="347">
        <f t="shared" si="133"/>
        <v>4635822.3788079936</v>
      </c>
      <c r="BK86" s="45">
        <v>1542906.3894158341</v>
      </c>
      <c r="BL86" s="47">
        <v>4102.1722131252391</v>
      </c>
      <c r="BM86" s="45">
        <v>1934351.0260770982</v>
      </c>
      <c r="BN86" s="55">
        <v>2.2537060182954267</v>
      </c>
      <c r="BO86" s="47">
        <f t="shared" si="134"/>
        <v>3.0046037858221459</v>
      </c>
      <c r="BP86" s="45">
        <v>975986.18956192606</v>
      </c>
      <c r="BQ86" s="55">
        <v>3.5628141593414435</v>
      </c>
      <c r="BR86" s="54">
        <v>502.86901935288415</v>
      </c>
      <c r="BS86" s="53">
        <v>3729.5080675326003</v>
      </c>
      <c r="BT86" s="54">
        <v>1000.9980310961171</v>
      </c>
      <c r="BU86" s="53">
        <v>7423.862057283457</v>
      </c>
      <c r="BV86" s="450">
        <v>3717030.2842707224</v>
      </c>
      <c r="BW86" s="347">
        <f t="shared" si="130"/>
        <v>1156197.1847128321</v>
      </c>
      <c r="BX86" s="347">
        <f t="shared" si="135"/>
        <v>4873227.4689835543</v>
      </c>
      <c r="BY86" s="45">
        <v>1541551.2012139473</v>
      </c>
      <c r="BZ86" s="47">
        <v>4093.7885351300879</v>
      </c>
      <c r="CA86" s="45">
        <v>2175479.0830567749</v>
      </c>
      <c r="CB86" s="55">
        <v>2.4112272633848422</v>
      </c>
      <c r="CC86" s="47">
        <f t="shared" si="136"/>
        <v>3.1612491788439883</v>
      </c>
      <c r="CD86" s="45">
        <v>975789.62565896916</v>
      </c>
      <c r="CE86" s="55">
        <v>3.8092537433573774</v>
      </c>
      <c r="CF86" s="52">
        <v>579.79202572825011</v>
      </c>
      <c r="CG86" s="53">
        <v>4300.0044827322608</v>
      </c>
      <c r="CH86" s="54">
        <v>1580.7900568243674</v>
      </c>
      <c r="CI86" s="53">
        <v>11723.866540015719</v>
      </c>
      <c r="CJ86" s="450">
        <v>4557381.2766174078</v>
      </c>
      <c r="CK86" s="347">
        <f t="shared" si="131"/>
        <v>1317967.4432008362</v>
      </c>
      <c r="CL86" s="347">
        <f t="shared" si="137"/>
        <v>5875348.7198182438</v>
      </c>
      <c r="CM86" s="45">
        <v>1759288.2312505222</v>
      </c>
      <c r="CN86" s="47">
        <v>4666.5742487432099</v>
      </c>
      <c r="CO86" s="45">
        <v>2798093.0453668856</v>
      </c>
      <c r="CP86" s="55">
        <v>2.5904688019074449</v>
      </c>
      <c r="CQ86" s="47">
        <f t="shared" si="138"/>
        <v>3.3396169061177536</v>
      </c>
      <c r="CR86" s="45">
        <v>1114367.6700742107</v>
      </c>
      <c r="CS86" s="55">
        <v>4.0896567614115291</v>
      </c>
    </row>
    <row r="87" spans="1:97" s="23" customFormat="1" ht="15" customHeight="1">
      <c r="A87" s="377" t="str">
        <f t="shared" si="124"/>
        <v>BNI - Efficient Product Rebates; LED High Bay Fixture; COM-Lighting; School</v>
      </c>
      <c r="B87" s="42" t="s">
        <v>80</v>
      </c>
      <c r="C87" s="15" t="s">
        <v>73</v>
      </c>
      <c r="D87" s="15" t="s">
        <v>59</v>
      </c>
      <c r="E87" s="43">
        <v>15</v>
      </c>
      <c r="F87" s="44">
        <v>1187.2524633643188</v>
      </c>
      <c r="G87" s="44">
        <v>153.03935045516863</v>
      </c>
      <c r="H87" s="45">
        <v>445</v>
      </c>
      <c r="I87" s="46">
        <v>0.449438202247191</v>
      </c>
      <c r="J87" s="45">
        <v>37.992078827658204</v>
      </c>
      <c r="K87" s="45">
        <v>237.99207882765819</v>
      </c>
      <c r="L87" s="45">
        <v>245</v>
      </c>
      <c r="M87" s="45">
        <v>482.99207882765819</v>
      </c>
      <c r="N87" s="45">
        <v>1106.4501886654953</v>
      </c>
      <c r="O87" s="47">
        <v>0.76</v>
      </c>
      <c r="P87" s="47">
        <v>2.23529997230753</v>
      </c>
      <c r="Q87" s="310">
        <f t="shared" si="125"/>
        <v>2.23529997230753</v>
      </c>
      <c r="R87" s="311">
        <f t="shared" si="132"/>
        <v>0</v>
      </c>
      <c r="S87" s="311">
        <f t="shared" si="126"/>
        <v>372.32737049005999</v>
      </c>
      <c r="T87" s="310">
        <f t="shared" si="127"/>
        <v>2.9874923163203868</v>
      </c>
      <c r="U87" s="316">
        <f t="shared" si="45"/>
        <v>0.33650621989511265</v>
      </c>
      <c r="V87" s="48">
        <v>0.2004561676404189</v>
      </c>
      <c r="W87" s="49">
        <v>1.5551038221204136</v>
      </c>
      <c r="X87" s="48" t="s">
        <v>74</v>
      </c>
      <c r="Y87" s="48" t="s">
        <v>527</v>
      </c>
      <c r="Z87" s="247">
        <f>0.027*Z3</f>
        <v>3.4020000000000002E-2</v>
      </c>
      <c r="AA87" s="247"/>
      <c r="AB87" s="386">
        <v>0</v>
      </c>
      <c r="AC87" s="387">
        <f t="shared" si="115"/>
        <v>40.390328803654128</v>
      </c>
      <c r="AD87" s="361">
        <f t="shared" si="116"/>
        <v>2.0195164401827066</v>
      </c>
      <c r="AE87" s="361">
        <f t="shared" si="117"/>
        <v>1.1713195353059698</v>
      </c>
      <c r="AF87" s="361">
        <f t="shared" si="118"/>
        <v>0.16156131521461653</v>
      </c>
      <c r="AG87" s="361">
        <f t="shared" si="119"/>
        <v>0</v>
      </c>
      <c r="AH87" s="361">
        <f t="shared" si="120"/>
        <v>2.948494002666751</v>
      </c>
      <c r="AI87" s="361">
        <f t="shared" si="121"/>
        <v>29.767672328293092</v>
      </c>
      <c r="AJ87" s="361" t="s">
        <v>40</v>
      </c>
      <c r="AK87" s="361">
        <f t="shared" si="114"/>
        <v>0</v>
      </c>
      <c r="AL87" s="361">
        <f t="shared" si="122"/>
        <v>3.3523972907032928</v>
      </c>
      <c r="AM87" s="361">
        <f t="shared" si="123"/>
        <v>0.92897756248404495</v>
      </c>
      <c r="AN87" s="361">
        <f t="shared" si="128"/>
        <v>40.349938474850475</v>
      </c>
      <c r="AO87" s="294" t="s">
        <v>617</v>
      </c>
      <c r="AP87" s="282" t="s">
        <v>420</v>
      </c>
      <c r="AQ87" s="136" t="s">
        <v>74</v>
      </c>
      <c r="AR87" s="294"/>
      <c r="AS87" s="142"/>
      <c r="AT87" s="142" t="s">
        <v>217</v>
      </c>
      <c r="AU87" s="146" t="s">
        <v>227</v>
      </c>
      <c r="AV87" s="61" t="s">
        <v>212</v>
      </c>
      <c r="AW87" s="131" t="s">
        <v>284</v>
      </c>
      <c r="AX87" s="131"/>
      <c r="AY87" s="131">
        <v>129.75</v>
      </c>
      <c r="AZ87" s="48"/>
      <c r="BA87" s="48"/>
      <c r="BB87" s="50"/>
      <c r="BC87" s="51" t="s">
        <v>80</v>
      </c>
      <c r="BD87" s="52">
        <v>475.55903448415108</v>
      </c>
      <c r="BE87" s="53">
        <v>3689.3036561329495</v>
      </c>
      <c r="BF87" s="54">
        <v>475.55903448415108</v>
      </c>
      <c r="BG87" s="53">
        <v>3689.3036561329495</v>
      </c>
      <c r="BH87" s="450">
        <v>3438216.2617758214</v>
      </c>
      <c r="BI87" s="347">
        <f t="shared" si="129"/>
        <v>1156981.1574320865</v>
      </c>
      <c r="BJ87" s="347">
        <f t="shared" si="133"/>
        <v>4595197.4192079082</v>
      </c>
      <c r="BK87" s="45">
        <v>1538145.3515728831</v>
      </c>
      <c r="BL87" s="47">
        <v>4088.7233893022531</v>
      </c>
      <c r="BM87" s="45">
        <v>1900070.9102029384</v>
      </c>
      <c r="BN87" s="55">
        <v>2.23529997230753</v>
      </c>
      <c r="BO87" s="47">
        <f t="shared" si="134"/>
        <v>2.9874923163203868</v>
      </c>
      <c r="BP87" s="45">
        <v>973083.77917131165</v>
      </c>
      <c r="BQ87" s="55">
        <v>3.5333198799222019</v>
      </c>
      <c r="BR87" s="54">
        <v>480.07619244942657</v>
      </c>
      <c r="BS87" s="53">
        <v>3724.3469760747062</v>
      </c>
      <c r="BT87" s="54">
        <v>955.63522693357766</v>
      </c>
      <c r="BU87" s="53">
        <v>7413.6506322076557</v>
      </c>
      <c r="BV87" s="450">
        <v>3673252.8485322865</v>
      </c>
      <c r="BW87" s="347">
        <f t="shared" si="130"/>
        <v>1154597.1776058332</v>
      </c>
      <c r="BX87" s="347">
        <f t="shared" si="135"/>
        <v>4827850.0261381194</v>
      </c>
      <c r="BY87" s="45">
        <v>1536771.5634176882</v>
      </c>
      <c r="BZ87" s="47">
        <v>4080.2985035445099</v>
      </c>
      <c r="CA87" s="45">
        <v>2136481.2851145985</v>
      </c>
      <c r="CB87" s="55">
        <v>2.3902399914032708</v>
      </c>
      <c r="CC87" s="47">
        <f t="shared" si="136"/>
        <v>3.1415534625076411</v>
      </c>
      <c r="CD87" s="45">
        <v>972874.31022783695</v>
      </c>
      <c r="CE87" s="55">
        <v>3.7756705156209227</v>
      </c>
      <c r="CF87" s="52">
        <v>553.49976232913264</v>
      </c>
      <c r="CG87" s="53">
        <v>4293.9541650062838</v>
      </c>
      <c r="CH87" s="54">
        <v>1509.1349892627102</v>
      </c>
      <c r="CI87" s="53">
        <v>11707.604797213939</v>
      </c>
      <c r="CJ87" s="450">
        <v>4501489.8521061027</v>
      </c>
      <c r="CK87" s="347">
        <f t="shared" si="131"/>
        <v>1316112.9982076085</v>
      </c>
      <c r="CL87" s="347">
        <f t="shared" si="137"/>
        <v>5817602.850313711</v>
      </c>
      <c r="CM87" s="45">
        <v>1753796.2717459882</v>
      </c>
      <c r="CN87" s="47">
        <v>4651.0887097589011</v>
      </c>
      <c r="CO87" s="45">
        <v>2747693.5803601146</v>
      </c>
      <c r="CP87" s="55">
        <v>2.5667119520243102</v>
      </c>
      <c r="CQ87" s="47">
        <f t="shared" si="138"/>
        <v>3.3171486016001213</v>
      </c>
      <c r="CR87" s="45">
        <v>1111015.8120573079</v>
      </c>
      <c r="CS87" s="55">
        <v>4.0516883767572418</v>
      </c>
    </row>
    <row r="88" spans="1:97" s="23" customFormat="1" ht="15" customHeight="1">
      <c r="A88" s="377" t="str">
        <f t="shared" si="124"/>
        <v xml:space="preserve">BNI - Efficient Product Rebates; LED Low Bay Fixture; IND; Industrial </v>
      </c>
      <c r="B88" s="42" t="s">
        <v>81</v>
      </c>
      <c r="C88" s="15" t="s">
        <v>69</v>
      </c>
      <c r="D88" s="15" t="s">
        <v>70</v>
      </c>
      <c r="E88" s="43">
        <v>15</v>
      </c>
      <c r="F88" s="44">
        <v>174.26441357214355</v>
      </c>
      <c r="G88" s="44">
        <v>31.432975030277319</v>
      </c>
      <c r="H88" s="45">
        <v>160</v>
      </c>
      <c r="I88" s="46">
        <v>0.25</v>
      </c>
      <c r="J88" s="45">
        <v>5.576461234308594</v>
      </c>
      <c r="K88" s="45">
        <v>45.576461234308596</v>
      </c>
      <c r="L88" s="45">
        <v>120</v>
      </c>
      <c r="M88" s="45">
        <v>165.5764612343086</v>
      </c>
      <c r="N88" s="45">
        <v>176.45504435733679</v>
      </c>
      <c r="O88" s="47">
        <v>0.76</v>
      </c>
      <c r="P88" s="47">
        <v>1.0544862815808405</v>
      </c>
      <c r="Q88" s="310">
        <f t="shared" si="125"/>
        <v>1.0544862815808405</v>
      </c>
      <c r="R88" s="311">
        <f t="shared" si="132"/>
        <v>0</v>
      </c>
      <c r="S88" s="311">
        <f t="shared" si="126"/>
        <v>54.650053697465765</v>
      </c>
      <c r="T88" s="310">
        <f t="shared" si="127"/>
        <v>1.3810721954124268</v>
      </c>
      <c r="U88" s="316">
        <f t="shared" si="45"/>
        <v>0.30971091756829949</v>
      </c>
      <c r="V88" s="48">
        <v>0.26153625000115382</v>
      </c>
      <c r="W88" s="49">
        <v>1.4499569700420589</v>
      </c>
      <c r="X88" s="48" t="s">
        <v>74</v>
      </c>
      <c r="Y88" s="48" t="s">
        <v>527</v>
      </c>
      <c r="Z88" s="247">
        <f>0.027*Z3</f>
        <v>3.4020000000000002E-2</v>
      </c>
      <c r="AA88" s="247"/>
      <c r="AB88" s="386">
        <v>0</v>
      </c>
      <c r="AC88" s="387">
        <f t="shared" si="115"/>
        <v>5.9284753497243239</v>
      </c>
      <c r="AD88" s="361">
        <f t="shared" si="116"/>
        <v>0.29642376748621618</v>
      </c>
      <c r="AE88" s="361">
        <f t="shared" si="117"/>
        <v>0.17192578514200541</v>
      </c>
      <c r="AF88" s="361">
        <f t="shared" si="118"/>
        <v>2.3713901398897296E-2</v>
      </c>
      <c r="AG88" s="361">
        <f t="shared" si="119"/>
        <v>0</v>
      </c>
      <c r="AH88" s="361">
        <f t="shared" si="120"/>
        <v>0.4327787005298756</v>
      </c>
      <c r="AI88" s="361">
        <f t="shared" si="121"/>
        <v>4.3692863327468263</v>
      </c>
      <c r="AJ88" s="361" t="s">
        <v>40</v>
      </c>
      <c r="AK88" s="361">
        <f t="shared" ref="AK88:AK121" si="139">AC88*0</f>
        <v>0</v>
      </c>
      <c r="AL88" s="361">
        <f t="shared" si="122"/>
        <v>0.49206345402711893</v>
      </c>
      <c r="AM88" s="361">
        <f t="shared" si="123"/>
        <v>0.13635493304365945</v>
      </c>
      <c r="AN88" s="361">
        <f t="shared" si="128"/>
        <v>5.922546874374599</v>
      </c>
      <c r="AO88" s="294" t="s">
        <v>617</v>
      </c>
      <c r="AP88" s="282" t="s">
        <v>420</v>
      </c>
      <c r="AQ88" s="136" t="s">
        <v>74</v>
      </c>
      <c r="AR88" s="294"/>
      <c r="AS88" s="142"/>
      <c r="AT88" s="142" t="s">
        <v>217</v>
      </c>
      <c r="AU88" s="146" t="s">
        <v>227</v>
      </c>
      <c r="AV88" s="61" t="s">
        <v>212</v>
      </c>
      <c r="AW88" s="131" t="s">
        <v>284</v>
      </c>
      <c r="AX88" s="131"/>
      <c r="AY88" s="131">
        <v>129.75</v>
      </c>
      <c r="AZ88" s="48"/>
      <c r="BA88" s="48"/>
      <c r="BB88" s="50"/>
      <c r="BC88" s="51" t="s">
        <v>81</v>
      </c>
      <c r="BD88" s="52">
        <v>41.210814778969706</v>
      </c>
      <c r="BE88" s="53">
        <v>228.4727571402274</v>
      </c>
      <c r="BF88" s="54">
        <v>41.210814778969706</v>
      </c>
      <c r="BG88" s="53">
        <v>228.4727571402274</v>
      </c>
      <c r="BH88" s="450">
        <v>231344.82634305494</v>
      </c>
      <c r="BI88" s="347">
        <f t="shared" si="129"/>
        <v>71650.018441386448</v>
      </c>
      <c r="BJ88" s="347">
        <f t="shared" si="133"/>
        <v>302994.8447844414</v>
      </c>
      <c r="BK88" s="45">
        <v>219391.02516936755</v>
      </c>
      <c r="BL88" s="47">
        <v>1725.091444124741</v>
      </c>
      <c r="BM88" s="45">
        <v>11953.801173687389</v>
      </c>
      <c r="BN88" s="55">
        <v>1.0544862815808402</v>
      </c>
      <c r="BO88" s="47">
        <f t="shared" si="134"/>
        <v>1.3810721954124268</v>
      </c>
      <c r="BP88" s="45">
        <v>78623.563328788689</v>
      </c>
      <c r="BQ88" s="55">
        <v>2.9424362945191782</v>
      </c>
      <c r="BR88" s="54">
        <v>31.610171913989721</v>
      </c>
      <c r="BS88" s="53">
        <v>175.24679309546926</v>
      </c>
      <c r="BT88" s="54">
        <v>72.820986692959423</v>
      </c>
      <c r="BU88" s="53">
        <v>403.71955023569666</v>
      </c>
      <c r="BV88" s="450">
        <v>188613.74636052843</v>
      </c>
      <c r="BW88" s="347">
        <f t="shared" si="130"/>
        <v>54328.84046312968</v>
      </c>
      <c r="BX88" s="347">
        <f t="shared" si="135"/>
        <v>242942.58682365812</v>
      </c>
      <c r="BY88" s="45">
        <v>166438.39025494253</v>
      </c>
      <c r="BZ88" s="47">
        <v>1308.0557394250056</v>
      </c>
      <c r="CA88" s="45">
        <v>22175.356105585903</v>
      </c>
      <c r="CB88" s="55">
        <v>1.1332346225628518</v>
      </c>
      <c r="CC88" s="47">
        <f t="shared" si="136"/>
        <v>1.459654749433289</v>
      </c>
      <c r="CD88" s="45">
        <v>59701.041917862087</v>
      </c>
      <c r="CE88" s="55">
        <v>3.159304097573826</v>
      </c>
      <c r="CF88" s="52">
        <v>29.815805537534228</v>
      </c>
      <c r="CG88" s="53">
        <v>165.29882590415534</v>
      </c>
      <c r="CH88" s="54">
        <v>102.63679223049364</v>
      </c>
      <c r="CI88" s="53">
        <v>569.01837613985197</v>
      </c>
      <c r="CJ88" s="450">
        <v>189812.67014661105</v>
      </c>
      <c r="CK88" s="347">
        <f t="shared" si="131"/>
        <v>50664.707866204481</v>
      </c>
      <c r="CL88" s="347">
        <f t="shared" si="137"/>
        <v>240477.37801281555</v>
      </c>
      <c r="CM88" s="45">
        <v>155291.97789354846</v>
      </c>
      <c r="CN88" s="47">
        <v>1219.8357510621956</v>
      </c>
      <c r="CO88" s="45">
        <v>34520.692253062589</v>
      </c>
      <c r="CP88" s="55">
        <v>1.2222953994231838</v>
      </c>
      <c r="CQ88" s="47">
        <f t="shared" si="138"/>
        <v>1.5485499075661273</v>
      </c>
      <c r="CR88" s="45">
        <v>55753.38060687331</v>
      </c>
      <c r="CS88" s="55">
        <v>3.4045051274112486</v>
      </c>
    </row>
    <row r="89" spans="1:97" s="23" customFormat="1" ht="15" customHeight="1">
      <c r="A89" s="377" t="str">
        <f t="shared" si="124"/>
        <v>BNI - Efficient Product Rebates; LED Low Bay Fixture; COM-Lighting; Office</v>
      </c>
      <c r="B89" s="42" t="s">
        <v>81</v>
      </c>
      <c r="C89" s="15" t="s">
        <v>73</v>
      </c>
      <c r="D89" s="15" t="s">
        <v>66</v>
      </c>
      <c r="E89" s="43">
        <v>15</v>
      </c>
      <c r="F89" s="44">
        <v>185.81994557938296</v>
      </c>
      <c r="G89" s="44">
        <v>21.236558267853511</v>
      </c>
      <c r="H89" s="45">
        <v>160</v>
      </c>
      <c r="I89" s="46">
        <v>0.25</v>
      </c>
      <c r="J89" s="45">
        <v>5.9462382585402551</v>
      </c>
      <c r="K89" s="45">
        <v>45.946238258540255</v>
      </c>
      <c r="L89" s="45">
        <v>120</v>
      </c>
      <c r="M89" s="45">
        <v>165.94623825854026</v>
      </c>
      <c r="N89" s="45">
        <v>168.91891081922807</v>
      </c>
      <c r="O89" s="47">
        <v>0.76</v>
      </c>
      <c r="P89" s="47">
        <v>1.0065241748830438</v>
      </c>
      <c r="Q89" s="310">
        <f t="shared" si="125"/>
        <v>1.0065241748830438</v>
      </c>
      <c r="R89" s="311">
        <f t="shared" si="132"/>
        <v>0</v>
      </c>
      <c r="S89" s="311">
        <f t="shared" si="126"/>
        <v>58.273917180281664</v>
      </c>
      <c r="T89" s="310">
        <f t="shared" si="127"/>
        <v>1.353756501462841</v>
      </c>
      <c r="U89" s="316">
        <f t="shared" si="45"/>
        <v>0.34498160624919411</v>
      </c>
      <c r="V89" s="48">
        <v>0.2472621446275898</v>
      </c>
      <c r="W89" s="49">
        <v>2.1635444726507598</v>
      </c>
      <c r="X89" s="48" t="s">
        <v>74</v>
      </c>
      <c r="Y89" s="48" t="s">
        <v>527</v>
      </c>
      <c r="Z89" s="247">
        <f>0.027*Z3</f>
        <v>3.4020000000000002E-2</v>
      </c>
      <c r="AA89" s="247"/>
      <c r="AB89" s="386">
        <v>0</v>
      </c>
      <c r="AC89" s="387">
        <f t="shared" si="115"/>
        <v>6.3215945486106087</v>
      </c>
      <c r="AD89" s="361">
        <f t="shared" si="116"/>
        <v>0.31607972743053048</v>
      </c>
      <c r="AE89" s="361">
        <f t="shared" si="117"/>
        <v>0.18332624190970767</v>
      </c>
      <c r="AF89" s="361">
        <f t="shared" si="118"/>
        <v>2.5286378194442436E-2</v>
      </c>
      <c r="AG89" s="361">
        <f t="shared" si="119"/>
        <v>0</v>
      </c>
      <c r="AH89" s="361">
        <f t="shared" si="120"/>
        <v>0.46147640204857443</v>
      </c>
      <c r="AI89" s="361">
        <f t="shared" si="121"/>
        <v>4.6590151823260184</v>
      </c>
      <c r="AJ89" s="361" t="s">
        <v>40</v>
      </c>
      <c r="AK89" s="361">
        <f t="shared" si="139"/>
        <v>0</v>
      </c>
      <c r="AL89" s="361">
        <f t="shared" si="122"/>
        <v>0.52469234753468053</v>
      </c>
      <c r="AM89" s="361">
        <f t="shared" si="123"/>
        <v>0.14539667461804401</v>
      </c>
      <c r="AN89" s="361">
        <f t="shared" si="128"/>
        <v>6.3152729540619985</v>
      </c>
      <c r="AO89" s="294" t="s">
        <v>617</v>
      </c>
      <c r="AP89" s="282" t="s">
        <v>420</v>
      </c>
      <c r="AQ89" s="136" t="s">
        <v>74</v>
      </c>
      <c r="AR89" s="294"/>
      <c r="AS89" s="142"/>
      <c r="AT89" s="142" t="s">
        <v>217</v>
      </c>
      <c r="AU89" s="146" t="s">
        <v>227</v>
      </c>
      <c r="AV89" s="61" t="s">
        <v>212</v>
      </c>
      <c r="AW89" s="131" t="s">
        <v>284</v>
      </c>
      <c r="AX89" s="131"/>
      <c r="AY89" s="131"/>
      <c r="AZ89" s="48"/>
      <c r="BA89" s="48"/>
      <c r="BB89" s="50"/>
      <c r="BC89" s="51" t="s">
        <v>81</v>
      </c>
      <c r="BD89" s="52">
        <v>32.935549185973791</v>
      </c>
      <c r="BE89" s="53">
        <v>288.18614957155813</v>
      </c>
      <c r="BF89" s="54">
        <v>32.935549185973791</v>
      </c>
      <c r="BG89" s="53">
        <v>288.18614957155813</v>
      </c>
      <c r="BH89" s="450">
        <v>261974.5170360005</v>
      </c>
      <c r="BI89" s="347">
        <f t="shared" si="129"/>
        <v>90376.389683436297</v>
      </c>
      <c r="BJ89" s="347">
        <f t="shared" si="133"/>
        <v>352350.90671943681</v>
      </c>
      <c r="BK89" s="45">
        <v>260276.42810113469</v>
      </c>
      <c r="BL89" s="47">
        <v>2040.6437042349</v>
      </c>
      <c r="BM89" s="45">
        <v>1698.0889348658093</v>
      </c>
      <c r="BN89" s="55">
        <v>1.006524174883044</v>
      </c>
      <c r="BO89" s="47">
        <f t="shared" si="134"/>
        <v>1.3537565014628412</v>
      </c>
      <c r="BP89" s="45">
        <v>93759.901835566867</v>
      </c>
      <c r="BQ89" s="55">
        <v>2.7940997367450646</v>
      </c>
      <c r="BR89" s="54">
        <v>36.488371274626836</v>
      </c>
      <c r="BS89" s="53">
        <v>319.27335300819419</v>
      </c>
      <c r="BT89" s="54">
        <v>69.423920460600627</v>
      </c>
      <c r="BU89" s="53">
        <v>607.45950257975232</v>
      </c>
      <c r="BV89" s="450">
        <v>306734.24709582474</v>
      </c>
      <c r="BW89" s="347">
        <f t="shared" si="130"/>
        <v>98978.992729762627</v>
      </c>
      <c r="BX89" s="347">
        <f t="shared" si="135"/>
        <v>405713.23982558737</v>
      </c>
      <c r="BY89" s="45">
        <v>285205.1324097779</v>
      </c>
      <c r="BZ89" s="47">
        <v>2234.8852291288199</v>
      </c>
      <c r="CA89" s="45">
        <v>21529.114686046843</v>
      </c>
      <c r="CB89" s="55">
        <v>1.0754864209635406</v>
      </c>
      <c r="CC89" s="47">
        <f t="shared" si="136"/>
        <v>1.4225313422574228</v>
      </c>
      <c r="CD89" s="45">
        <v>102838.49771286624</v>
      </c>
      <c r="CE89" s="55">
        <v>2.9826791903578038</v>
      </c>
      <c r="CF89" s="52">
        <v>46.674191371003126</v>
      </c>
      <c r="CG89" s="53">
        <v>408.39930798250447</v>
      </c>
      <c r="CH89" s="54">
        <v>116.09811183160376</v>
      </c>
      <c r="CI89" s="53">
        <v>1015.8588105622568</v>
      </c>
      <c r="CJ89" s="450">
        <v>416544.77017857006</v>
      </c>
      <c r="CK89" s="347">
        <f t="shared" si="131"/>
        <v>125175.91409687996</v>
      </c>
      <c r="CL89" s="347">
        <f t="shared" si="137"/>
        <v>541720.68427545007</v>
      </c>
      <c r="CM89" s="45">
        <v>360885.47993295069</v>
      </c>
      <c r="CN89" s="47">
        <v>2826.3957203687937</v>
      </c>
      <c r="CO89" s="45">
        <v>55659.29024561937</v>
      </c>
      <c r="CP89" s="55">
        <v>1.1542297857369057</v>
      </c>
      <c r="CQ89" s="47">
        <f t="shared" si="138"/>
        <v>1.5010875039253364</v>
      </c>
      <c r="CR89" s="45">
        <v>130251.58915085719</v>
      </c>
      <c r="CS89" s="55">
        <v>3.1980014439296287</v>
      </c>
    </row>
    <row r="90" spans="1:97" s="23" customFormat="1" ht="15" customHeight="1">
      <c r="A90" s="377" t="str">
        <f t="shared" si="124"/>
        <v>BNI - Efficient Product Rebates; LED Low Bay Fixture; COM-Lighting; Other Commercial</v>
      </c>
      <c r="B90" s="42" t="s">
        <v>81</v>
      </c>
      <c r="C90" s="15" t="s">
        <v>73</v>
      </c>
      <c r="D90" s="15" t="s">
        <v>56</v>
      </c>
      <c r="E90" s="43">
        <v>15</v>
      </c>
      <c r="F90" s="44">
        <v>172.12760768693931</v>
      </c>
      <c r="G90" s="44">
        <v>20.867856014006641</v>
      </c>
      <c r="H90" s="45">
        <v>160</v>
      </c>
      <c r="I90" s="46">
        <v>0.25</v>
      </c>
      <c r="J90" s="45">
        <v>5.5080834459820585</v>
      </c>
      <c r="K90" s="45">
        <v>45.508083445982059</v>
      </c>
      <c r="L90" s="45">
        <v>120</v>
      </c>
      <c r="M90" s="45">
        <v>165.50808344598207</v>
      </c>
      <c r="N90" s="45">
        <v>158.34560602417196</v>
      </c>
      <c r="O90" s="47">
        <v>0.76</v>
      </c>
      <c r="P90" s="47">
        <v>0.94677425161172768</v>
      </c>
      <c r="Q90" s="310">
        <f t="shared" si="125"/>
        <v>0.94677425161172768</v>
      </c>
      <c r="R90" s="311">
        <f t="shared" si="132"/>
        <v>0</v>
      </c>
      <c r="S90" s="311">
        <f t="shared" si="126"/>
        <v>53.979942376549822</v>
      </c>
      <c r="T90" s="310">
        <f t="shared" si="127"/>
        <v>1.2695291472404735</v>
      </c>
      <c r="U90" s="316">
        <f t="shared" si="45"/>
        <v>0.34089952813916158</v>
      </c>
      <c r="V90" s="48">
        <v>0.26438573136246007</v>
      </c>
      <c r="W90" s="49">
        <v>2.1807742690689804</v>
      </c>
      <c r="X90" s="48" t="s">
        <v>74</v>
      </c>
      <c r="Y90" s="48" t="s">
        <v>527</v>
      </c>
      <c r="Z90" s="247">
        <f>0.027*Z3</f>
        <v>3.4020000000000002E-2</v>
      </c>
      <c r="AA90" s="247"/>
      <c r="AB90" s="386">
        <v>0</v>
      </c>
      <c r="AC90" s="387">
        <f t="shared" si="115"/>
        <v>5.8557812135096761</v>
      </c>
      <c r="AD90" s="361">
        <f t="shared" si="116"/>
        <v>0.29278906067548383</v>
      </c>
      <c r="AE90" s="361">
        <f t="shared" si="117"/>
        <v>0.1698176551917806</v>
      </c>
      <c r="AF90" s="361">
        <f t="shared" si="118"/>
        <v>2.3423124854038704E-2</v>
      </c>
      <c r="AG90" s="361">
        <f t="shared" si="119"/>
        <v>0</v>
      </c>
      <c r="AH90" s="361">
        <f t="shared" si="120"/>
        <v>0.42747202858620631</v>
      </c>
      <c r="AI90" s="361">
        <f t="shared" si="121"/>
        <v>4.3157107543566315</v>
      </c>
      <c r="AJ90" s="361" t="s">
        <v>40</v>
      </c>
      <c r="AK90" s="361">
        <f t="shared" si="139"/>
        <v>0</v>
      </c>
      <c r="AL90" s="361">
        <f t="shared" si="122"/>
        <v>0.48602984072130312</v>
      </c>
      <c r="AM90" s="361">
        <f t="shared" si="123"/>
        <v>0.13468296791072254</v>
      </c>
      <c r="AN90" s="361">
        <f t="shared" si="128"/>
        <v>5.8499254322961676</v>
      </c>
      <c r="AO90" s="294" t="s">
        <v>617</v>
      </c>
      <c r="AP90" s="282" t="s">
        <v>420</v>
      </c>
      <c r="AQ90" s="136" t="s">
        <v>74</v>
      </c>
      <c r="AR90" s="294"/>
      <c r="AS90" s="142"/>
      <c r="AT90" s="142" t="s">
        <v>217</v>
      </c>
      <c r="AU90" s="146" t="s">
        <v>227</v>
      </c>
      <c r="AV90" s="61" t="s">
        <v>212</v>
      </c>
      <c r="AW90" s="131" t="s">
        <v>284</v>
      </c>
      <c r="AX90" s="131"/>
      <c r="AY90" s="131"/>
      <c r="AZ90" s="48"/>
      <c r="BA90" s="48"/>
      <c r="BB90" s="50"/>
      <c r="BC90" s="51" t="s">
        <v>81</v>
      </c>
      <c r="BD90" s="52">
        <v>43.857961924273766</v>
      </c>
      <c r="BE90" s="53">
        <v>361.76050184470637</v>
      </c>
      <c r="BF90" s="54">
        <v>43.857961924273766</v>
      </c>
      <c r="BG90" s="53">
        <v>361.76050184470637</v>
      </c>
      <c r="BH90" s="450">
        <v>332794.87625479343</v>
      </c>
      <c r="BI90" s="347">
        <f t="shared" si="129"/>
        <v>113449.6162823898</v>
      </c>
      <c r="BJ90" s="347">
        <f t="shared" si="133"/>
        <v>446244.49253718322</v>
      </c>
      <c r="BK90" s="45">
        <v>351503.93632723414</v>
      </c>
      <c r="BL90" s="47">
        <v>2765.3940394484434</v>
      </c>
      <c r="BM90" s="45">
        <v>-18709.060072440712</v>
      </c>
      <c r="BN90" s="55">
        <v>0.94677425161172757</v>
      </c>
      <c r="BO90" s="47">
        <f t="shared" si="134"/>
        <v>1.2695291472404735</v>
      </c>
      <c r="BP90" s="45">
        <v>125847.78270824117</v>
      </c>
      <c r="BQ90" s="55">
        <v>2.6444238356294876</v>
      </c>
      <c r="BR90" s="54">
        <v>48.54251212975803</v>
      </c>
      <c r="BS90" s="53">
        <v>400.40081158319344</v>
      </c>
      <c r="BT90" s="54">
        <v>92.40047405403179</v>
      </c>
      <c r="BU90" s="53">
        <v>762.16131342789981</v>
      </c>
      <c r="BV90" s="450">
        <v>389540.23993433214</v>
      </c>
      <c r="BW90" s="347">
        <f t="shared" si="130"/>
        <v>124129.58565216316</v>
      </c>
      <c r="BX90" s="347">
        <f t="shared" si="135"/>
        <v>513669.82558649534</v>
      </c>
      <c r="BY90" s="45">
        <v>384787.00869166863</v>
      </c>
      <c r="BZ90" s="47">
        <v>3025.7239074944378</v>
      </c>
      <c r="CA90" s="45">
        <v>4753.2312426635181</v>
      </c>
      <c r="CB90" s="55">
        <v>1.0123528890926572</v>
      </c>
      <c r="CC90" s="47">
        <f t="shared" si="136"/>
        <v>1.33494586351303</v>
      </c>
      <c r="CD90" s="45">
        <v>137887.9378401225</v>
      </c>
      <c r="CE90" s="55">
        <v>2.8250494280797351</v>
      </c>
      <c r="CF90" s="52">
        <v>62.05028204504621</v>
      </c>
      <c r="CG90" s="53">
        <v>511.8190674473114</v>
      </c>
      <c r="CH90" s="54">
        <v>154.45075609907801</v>
      </c>
      <c r="CI90" s="53">
        <v>1273.9803808752113</v>
      </c>
      <c r="CJ90" s="450">
        <v>528934.8314056797</v>
      </c>
      <c r="CK90" s="347">
        <f t="shared" si="131"/>
        <v>156874.45685553038</v>
      </c>
      <c r="CL90" s="347">
        <f t="shared" si="137"/>
        <v>685809.28826121008</v>
      </c>
      <c r="CM90" s="45">
        <v>486536.19521579391</v>
      </c>
      <c r="CN90" s="47">
        <v>3823.8973576619787</v>
      </c>
      <c r="CO90" s="45">
        <v>42398.636189885787</v>
      </c>
      <c r="CP90" s="55">
        <v>1.0871438478920992</v>
      </c>
      <c r="CQ90" s="47">
        <f t="shared" si="138"/>
        <v>1.4095750634894335</v>
      </c>
      <c r="CR90" s="45">
        <v>174506.17083057645</v>
      </c>
      <c r="CS90" s="55">
        <v>3.0310379792770132</v>
      </c>
    </row>
    <row r="91" spans="1:97" s="23" customFormat="1" ht="15" customHeight="1">
      <c r="A91" s="377" t="str">
        <f t="shared" si="124"/>
        <v>BNI - Efficient Product Rebates; LED Low Bay Fixture; COM-Lighting; Retail</v>
      </c>
      <c r="B91" s="42" t="s">
        <v>81</v>
      </c>
      <c r="C91" s="15" t="s">
        <v>73</v>
      </c>
      <c r="D91" s="15" t="s">
        <v>30</v>
      </c>
      <c r="E91" s="43">
        <v>15</v>
      </c>
      <c r="F91" s="44">
        <v>177.56221927685635</v>
      </c>
      <c r="G91" s="44">
        <v>23.941639879853682</v>
      </c>
      <c r="H91" s="45">
        <v>160</v>
      </c>
      <c r="I91" s="46">
        <v>0.25</v>
      </c>
      <c r="J91" s="45">
        <v>5.6819910168594037</v>
      </c>
      <c r="K91" s="45">
        <v>45.681991016859406</v>
      </c>
      <c r="L91" s="45">
        <v>120</v>
      </c>
      <c r="M91" s="45">
        <v>165.6819910168594</v>
      </c>
      <c r="N91" s="45">
        <v>167.12787821761219</v>
      </c>
      <c r="O91" s="47">
        <v>0.76</v>
      </c>
      <c r="P91" s="47">
        <v>0.9979195519385059</v>
      </c>
      <c r="Q91" s="310">
        <f t="shared" si="125"/>
        <v>0.9979195519385059</v>
      </c>
      <c r="R91" s="311">
        <f t="shared" si="132"/>
        <v>0</v>
      </c>
      <c r="S91" s="311">
        <f t="shared" si="126"/>
        <v>55.684259449242809</v>
      </c>
      <c r="T91" s="310">
        <f t="shared" si="127"/>
        <v>1.330409928961434</v>
      </c>
      <c r="U91" s="316">
        <f t="shared" si="45"/>
        <v>0.33318354808967293</v>
      </c>
      <c r="V91" s="48">
        <v>0.2572731474235051</v>
      </c>
      <c r="W91" s="49">
        <v>1.9080560582359987</v>
      </c>
      <c r="X91" s="48" t="s">
        <v>74</v>
      </c>
      <c r="Y91" s="48" t="s">
        <v>527</v>
      </c>
      <c r="Z91" s="247">
        <f>0.027*Z3</f>
        <v>3.4020000000000002E-2</v>
      </c>
      <c r="AA91" s="247"/>
      <c r="AB91" s="386">
        <v>0</v>
      </c>
      <c r="AC91" s="387">
        <f t="shared" si="115"/>
        <v>6.0406666997986536</v>
      </c>
      <c r="AD91" s="361">
        <f t="shared" si="116"/>
        <v>0.30203333498993268</v>
      </c>
      <c r="AE91" s="361">
        <f t="shared" si="117"/>
        <v>0.17517933429416097</v>
      </c>
      <c r="AF91" s="361">
        <f t="shared" si="118"/>
        <v>2.4162666799194616E-2</v>
      </c>
      <c r="AG91" s="361">
        <f t="shared" si="119"/>
        <v>0</v>
      </c>
      <c r="AH91" s="361">
        <f t="shared" si="120"/>
        <v>0.44096866908530169</v>
      </c>
      <c r="AI91" s="361">
        <f t="shared" si="121"/>
        <v>4.4519713577516073</v>
      </c>
      <c r="AJ91" s="361" t="s">
        <v>40</v>
      </c>
      <c r="AK91" s="361">
        <f t="shared" si="139"/>
        <v>0</v>
      </c>
      <c r="AL91" s="361">
        <f t="shared" si="122"/>
        <v>0.50137533608328833</v>
      </c>
      <c r="AM91" s="361">
        <f t="shared" si="123"/>
        <v>0.13893533409536904</v>
      </c>
      <c r="AN91" s="361">
        <f t="shared" si="128"/>
        <v>6.0346260330988555</v>
      </c>
      <c r="AO91" s="294" t="s">
        <v>617</v>
      </c>
      <c r="AP91" s="282" t="s">
        <v>420</v>
      </c>
      <c r="AQ91" s="136" t="s">
        <v>74</v>
      </c>
      <c r="AR91" s="294"/>
      <c r="AS91" s="142"/>
      <c r="AT91" s="142" t="s">
        <v>217</v>
      </c>
      <c r="AU91" s="146" t="s">
        <v>227</v>
      </c>
      <c r="AV91" s="61" t="s">
        <v>212</v>
      </c>
      <c r="AW91" s="131" t="s">
        <v>284</v>
      </c>
      <c r="AX91" s="131"/>
      <c r="AY91" s="131"/>
      <c r="AZ91" s="48"/>
      <c r="BA91" s="48"/>
      <c r="BB91" s="50"/>
      <c r="BC91" s="51" t="s">
        <v>81</v>
      </c>
      <c r="BD91" s="52">
        <v>72.026138516561389</v>
      </c>
      <c r="BE91" s="53">
        <v>534.17898962320635</v>
      </c>
      <c r="BF91" s="54">
        <v>72.026138516561389</v>
      </c>
      <c r="BG91" s="53">
        <v>534.17898962320635</v>
      </c>
      <c r="BH91" s="450">
        <v>502788.27043130284</v>
      </c>
      <c r="BI91" s="347">
        <f t="shared" si="129"/>
        <v>167520.77988017153</v>
      </c>
      <c r="BJ91" s="347">
        <f t="shared" si="133"/>
        <v>670309.05031147436</v>
      </c>
      <c r="BK91" s="45">
        <v>503836.47605121357</v>
      </c>
      <c r="BL91" s="47">
        <v>3958.4270486818273</v>
      </c>
      <c r="BM91" s="45">
        <v>-1048.2056199107319</v>
      </c>
      <c r="BN91" s="55">
        <v>0.99791955193850601</v>
      </c>
      <c r="BO91" s="47">
        <f t="shared" si="134"/>
        <v>1.3304099289614342</v>
      </c>
      <c r="BP91" s="45">
        <v>180828.82887877652</v>
      </c>
      <c r="BQ91" s="55">
        <v>2.7804652253118363</v>
      </c>
      <c r="BR91" s="54">
        <v>79.756078270128953</v>
      </c>
      <c r="BS91" s="53">
        <v>591.50778014915591</v>
      </c>
      <c r="BT91" s="54">
        <v>151.78221678669036</v>
      </c>
      <c r="BU91" s="53">
        <v>1125.6867697723624</v>
      </c>
      <c r="BV91" s="450">
        <v>589528.77762529254</v>
      </c>
      <c r="BW91" s="347">
        <f t="shared" si="130"/>
        <v>183375.29179730426</v>
      </c>
      <c r="BX91" s="347">
        <f t="shared" si="135"/>
        <v>772904.06942259683</v>
      </c>
      <c r="BY91" s="45">
        <v>551805.77721884719</v>
      </c>
      <c r="BZ91" s="47">
        <v>4333.0607440437898</v>
      </c>
      <c r="CA91" s="45">
        <v>37723.000406445353</v>
      </c>
      <c r="CB91" s="55">
        <v>1.0683628225071742</v>
      </c>
      <c r="CC91" s="47">
        <f t="shared" si="136"/>
        <v>1.4006813653131827</v>
      </c>
      <c r="CD91" s="45">
        <v>198228.02050487394</v>
      </c>
      <c r="CE91" s="55">
        <v>2.9739931626406846</v>
      </c>
      <c r="CF91" s="52">
        <v>101.98641206301404</v>
      </c>
      <c r="CG91" s="53">
        <v>756.3781659430507</v>
      </c>
      <c r="CH91" s="54">
        <v>253.76862884970438</v>
      </c>
      <c r="CI91" s="53">
        <v>1882.064935715413</v>
      </c>
      <c r="CJ91" s="450">
        <v>801651.18556359131</v>
      </c>
      <c r="CK91" s="347">
        <f t="shared" si="131"/>
        <v>231832.73446902848</v>
      </c>
      <c r="CL91" s="347">
        <f t="shared" si="137"/>
        <v>1033483.9200326197</v>
      </c>
      <c r="CM91" s="45">
        <v>697982.56182749523</v>
      </c>
      <c r="CN91" s="47">
        <v>5478.0843758517876</v>
      </c>
      <c r="CO91" s="45">
        <v>103668.62373609608</v>
      </c>
      <c r="CP91" s="55">
        <v>1.148526094211674</v>
      </c>
      <c r="CQ91" s="47">
        <f t="shared" si="138"/>
        <v>1.4806729803201628</v>
      </c>
      <c r="CR91" s="45">
        <v>250970.87675798943</v>
      </c>
      <c r="CS91" s="55">
        <v>3.1942000439223133</v>
      </c>
    </row>
    <row r="92" spans="1:97" s="23" customFormat="1" ht="15" customHeight="1">
      <c r="A92" s="377" t="str">
        <f t="shared" si="124"/>
        <v>BNI - Efficient Product Rebates; LED Low Bay Fixture; COM-Lighting; School</v>
      </c>
      <c r="B92" s="42" t="s">
        <v>81</v>
      </c>
      <c r="C92" s="15" t="s">
        <v>73</v>
      </c>
      <c r="D92" s="15" t="s">
        <v>59</v>
      </c>
      <c r="E92" s="43">
        <v>15</v>
      </c>
      <c r="F92" s="44">
        <v>179.83466736431882</v>
      </c>
      <c r="G92" s="44">
        <v>23.181068502286497</v>
      </c>
      <c r="H92" s="45">
        <v>160</v>
      </c>
      <c r="I92" s="46">
        <v>0.25</v>
      </c>
      <c r="J92" s="45">
        <v>5.7547093556582025</v>
      </c>
      <c r="K92" s="45">
        <v>45.7547093556582</v>
      </c>
      <c r="L92" s="45">
        <v>120</v>
      </c>
      <c r="M92" s="45">
        <v>165.75470935565821</v>
      </c>
      <c r="N92" s="45">
        <v>167.59544222801833</v>
      </c>
      <c r="O92" s="47">
        <v>0.76</v>
      </c>
      <c r="P92" s="47">
        <v>1.0001399770587669</v>
      </c>
      <c r="Q92" s="310">
        <f t="shared" si="125"/>
        <v>1.0001399770587669</v>
      </c>
      <c r="R92" s="311">
        <f t="shared" si="132"/>
        <v>0</v>
      </c>
      <c r="S92" s="311">
        <f t="shared" si="126"/>
        <v>56.396908735800181</v>
      </c>
      <c r="T92" s="310">
        <f t="shared" si="127"/>
        <v>1.3366933001047974</v>
      </c>
      <c r="U92" s="316">
        <f t="shared" ref="U92:U143" si="140">(T92-Q92)/Q92</f>
        <v>0.33650621989511281</v>
      </c>
      <c r="V92" s="48">
        <v>0.25442652424165707</v>
      </c>
      <c r="W92" s="49">
        <v>1.9737963912726939</v>
      </c>
      <c r="X92" s="48" t="s">
        <v>74</v>
      </c>
      <c r="Y92" s="48" t="s">
        <v>527</v>
      </c>
      <c r="Z92" s="247">
        <f>0.027*Z3</f>
        <v>3.4020000000000002E-2</v>
      </c>
      <c r="AA92" s="247"/>
      <c r="AB92" s="386">
        <v>0</v>
      </c>
      <c r="AC92" s="387">
        <f t="shared" ref="AC92:AC121" si="141">Z92*F92</f>
        <v>6.1179753837341266</v>
      </c>
      <c r="AD92" s="361">
        <f t="shared" ref="AD92:AD121" si="142">AC92*0.05</f>
        <v>0.30589876918670633</v>
      </c>
      <c r="AE92" s="361">
        <f t="shared" ref="AE92:AE121" si="143">AC92*0.029</f>
        <v>0.17742128612828967</v>
      </c>
      <c r="AF92" s="361">
        <f t="shared" ref="AF92:AF121" si="144">AC92*0.004</f>
        <v>2.4471901534936506E-2</v>
      </c>
      <c r="AG92" s="361">
        <f t="shared" ref="AG92:AG121" si="145">AC92*0</f>
        <v>0</v>
      </c>
      <c r="AH92" s="361">
        <f t="shared" ref="AH92:AH121" si="146">AC92*0.073</f>
        <v>0.44661220301259119</v>
      </c>
      <c r="AI92" s="361">
        <f t="shared" ref="AI92:AI121" si="147">AC92*0.737</f>
        <v>4.5089478578120517</v>
      </c>
      <c r="AJ92" s="361" t="s">
        <v>40</v>
      </c>
      <c r="AK92" s="361">
        <f t="shared" si="139"/>
        <v>0</v>
      </c>
      <c r="AL92" s="361">
        <f t="shared" ref="AL92:AL121" si="148">AC92*0.083</f>
        <v>0.5077919568499325</v>
      </c>
      <c r="AM92" s="361">
        <f t="shared" ref="AM92:AM121" si="149">AC92*0.023</f>
        <v>0.14071343382588491</v>
      </c>
      <c r="AN92" s="361">
        <f t="shared" si="128"/>
        <v>6.1118574083503932</v>
      </c>
      <c r="AO92" s="294" t="s">
        <v>617</v>
      </c>
      <c r="AP92" s="282" t="s">
        <v>420</v>
      </c>
      <c r="AQ92" s="136" t="s">
        <v>74</v>
      </c>
      <c r="AR92" s="294"/>
      <c r="AS92" s="142"/>
      <c r="AT92" s="142" t="s">
        <v>217</v>
      </c>
      <c r="AU92" s="146" t="s">
        <v>227</v>
      </c>
      <c r="AV92" s="61" t="s">
        <v>212</v>
      </c>
      <c r="AW92" s="131" t="s">
        <v>284</v>
      </c>
      <c r="AX92" s="131"/>
      <c r="AY92" s="131"/>
      <c r="AZ92" s="48"/>
      <c r="BA92" s="48"/>
      <c r="BB92" s="50"/>
      <c r="BC92" s="51" t="s">
        <v>81</v>
      </c>
      <c r="BD92" s="52">
        <v>69.521943360829795</v>
      </c>
      <c r="BE92" s="53">
        <v>539.33905408987687</v>
      </c>
      <c r="BF92" s="54">
        <v>69.521943360829795</v>
      </c>
      <c r="BG92" s="53">
        <v>539.33905408987687</v>
      </c>
      <c r="BH92" s="450">
        <v>502632.60474642238</v>
      </c>
      <c r="BI92" s="347">
        <f t="shared" si="129"/>
        <v>169138.99781925284</v>
      </c>
      <c r="BJ92" s="347">
        <f t="shared" si="133"/>
        <v>671771.60256567528</v>
      </c>
      <c r="BK92" s="45">
        <v>502562.25755976181</v>
      </c>
      <c r="BL92" s="47">
        <v>3946.1615522695524</v>
      </c>
      <c r="BM92" s="45">
        <v>70.347186660568696</v>
      </c>
      <c r="BN92" s="55">
        <v>1.0001399770587671</v>
      </c>
      <c r="BO92" s="47">
        <f t="shared" si="134"/>
        <v>1.3366933001047976</v>
      </c>
      <c r="BP92" s="45">
        <v>180555.47489456637</v>
      </c>
      <c r="BQ92" s="55">
        <v>2.7838125929990758</v>
      </c>
      <c r="BR92" s="54">
        <v>76.995463096366009</v>
      </c>
      <c r="BS92" s="53">
        <v>597.31731059467347</v>
      </c>
      <c r="BT92" s="54">
        <v>146.51740645719579</v>
      </c>
      <c r="BU92" s="53">
        <v>1136.6563646845502</v>
      </c>
      <c r="BV92" s="450">
        <v>589122.74466220883</v>
      </c>
      <c r="BW92" s="347">
        <f t="shared" si="130"/>
        <v>185176.32362884411</v>
      </c>
      <c r="BX92" s="347">
        <f t="shared" si="135"/>
        <v>774299.06829105294</v>
      </c>
      <c r="BY92" s="45">
        <v>550501.90080511675</v>
      </c>
      <c r="BZ92" s="47">
        <v>4320.326465902649</v>
      </c>
      <c r="CA92" s="45">
        <v>38620.843857092084</v>
      </c>
      <c r="CB92" s="55">
        <v>1.0701556957398486</v>
      </c>
      <c r="CC92" s="47">
        <f t="shared" si="136"/>
        <v>1.4065329604832058</v>
      </c>
      <c r="CD92" s="45">
        <v>197963.26118746065</v>
      </c>
      <c r="CE92" s="55">
        <v>2.9759195778470278</v>
      </c>
      <c r="CF92" s="52">
        <v>98.467787595407032</v>
      </c>
      <c r="CG92" s="53">
        <v>763.89584140928514</v>
      </c>
      <c r="CH92" s="54">
        <v>244.98519405260279</v>
      </c>
      <c r="CI92" s="53">
        <v>1900.5522060938354</v>
      </c>
      <c r="CJ92" s="450">
        <v>800816.5075895536</v>
      </c>
      <c r="CK92" s="347">
        <f t="shared" si="131"/>
        <v>234136.93009320393</v>
      </c>
      <c r="CL92" s="347">
        <f t="shared" si="137"/>
        <v>1034953.4376827575</v>
      </c>
      <c r="CM92" s="45">
        <v>696418.68439103127</v>
      </c>
      <c r="CN92" s="47">
        <v>5462.6204684479599</v>
      </c>
      <c r="CO92" s="45">
        <v>104397.82319852232</v>
      </c>
      <c r="CP92" s="55">
        <v>1.1499066948351777</v>
      </c>
      <c r="CQ92" s="47">
        <f t="shared" si="138"/>
        <v>1.4861080853793445</v>
      </c>
      <c r="CR92" s="45">
        <v>250668.85416567777</v>
      </c>
      <c r="CS92" s="55">
        <v>3.1947188263774473</v>
      </c>
    </row>
    <row r="93" spans="1:97" s="23" customFormat="1" ht="15" customHeight="1">
      <c r="A93" s="377" t="str">
        <f t="shared" si="124"/>
        <v xml:space="preserve">BNI - Efficient Product Rebates; LED Linear Replacement Lamps; IND; Industrial </v>
      </c>
      <c r="B93" s="149" t="s">
        <v>82</v>
      </c>
      <c r="C93" s="15" t="s">
        <v>69</v>
      </c>
      <c r="D93" s="15" t="s">
        <v>70</v>
      </c>
      <c r="E93" s="43">
        <v>10</v>
      </c>
      <c r="F93" s="44">
        <v>142.96374557214355</v>
      </c>
      <c r="G93" s="44">
        <v>25.787111394052545</v>
      </c>
      <c r="H93" s="45">
        <v>84</v>
      </c>
      <c r="I93" s="46">
        <v>0.23809523809523808</v>
      </c>
      <c r="J93" s="45">
        <v>4.5748398583085939</v>
      </c>
      <c r="K93" s="45">
        <v>24.574839858308593</v>
      </c>
      <c r="L93" s="45">
        <v>64</v>
      </c>
      <c r="M93" s="45">
        <v>88.574839858308593</v>
      </c>
      <c r="N93" s="45">
        <v>101.46802935069084</v>
      </c>
      <c r="O93" s="47">
        <v>0.76</v>
      </c>
      <c r="P93" s="47">
        <v>1.1271779991919366</v>
      </c>
      <c r="Q93" s="310">
        <f t="shared" si="125"/>
        <v>1.1271779991919366</v>
      </c>
      <c r="R93" s="311">
        <f t="shared" si="132"/>
        <v>0</v>
      </c>
      <c r="S93" s="311">
        <f t="shared" si="126"/>
        <v>34.462126778829287</v>
      </c>
      <c r="T93" s="310">
        <f t="shared" si="127"/>
        <v>1.5100074614278185</v>
      </c>
      <c r="U93" s="316">
        <f t="shared" si="140"/>
        <v>0.33963532158215359</v>
      </c>
      <c r="V93" s="48">
        <v>0.17189560723916145</v>
      </c>
      <c r="W93" s="49">
        <v>0.95298924655735007</v>
      </c>
      <c r="X93" s="48" t="s">
        <v>74</v>
      </c>
      <c r="Y93" s="48" t="s">
        <v>527</v>
      </c>
      <c r="Z93" s="247">
        <f>0.027*Z3</f>
        <v>3.4020000000000002E-2</v>
      </c>
      <c r="AA93" s="247"/>
      <c r="AB93" s="386">
        <v>0</v>
      </c>
      <c r="AC93" s="387">
        <f t="shared" si="141"/>
        <v>4.8636266243643238</v>
      </c>
      <c r="AD93" s="361">
        <f t="shared" si="142"/>
        <v>0.2431813312182162</v>
      </c>
      <c r="AE93" s="361">
        <f t="shared" si="143"/>
        <v>0.14104517210656539</v>
      </c>
      <c r="AF93" s="361">
        <f t="shared" si="144"/>
        <v>1.9454506497457294E-2</v>
      </c>
      <c r="AG93" s="361">
        <f t="shared" si="145"/>
        <v>0</v>
      </c>
      <c r="AH93" s="361">
        <f t="shared" si="146"/>
        <v>0.35504474357859561</v>
      </c>
      <c r="AI93" s="361">
        <f t="shared" si="147"/>
        <v>3.5844928221565064</v>
      </c>
      <c r="AJ93" s="361" t="s">
        <v>40</v>
      </c>
      <c r="AK93" s="361">
        <f t="shared" si="139"/>
        <v>0</v>
      </c>
      <c r="AL93" s="361">
        <f t="shared" si="148"/>
        <v>0.40368100982223892</v>
      </c>
      <c r="AM93" s="361">
        <f t="shared" si="149"/>
        <v>0.11186341236037944</v>
      </c>
      <c r="AN93" s="361">
        <f t="shared" si="128"/>
        <v>4.8587629977399587</v>
      </c>
      <c r="AO93" s="294" t="s">
        <v>617</v>
      </c>
      <c r="AP93" s="282" t="s">
        <v>420</v>
      </c>
      <c r="AQ93" s="136" t="s">
        <v>74</v>
      </c>
      <c r="AR93" s="294"/>
      <c r="AS93" s="142"/>
      <c r="AT93" s="142" t="s">
        <v>217</v>
      </c>
      <c r="AU93" s="146" t="s">
        <v>227</v>
      </c>
      <c r="AV93" s="48"/>
      <c r="AW93" s="131" t="s">
        <v>284</v>
      </c>
      <c r="AX93" s="131"/>
      <c r="AY93" s="131">
        <v>17.07</v>
      </c>
      <c r="AZ93" s="48"/>
      <c r="BA93" s="48"/>
      <c r="BB93" s="50"/>
      <c r="BC93" s="51" t="s">
        <v>82</v>
      </c>
      <c r="BD93" s="52">
        <v>34.809493562697931</v>
      </c>
      <c r="BE93" s="53">
        <v>192.98383231634384</v>
      </c>
      <c r="BF93" s="54">
        <v>34.809493562697931</v>
      </c>
      <c r="BG93" s="53">
        <v>192.98383231634384</v>
      </c>
      <c r="BH93" s="450">
        <v>136969.61480211152</v>
      </c>
      <c r="BI93" s="347">
        <f t="shared" si="129"/>
        <v>46519.719170298857</v>
      </c>
      <c r="BJ93" s="347">
        <f t="shared" si="133"/>
        <v>183489.33397241039</v>
      </c>
      <c r="BK93" s="45">
        <v>121515.51476368752</v>
      </c>
      <c r="BL93" s="47">
        <v>1776.157263765489</v>
      </c>
      <c r="BM93" s="45">
        <v>15454.100038424003</v>
      </c>
      <c r="BN93" s="55">
        <v>1.1271779991919366</v>
      </c>
      <c r="BO93" s="47">
        <f t="shared" si="134"/>
        <v>1.5100074614278185</v>
      </c>
      <c r="BP93" s="45">
        <v>43648.780320208476</v>
      </c>
      <c r="BQ93" s="55">
        <v>3.1379940927856222</v>
      </c>
      <c r="BR93" s="54">
        <v>32.76139737413699</v>
      </c>
      <c r="BS93" s="53">
        <v>181.62918704668269</v>
      </c>
      <c r="BT93" s="54">
        <v>67.570890936834914</v>
      </c>
      <c r="BU93" s="53">
        <v>374.61301936302652</v>
      </c>
      <c r="BV93" s="450">
        <v>138685.06081104887</v>
      </c>
      <c r="BW93" s="347">
        <f t="shared" si="130"/>
        <v>43281.297300297294</v>
      </c>
      <c r="BX93" s="347">
        <f t="shared" si="135"/>
        <v>181966.35811134617</v>
      </c>
      <c r="BY93" s="45">
        <v>113143.90588425178</v>
      </c>
      <c r="BZ93" s="47">
        <v>1652.5119230340963</v>
      </c>
      <c r="CA93" s="45">
        <v>25541.154926797084</v>
      </c>
      <c r="CB93" s="55">
        <v>1.2257404384901307</v>
      </c>
      <c r="CC93" s="47">
        <f t="shared" si="136"/>
        <v>1.608273611284915</v>
      </c>
      <c r="CD93" s="45">
        <v>40697.783178436985</v>
      </c>
      <c r="CE93" s="55">
        <v>3.407680959009304</v>
      </c>
      <c r="CF93" s="52">
        <v>35.511483218843694</v>
      </c>
      <c r="CG93" s="53">
        <v>196.87566297011165</v>
      </c>
      <c r="CH93" s="54">
        <v>103.08237415567861</v>
      </c>
      <c r="CI93" s="53">
        <v>571.48868233313817</v>
      </c>
      <c r="CJ93" s="450">
        <v>162264.97512743459</v>
      </c>
      <c r="CK93" s="347">
        <f t="shared" si="131"/>
        <v>46383.346752820129</v>
      </c>
      <c r="CL93" s="347">
        <f t="shared" si="137"/>
        <v>208648.32188025472</v>
      </c>
      <c r="CM93" s="45">
        <v>121346.97922459712</v>
      </c>
      <c r="CN93" s="47">
        <v>1770.9504640641537</v>
      </c>
      <c r="CO93" s="45">
        <v>40917.995902837472</v>
      </c>
      <c r="CP93" s="55">
        <v>1.3371983065775679</v>
      </c>
      <c r="CQ93" s="47">
        <f t="shared" si="138"/>
        <v>1.7194356482008046</v>
      </c>
      <c r="CR93" s="45">
        <v>43708.510880024623</v>
      </c>
      <c r="CS93" s="55">
        <v>3.7124343030773868</v>
      </c>
    </row>
    <row r="94" spans="1:97" s="23" customFormat="1" ht="15" customHeight="1">
      <c r="A94" s="377" t="str">
        <f t="shared" si="124"/>
        <v>BNI - Efficient Product Rebates; LED Linear Replacement Lamps; COM-Lighting; Office</v>
      </c>
      <c r="B94" s="149" t="s">
        <v>82</v>
      </c>
      <c r="C94" s="15" t="s">
        <v>73</v>
      </c>
      <c r="D94" s="15" t="s">
        <v>66</v>
      </c>
      <c r="E94" s="43">
        <v>10</v>
      </c>
      <c r="F94" s="44">
        <v>154.51927757938296</v>
      </c>
      <c r="G94" s="44">
        <v>17.659340237075604</v>
      </c>
      <c r="H94" s="45">
        <v>84</v>
      </c>
      <c r="I94" s="46">
        <v>0.23809523809523808</v>
      </c>
      <c r="J94" s="45">
        <v>4.944616882540255</v>
      </c>
      <c r="K94" s="45">
        <v>24.944616882540256</v>
      </c>
      <c r="L94" s="45">
        <v>64</v>
      </c>
      <c r="M94" s="45">
        <v>88.944616882540259</v>
      </c>
      <c r="N94" s="45">
        <v>98.255624666244529</v>
      </c>
      <c r="O94" s="47">
        <v>0.76</v>
      </c>
      <c r="P94" s="47">
        <v>1.0856246371752427</v>
      </c>
      <c r="Q94" s="310">
        <f t="shared" si="125"/>
        <v>1.0856246371752427</v>
      </c>
      <c r="R94" s="311">
        <f t="shared" si="132"/>
        <v>0</v>
      </c>
      <c r="S94" s="311">
        <f t="shared" si="126"/>
        <v>37.247645634932198</v>
      </c>
      <c r="T94" s="310">
        <f t="shared" si="127"/>
        <v>1.4971732066888135</v>
      </c>
      <c r="U94" s="316">
        <f t="shared" si="140"/>
        <v>0.37908919475557018</v>
      </c>
      <c r="V94" s="48">
        <v>0.16143368823171705</v>
      </c>
      <c r="W94" s="49">
        <v>1.4125452337210926</v>
      </c>
      <c r="X94" s="48" t="s">
        <v>74</v>
      </c>
      <c r="Y94" s="48" t="s">
        <v>527</v>
      </c>
      <c r="Z94" s="247">
        <f>0.027*Z3</f>
        <v>3.4020000000000002E-2</v>
      </c>
      <c r="AA94" s="247"/>
      <c r="AB94" s="386">
        <v>0</v>
      </c>
      <c r="AC94" s="387">
        <f t="shared" si="141"/>
        <v>5.2567458232506086</v>
      </c>
      <c r="AD94" s="361">
        <f t="shared" si="142"/>
        <v>0.26283729116253046</v>
      </c>
      <c r="AE94" s="361">
        <f t="shared" si="143"/>
        <v>0.15244562887426766</v>
      </c>
      <c r="AF94" s="361">
        <f t="shared" si="144"/>
        <v>2.1026983293002434E-2</v>
      </c>
      <c r="AG94" s="361">
        <f t="shared" si="145"/>
        <v>0</v>
      </c>
      <c r="AH94" s="361">
        <f t="shared" si="146"/>
        <v>0.38374244509729438</v>
      </c>
      <c r="AI94" s="361">
        <f t="shared" si="147"/>
        <v>3.8742216717356985</v>
      </c>
      <c r="AJ94" s="361" t="s">
        <v>40</v>
      </c>
      <c r="AK94" s="361">
        <f t="shared" si="139"/>
        <v>0</v>
      </c>
      <c r="AL94" s="361">
        <f t="shared" si="148"/>
        <v>0.43630990332980052</v>
      </c>
      <c r="AM94" s="361">
        <f t="shared" si="149"/>
        <v>0.12090515393476399</v>
      </c>
      <c r="AN94" s="361">
        <f t="shared" si="128"/>
        <v>5.2514890774273582</v>
      </c>
      <c r="AO94" s="294" t="s">
        <v>617</v>
      </c>
      <c r="AP94" s="282" t="s">
        <v>420</v>
      </c>
      <c r="AQ94" s="136" t="s">
        <v>74</v>
      </c>
      <c r="AR94" s="294"/>
      <c r="AS94" s="142"/>
      <c r="AT94" s="142" t="s">
        <v>217</v>
      </c>
      <c r="AU94" s="146" t="s">
        <v>227</v>
      </c>
      <c r="AV94" s="48"/>
      <c r="AW94" s="131" t="s">
        <v>284</v>
      </c>
      <c r="AX94" s="131"/>
      <c r="AY94" s="131">
        <v>17.07</v>
      </c>
      <c r="AZ94" s="48"/>
      <c r="BA94" s="48"/>
      <c r="BB94" s="50"/>
      <c r="BC94" s="51" t="s">
        <v>82</v>
      </c>
      <c r="BD94" s="52">
        <v>22.038881327891186</v>
      </c>
      <c r="BE94" s="53">
        <v>192.84027464932288</v>
      </c>
      <c r="BF94" s="54">
        <v>22.038881327891186</v>
      </c>
      <c r="BG94" s="53">
        <v>192.84027464932288</v>
      </c>
      <c r="BH94" s="450">
        <v>122623.15707983548</v>
      </c>
      <c r="BI94" s="347">
        <f t="shared" si="129"/>
        <v>46485.113875780655</v>
      </c>
      <c r="BJ94" s="347">
        <f t="shared" si="133"/>
        <v>169108.27095561614</v>
      </c>
      <c r="BK94" s="45">
        <v>112951.70805896286</v>
      </c>
      <c r="BL94" s="47">
        <v>1642.1071044394175</v>
      </c>
      <c r="BM94" s="45">
        <v>9671.4490208726202</v>
      </c>
      <c r="BN94" s="55">
        <v>1.0856246371752425</v>
      </c>
      <c r="BO94" s="47">
        <f t="shared" si="134"/>
        <v>1.4971732066888137</v>
      </c>
      <c r="BP94" s="45">
        <v>40961.732600338786</v>
      </c>
      <c r="BQ94" s="55">
        <v>2.9936027920562442</v>
      </c>
      <c r="BR94" s="54">
        <v>24.555236897123056</v>
      </c>
      <c r="BS94" s="53">
        <v>214.85839307677298</v>
      </c>
      <c r="BT94" s="54">
        <v>46.594118225014242</v>
      </c>
      <c r="BU94" s="53">
        <v>407.69866772609589</v>
      </c>
      <c r="BV94" s="450">
        <v>145519.25533657006</v>
      </c>
      <c r="BW94" s="347">
        <f t="shared" si="130"/>
        <v>51199.645494365468</v>
      </c>
      <c r="BX94" s="347">
        <f t="shared" si="135"/>
        <v>196718.90083093551</v>
      </c>
      <c r="BY94" s="45">
        <v>124510.88573103155</v>
      </c>
      <c r="BZ94" s="47">
        <v>1808.6500085973</v>
      </c>
      <c r="CA94" s="45">
        <v>21008.369605538508</v>
      </c>
      <c r="CB94" s="55">
        <v>1.1687271717825605</v>
      </c>
      <c r="CC94" s="47">
        <f t="shared" si="136"/>
        <v>1.579933350212348</v>
      </c>
      <c r="CD94" s="45">
        <v>45219.669354125916</v>
      </c>
      <c r="CE94" s="55">
        <v>3.2180521754145168</v>
      </c>
      <c r="CF94" s="52">
        <v>31.54828423658466</v>
      </c>
      <c r="CG94" s="53">
        <v>276.04757729688373</v>
      </c>
      <c r="CH94" s="54">
        <v>78.142402461598905</v>
      </c>
      <c r="CI94" s="53">
        <v>683.74624502297956</v>
      </c>
      <c r="CJ94" s="450">
        <v>200078.35320739998</v>
      </c>
      <c r="CK94" s="347">
        <f t="shared" si="131"/>
        <v>65036.024792871911</v>
      </c>
      <c r="CL94" s="347">
        <f t="shared" si="137"/>
        <v>265114.37800027191</v>
      </c>
      <c r="CM94" s="45">
        <v>158290.74425889115</v>
      </c>
      <c r="CN94" s="47">
        <v>2297.4261963143263</v>
      </c>
      <c r="CO94" s="45">
        <v>41787.608948508831</v>
      </c>
      <c r="CP94" s="55">
        <v>1.2639927504552222</v>
      </c>
      <c r="CQ94" s="47">
        <f t="shared" si="138"/>
        <v>1.6748571070375804</v>
      </c>
      <c r="CR94" s="45">
        <v>57571.5798124711</v>
      </c>
      <c r="CS94" s="55">
        <v>3.4752972535948925</v>
      </c>
    </row>
    <row r="95" spans="1:97" s="23" customFormat="1" ht="15" customHeight="1">
      <c r="A95" s="377" t="str">
        <f t="shared" si="124"/>
        <v>BNI - Efficient Product Rebates; LED Linear Replacement Lamps; COM-Lighting; Other Commercial</v>
      </c>
      <c r="B95" s="149" t="s">
        <v>82</v>
      </c>
      <c r="C95" s="15" t="s">
        <v>73</v>
      </c>
      <c r="D95" s="15" t="s">
        <v>56</v>
      </c>
      <c r="E95" s="43">
        <v>10</v>
      </c>
      <c r="F95" s="44">
        <v>140.82693968693931</v>
      </c>
      <c r="G95" s="44">
        <v>17.073125803416566</v>
      </c>
      <c r="H95" s="45">
        <v>84</v>
      </c>
      <c r="I95" s="46">
        <v>0.23809523809523808</v>
      </c>
      <c r="J95" s="45">
        <v>4.5064620699820583</v>
      </c>
      <c r="K95" s="45">
        <v>24.506462069982057</v>
      </c>
      <c r="L95" s="45">
        <v>64</v>
      </c>
      <c r="M95" s="45">
        <v>88.506462069982064</v>
      </c>
      <c r="N95" s="45">
        <v>90.64274121640824</v>
      </c>
      <c r="O95" s="47">
        <v>0.76</v>
      </c>
      <c r="P95" s="47">
        <v>1.0079304946894427</v>
      </c>
      <c r="Q95" s="310">
        <f t="shared" si="125"/>
        <v>1.0079304946894427</v>
      </c>
      <c r="R95" s="311">
        <f t="shared" si="132"/>
        <v>0</v>
      </c>
      <c r="S95" s="311">
        <f t="shared" si="126"/>
        <v>33.947039019880663</v>
      </c>
      <c r="T95" s="310">
        <f t="shared" si="127"/>
        <v>1.3854152813736773</v>
      </c>
      <c r="U95" s="316">
        <f t="shared" si="140"/>
        <v>0.37451469984598773</v>
      </c>
      <c r="V95" s="48">
        <v>0.17401828176100637</v>
      </c>
      <c r="W95" s="49">
        <v>1.4353822698991638</v>
      </c>
      <c r="X95" s="48" t="s">
        <v>74</v>
      </c>
      <c r="Y95" s="48" t="s">
        <v>527</v>
      </c>
      <c r="Z95" s="247">
        <f>0.027*Z3</f>
        <v>3.4020000000000002E-2</v>
      </c>
      <c r="AA95" s="247"/>
      <c r="AB95" s="386">
        <v>0</v>
      </c>
      <c r="AC95" s="387">
        <f t="shared" si="141"/>
        <v>4.790932488149676</v>
      </c>
      <c r="AD95" s="361">
        <f t="shared" si="142"/>
        <v>0.23954662440748381</v>
      </c>
      <c r="AE95" s="361">
        <f t="shared" si="143"/>
        <v>0.13893704215634062</v>
      </c>
      <c r="AF95" s="361">
        <f t="shared" si="144"/>
        <v>1.9163729952598706E-2</v>
      </c>
      <c r="AG95" s="361">
        <f t="shared" si="145"/>
        <v>0</v>
      </c>
      <c r="AH95" s="361">
        <f t="shared" si="146"/>
        <v>0.34973807163492632</v>
      </c>
      <c r="AI95" s="361">
        <f t="shared" si="147"/>
        <v>3.5309172437663112</v>
      </c>
      <c r="AJ95" s="361" t="s">
        <v>40</v>
      </c>
      <c r="AK95" s="361">
        <f t="shared" si="139"/>
        <v>0</v>
      </c>
      <c r="AL95" s="361">
        <f t="shared" si="148"/>
        <v>0.39764739651642311</v>
      </c>
      <c r="AM95" s="361">
        <f t="shared" si="149"/>
        <v>0.11019144722744255</v>
      </c>
      <c r="AN95" s="361">
        <f t="shared" si="128"/>
        <v>4.7861415556615263</v>
      </c>
      <c r="AO95" s="294" t="s">
        <v>617</v>
      </c>
      <c r="AP95" s="282" t="s">
        <v>420</v>
      </c>
      <c r="AQ95" s="136" t="s">
        <v>74</v>
      </c>
      <c r="AR95" s="294"/>
      <c r="AS95" s="142"/>
      <c r="AT95" s="142" t="s">
        <v>217</v>
      </c>
      <c r="AU95" s="146" t="s">
        <v>227</v>
      </c>
      <c r="AV95" s="48"/>
      <c r="AW95" s="131" t="s">
        <v>284</v>
      </c>
      <c r="AX95" s="131"/>
      <c r="AY95" s="131">
        <v>17.07</v>
      </c>
      <c r="AZ95" s="48"/>
      <c r="BA95" s="48"/>
      <c r="BB95" s="50"/>
      <c r="BC95" s="51" t="s">
        <v>82</v>
      </c>
      <c r="BD95" s="52">
        <v>28.955319483017252</v>
      </c>
      <c r="BE95" s="53">
        <v>238.83670028571618</v>
      </c>
      <c r="BF95" s="54">
        <v>28.955319483017252</v>
      </c>
      <c r="BG95" s="53">
        <v>238.83670028571618</v>
      </c>
      <c r="BH95" s="450">
        <v>153726.36276201633</v>
      </c>
      <c r="BI95" s="347">
        <f t="shared" si="129"/>
        <v>57572.782608231959</v>
      </c>
      <c r="BJ95" s="347">
        <f t="shared" si="133"/>
        <v>211299.1453702483</v>
      </c>
      <c r="BK95" s="45">
        <v>152516.82886068599</v>
      </c>
      <c r="BL95" s="47">
        <v>2231.5248550030183</v>
      </c>
      <c r="BM95" s="45">
        <v>1209.5339013303455</v>
      </c>
      <c r="BN95" s="55">
        <v>1.007930494689443</v>
      </c>
      <c r="BO95" s="47">
        <f t="shared" si="134"/>
        <v>1.3854152813736775</v>
      </c>
      <c r="BP95" s="45">
        <v>54686.77921735368</v>
      </c>
      <c r="BQ95" s="55">
        <v>2.8110333971402461</v>
      </c>
      <c r="BR95" s="54">
        <v>32.344038402660289</v>
      </c>
      <c r="BS95" s="53">
        <v>266.78840171446456</v>
      </c>
      <c r="BT95" s="54">
        <v>61.299357885677537</v>
      </c>
      <c r="BU95" s="53">
        <v>505.62510200018073</v>
      </c>
      <c r="BV95" s="450">
        <v>183110.78042111313</v>
      </c>
      <c r="BW95" s="347">
        <f t="shared" si="130"/>
        <v>63574.298374781938</v>
      </c>
      <c r="BX95" s="347">
        <f t="shared" si="135"/>
        <v>246685.07879589507</v>
      </c>
      <c r="BY95" s="45">
        <v>168544.14897171751</v>
      </c>
      <c r="BZ95" s="47">
        <v>2464.1440023504988</v>
      </c>
      <c r="CA95" s="45">
        <v>14566.631449395616</v>
      </c>
      <c r="CB95" s="55">
        <v>1.0864262066542574</v>
      </c>
      <c r="CC95" s="47">
        <f t="shared" si="136"/>
        <v>1.463622916018817</v>
      </c>
      <c r="CD95" s="45">
        <v>60516.075908671643</v>
      </c>
      <c r="CE95" s="55">
        <v>3.0258204563272799</v>
      </c>
      <c r="CF95" s="52">
        <v>41.692359629480919</v>
      </c>
      <c r="CG95" s="53">
        <v>343.89762498980383</v>
      </c>
      <c r="CH95" s="54">
        <v>102.99171751515846</v>
      </c>
      <c r="CI95" s="53">
        <v>849.52272698998456</v>
      </c>
      <c r="CJ95" s="450">
        <v>252850.26022024508</v>
      </c>
      <c r="CK95" s="347">
        <f t="shared" si="131"/>
        <v>81021.303226265009</v>
      </c>
      <c r="CL95" s="347">
        <f t="shared" si="137"/>
        <v>333871.56344651012</v>
      </c>
      <c r="CM95" s="45">
        <v>214962.46541626388</v>
      </c>
      <c r="CN95" s="47">
        <v>3140.39106229156</v>
      </c>
      <c r="CO95" s="45">
        <v>37887.794803981204</v>
      </c>
      <c r="CP95" s="55">
        <v>1.1762530715797914</v>
      </c>
      <c r="CQ95" s="47">
        <f t="shared" si="138"/>
        <v>1.5531621429814959</v>
      </c>
      <c r="CR95" s="45">
        <v>77287.721245401888</v>
      </c>
      <c r="CS95" s="55">
        <v>3.2715450287038705</v>
      </c>
    </row>
    <row r="96" spans="1:97" s="23" customFormat="1" ht="15" customHeight="1">
      <c r="A96" s="377" t="str">
        <f t="shared" si="124"/>
        <v>BNI - Efficient Product Rebates; LED Linear Replacement Lamps; COM-Lighting; Retail</v>
      </c>
      <c r="B96" s="149" t="s">
        <v>82</v>
      </c>
      <c r="C96" s="15" t="s">
        <v>73</v>
      </c>
      <c r="D96" s="15" t="s">
        <v>30</v>
      </c>
      <c r="E96" s="43">
        <v>10</v>
      </c>
      <c r="F96" s="44">
        <v>146.26155127685635</v>
      </c>
      <c r="G96" s="44">
        <v>19.721207603737518</v>
      </c>
      <c r="H96" s="45">
        <v>84</v>
      </c>
      <c r="I96" s="46">
        <v>0.23809523809523808</v>
      </c>
      <c r="J96" s="45">
        <v>4.6803696408594035</v>
      </c>
      <c r="K96" s="45">
        <v>24.680369640859404</v>
      </c>
      <c r="L96" s="45">
        <v>64</v>
      </c>
      <c r="M96" s="45">
        <v>88.680369640859396</v>
      </c>
      <c r="N96" s="45">
        <v>96.364025932695483</v>
      </c>
      <c r="O96" s="47">
        <v>0.76</v>
      </c>
      <c r="P96" s="47">
        <v>1.0688304819823504</v>
      </c>
      <c r="Q96" s="310">
        <f t="shared" si="125"/>
        <v>1.0688304819823504</v>
      </c>
      <c r="R96" s="311">
        <f t="shared" si="132"/>
        <v>0</v>
      </c>
      <c r="S96" s="311">
        <f t="shared" si="126"/>
        <v>35.257079358120855</v>
      </c>
      <c r="T96" s="310">
        <f t="shared" si="127"/>
        <v>1.4598876296979326</v>
      </c>
      <c r="U96" s="316">
        <f t="shared" si="140"/>
        <v>0.36587387271206184</v>
      </c>
      <c r="V96" s="48">
        <v>0.16874133649890183</v>
      </c>
      <c r="W96" s="49">
        <v>1.2514634061345227</v>
      </c>
      <c r="X96" s="48" t="s">
        <v>74</v>
      </c>
      <c r="Y96" s="48" t="s">
        <v>527</v>
      </c>
      <c r="Z96" s="247">
        <f>0.027*Z3</f>
        <v>3.4020000000000002E-2</v>
      </c>
      <c r="AA96" s="247"/>
      <c r="AB96" s="386">
        <v>0</v>
      </c>
      <c r="AC96" s="387">
        <f t="shared" si="141"/>
        <v>4.9758179744386535</v>
      </c>
      <c r="AD96" s="361">
        <f t="shared" si="142"/>
        <v>0.24879089872193269</v>
      </c>
      <c r="AE96" s="361">
        <f t="shared" si="143"/>
        <v>0.14429872125872095</v>
      </c>
      <c r="AF96" s="361">
        <f t="shared" si="144"/>
        <v>1.9903271897754614E-2</v>
      </c>
      <c r="AG96" s="361">
        <f t="shared" si="145"/>
        <v>0</v>
      </c>
      <c r="AH96" s="361">
        <f t="shared" si="146"/>
        <v>0.3632347121340217</v>
      </c>
      <c r="AI96" s="361">
        <f t="shared" si="147"/>
        <v>3.6671778471612875</v>
      </c>
      <c r="AJ96" s="361" t="s">
        <v>40</v>
      </c>
      <c r="AK96" s="361">
        <f t="shared" si="139"/>
        <v>0</v>
      </c>
      <c r="AL96" s="361">
        <f t="shared" si="148"/>
        <v>0.41299289187840826</v>
      </c>
      <c r="AM96" s="361">
        <f t="shared" si="149"/>
        <v>0.11444381341208903</v>
      </c>
      <c r="AN96" s="361">
        <f t="shared" si="128"/>
        <v>4.9708421564642151</v>
      </c>
      <c r="AO96" s="294" t="s">
        <v>617</v>
      </c>
      <c r="AP96" s="282" t="s">
        <v>420</v>
      </c>
      <c r="AQ96" s="136" t="s">
        <v>74</v>
      </c>
      <c r="AR96" s="294"/>
      <c r="AS96" s="142"/>
      <c r="AT96" s="142" t="s">
        <v>217</v>
      </c>
      <c r="AU96" s="146" t="s">
        <v>227</v>
      </c>
      <c r="AV96" s="48"/>
      <c r="AW96" s="131" t="s">
        <v>284</v>
      </c>
      <c r="AX96" s="131"/>
      <c r="AY96" s="131">
        <v>17.07</v>
      </c>
      <c r="AZ96" s="48"/>
      <c r="BA96" s="48"/>
      <c r="BB96" s="50"/>
      <c r="BC96" s="51" t="s">
        <v>82</v>
      </c>
      <c r="BD96" s="52">
        <v>47.822703910453853</v>
      </c>
      <c r="BE96" s="53">
        <v>354.67518017868031</v>
      </c>
      <c r="BF96" s="54">
        <v>47.822703910453853</v>
      </c>
      <c r="BG96" s="53">
        <v>354.67518017868031</v>
      </c>
      <c r="BH96" s="450">
        <v>233676.77945468316</v>
      </c>
      <c r="BI96" s="347">
        <f t="shared" si="129"/>
        <v>85496.228261967291</v>
      </c>
      <c r="BJ96" s="347">
        <f t="shared" si="133"/>
        <v>319173.00771665043</v>
      </c>
      <c r="BK96" s="45">
        <v>218628.47607160761</v>
      </c>
      <c r="BL96" s="47">
        <v>3190.7077737251025</v>
      </c>
      <c r="BM96" s="45">
        <v>15048.303383075545</v>
      </c>
      <c r="BN96" s="55">
        <v>1.0688304819823506</v>
      </c>
      <c r="BO96" s="47">
        <f t="shared" si="134"/>
        <v>1.4598876296979326</v>
      </c>
      <c r="BP96" s="45">
        <v>78747.847271499108</v>
      </c>
      <c r="BQ96" s="55">
        <v>2.9674053012399852</v>
      </c>
      <c r="BR96" s="54">
        <v>53.369370488664771</v>
      </c>
      <c r="BS96" s="53">
        <v>395.81181209522038</v>
      </c>
      <c r="BT96" s="54">
        <v>101.19207439911862</v>
      </c>
      <c r="BU96" s="53">
        <v>750.48699227390068</v>
      </c>
      <c r="BV96" s="450">
        <v>278694.19482075778</v>
      </c>
      <c r="BW96" s="347">
        <f t="shared" si="130"/>
        <v>94319.910763348482</v>
      </c>
      <c r="BX96" s="347">
        <f t="shared" si="135"/>
        <v>373014.10558410629</v>
      </c>
      <c r="BY96" s="45">
        <v>241382.97045299332</v>
      </c>
      <c r="BZ96" s="47">
        <v>3520.0064214241993</v>
      </c>
      <c r="CA96" s="45">
        <v>37311.224367764458</v>
      </c>
      <c r="CB96" s="55">
        <v>1.1545727285472709</v>
      </c>
      <c r="CC96" s="47">
        <f t="shared" si="136"/>
        <v>1.5453207195357912</v>
      </c>
      <c r="CD96" s="45">
        <v>87065.888937756434</v>
      </c>
      <c r="CE96" s="55">
        <v>3.200957323481723</v>
      </c>
      <c r="CF96" s="52">
        <v>68.710001829863998</v>
      </c>
      <c r="CG96" s="53">
        <v>509.58499387060675</v>
      </c>
      <c r="CH96" s="54">
        <v>169.90207622898262</v>
      </c>
      <c r="CI96" s="53">
        <v>1260.0719861445075</v>
      </c>
      <c r="CJ96" s="450">
        <v>385095.77322645206</v>
      </c>
      <c r="CK96" s="347">
        <f t="shared" si="131"/>
        <v>120056.77651646749</v>
      </c>
      <c r="CL96" s="347">
        <f t="shared" si="137"/>
        <v>505152.54974291957</v>
      </c>
      <c r="CM96" s="45">
        <v>307491.50902194344</v>
      </c>
      <c r="CN96" s="47">
        <v>4480.5028000267448</v>
      </c>
      <c r="CO96" s="45">
        <v>77604.264204508625</v>
      </c>
      <c r="CP96" s="55">
        <v>1.2523785598221855</v>
      </c>
      <c r="CQ96" s="47">
        <f t="shared" si="138"/>
        <v>1.6428178825154827</v>
      </c>
      <c r="CR96" s="45">
        <v>111066.26626877097</v>
      </c>
      <c r="CS96" s="55">
        <v>3.4672613581386886</v>
      </c>
    </row>
    <row r="97" spans="1:97" s="23" customFormat="1" ht="15" customHeight="1">
      <c r="A97" s="377" t="str">
        <f t="shared" si="124"/>
        <v>BNI - Efficient Product Rebates; LED Linear Replacement Lamps; COM-Lighting; School</v>
      </c>
      <c r="B97" s="149" t="s">
        <v>82</v>
      </c>
      <c r="C97" s="15" t="s">
        <v>73</v>
      </c>
      <c r="D97" s="15" t="s">
        <v>59</v>
      </c>
      <c r="E97" s="43">
        <v>10</v>
      </c>
      <c r="F97" s="44">
        <v>148.53399936431882</v>
      </c>
      <c r="G97" s="44">
        <v>19.146346278203854</v>
      </c>
      <c r="H97" s="45">
        <v>84</v>
      </c>
      <c r="I97" s="46">
        <v>0.23809523809523808</v>
      </c>
      <c r="J97" s="45">
        <v>4.7530879796582024</v>
      </c>
      <c r="K97" s="45">
        <v>24.753087979658204</v>
      </c>
      <c r="L97" s="45">
        <v>64</v>
      </c>
      <c r="M97" s="45">
        <v>88.753087979658204</v>
      </c>
      <c r="N97" s="45">
        <v>96.876243714496368</v>
      </c>
      <c r="O97" s="47">
        <v>0.76</v>
      </c>
      <c r="P97" s="47">
        <v>1.0733726588435786</v>
      </c>
      <c r="Q97" s="310">
        <f t="shared" si="125"/>
        <v>1.0733726588435786</v>
      </c>
      <c r="R97" s="311">
        <f t="shared" si="132"/>
        <v>0</v>
      </c>
      <c r="S97" s="311">
        <f t="shared" si="126"/>
        <v>35.804864349168959</v>
      </c>
      <c r="T97" s="310">
        <f t="shared" si="127"/>
        <v>1.4700845974202212</v>
      </c>
      <c r="U97" s="316">
        <f t="shared" si="140"/>
        <v>0.36959385476060935</v>
      </c>
      <c r="V97" s="48">
        <v>0.16664930645908702</v>
      </c>
      <c r="W97" s="49">
        <v>1.2928361171361999</v>
      </c>
      <c r="X97" s="48" t="s">
        <v>74</v>
      </c>
      <c r="Y97" s="48" t="s">
        <v>527</v>
      </c>
      <c r="Z97" s="247">
        <f>0.027*Z3</f>
        <v>3.4020000000000002E-2</v>
      </c>
      <c r="AA97" s="247"/>
      <c r="AB97" s="386">
        <v>0</v>
      </c>
      <c r="AC97" s="387">
        <f t="shared" si="141"/>
        <v>5.0531266583741266</v>
      </c>
      <c r="AD97" s="361">
        <f t="shared" si="142"/>
        <v>0.25265633291870632</v>
      </c>
      <c r="AE97" s="361">
        <f t="shared" si="143"/>
        <v>0.14654067309284968</v>
      </c>
      <c r="AF97" s="361">
        <f t="shared" si="144"/>
        <v>2.0212506633496507E-2</v>
      </c>
      <c r="AG97" s="361">
        <f t="shared" si="145"/>
        <v>0</v>
      </c>
      <c r="AH97" s="361">
        <f t="shared" si="146"/>
        <v>0.3688782460613112</v>
      </c>
      <c r="AI97" s="361">
        <f t="shared" si="147"/>
        <v>3.7241543472217313</v>
      </c>
      <c r="AJ97" s="361" t="s">
        <v>40</v>
      </c>
      <c r="AK97" s="361">
        <f t="shared" si="139"/>
        <v>0</v>
      </c>
      <c r="AL97" s="361">
        <f t="shared" si="148"/>
        <v>0.41940951264505255</v>
      </c>
      <c r="AM97" s="361">
        <f t="shared" si="149"/>
        <v>0.11622191314260491</v>
      </c>
      <c r="AN97" s="361">
        <f t="shared" si="128"/>
        <v>5.0480735317157519</v>
      </c>
      <c r="AO97" s="294" t="s">
        <v>617</v>
      </c>
      <c r="AP97" s="282" t="s">
        <v>420</v>
      </c>
      <c r="AQ97" s="136" t="s">
        <v>74</v>
      </c>
      <c r="AR97" s="294"/>
      <c r="AS97" s="142"/>
      <c r="AT97" s="142" t="s">
        <v>217</v>
      </c>
      <c r="AU97" s="146" t="s">
        <v>227</v>
      </c>
      <c r="AV97" s="48"/>
      <c r="AW97" s="131" t="s">
        <v>284</v>
      </c>
      <c r="AX97" s="131"/>
      <c r="AY97" s="131">
        <v>17.07</v>
      </c>
      <c r="AZ97" s="48"/>
      <c r="BA97" s="48"/>
      <c r="BB97" s="50"/>
      <c r="BC97" s="51" t="s">
        <v>82</v>
      </c>
      <c r="BD97" s="52">
        <v>46.263405248312566</v>
      </c>
      <c r="BE97" s="53">
        <v>358.903391064581</v>
      </c>
      <c r="BF97" s="54">
        <v>46.263405248312566</v>
      </c>
      <c r="BG97" s="53">
        <v>358.903391064581</v>
      </c>
      <c r="BH97" s="450">
        <v>234082.51667317515</v>
      </c>
      <c r="BI97" s="347">
        <f t="shared" si="129"/>
        <v>86515.459669303411</v>
      </c>
      <c r="BJ97" s="347">
        <f t="shared" si="133"/>
        <v>320597.97634247853</v>
      </c>
      <c r="BK97" s="45">
        <v>218081.31103820837</v>
      </c>
      <c r="BL97" s="47">
        <v>3179.3482034644949</v>
      </c>
      <c r="BM97" s="45">
        <v>16001.205634966784</v>
      </c>
      <c r="BN97" s="55">
        <v>1.0733726588435784</v>
      </c>
      <c r="BO97" s="47">
        <f t="shared" si="134"/>
        <v>1.470084597420221</v>
      </c>
      <c r="BP97" s="45">
        <v>78698.685798324892</v>
      </c>
      <c r="BQ97" s="55">
        <v>2.9744145572270484</v>
      </c>
      <c r="BR97" s="54">
        <v>51.607321407767742</v>
      </c>
      <c r="BS97" s="53">
        <v>400.36055620188421</v>
      </c>
      <c r="BT97" s="54">
        <v>97.870726656080308</v>
      </c>
      <c r="BU97" s="53">
        <v>759.26394726646527</v>
      </c>
      <c r="BV97" s="450">
        <v>278795.87572146935</v>
      </c>
      <c r="BW97" s="347">
        <f t="shared" si="130"/>
        <v>95403.85299325503</v>
      </c>
      <c r="BX97" s="347">
        <f t="shared" si="135"/>
        <v>374199.72871472436</v>
      </c>
      <c r="BY97" s="45">
        <v>240679.4905456799</v>
      </c>
      <c r="BZ97" s="47">
        <v>3505.9869042725322</v>
      </c>
      <c r="CA97" s="45">
        <v>38116.385175789444</v>
      </c>
      <c r="CB97" s="55">
        <v>1.1583698930447717</v>
      </c>
      <c r="CC97" s="47">
        <f t="shared" si="136"/>
        <v>1.5547636729092333</v>
      </c>
      <c r="CD97" s="45">
        <v>86977.024662372089</v>
      </c>
      <c r="CE97" s="55">
        <v>3.2053967907467609</v>
      </c>
      <c r="CF97" s="52">
        <v>66.40517421625492</v>
      </c>
      <c r="CG97" s="53">
        <v>515.15970522549173</v>
      </c>
      <c r="CH97" s="54">
        <v>164.27590087233523</v>
      </c>
      <c r="CI97" s="53">
        <v>1274.423652491957</v>
      </c>
      <c r="CJ97" s="450">
        <v>384711.40758042369</v>
      </c>
      <c r="CK97" s="347">
        <f t="shared" si="131"/>
        <v>121370.1626705488</v>
      </c>
      <c r="CL97" s="347">
        <f t="shared" si="137"/>
        <v>506081.57025097252</v>
      </c>
      <c r="CM97" s="45">
        <v>306431.3982889835</v>
      </c>
      <c r="CN97" s="47">
        <v>4460.2202902901108</v>
      </c>
      <c r="CO97" s="45">
        <v>78280.00929144019</v>
      </c>
      <c r="CP97" s="55">
        <v>1.2554568811438094</v>
      </c>
      <c r="CQ97" s="47">
        <f t="shared" si="138"/>
        <v>1.6515330122068848</v>
      </c>
      <c r="CR97" s="45">
        <v>110895.34076266503</v>
      </c>
      <c r="CS97" s="55">
        <v>3.4691395051823846</v>
      </c>
    </row>
    <row r="98" spans="1:97" s="23" customFormat="1" ht="15" customHeight="1">
      <c r="A98" s="377" t="str">
        <f t="shared" si="124"/>
        <v xml:space="preserve">BNI - Efficient Product Rebates; LED Exterior Fixtures-End of Life replacement; IND; Industrial </v>
      </c>
      <c r="B98" s="42" t="s">
        <v>83</v>
      </c>
      <c r="C98" s="15" t="s">
        <v>69</v>
      </c>
      <c r="D98" s="15" t="s">
        <v>70</v>
      </c>
      <c r="E98" s="43">
        <v>10</v>
      </c>
      <c r="F98" s="44">
        <v>608.15983078196314</v>
      </c>
      <c r="G98" s="44">
        <v>139.42224456257779</v>
      </c>
      <c r="H98" s="45">
        <v>125</v>
      </c>
      <c r="I98" s="46">
        <v>0.4</v>
      </c>
      <c r="J98" s="45">
        <v>19.46111458502282</v>
      </c>
      <c r="K98" s="45">
        <v>69.461114585022813</v>
      </c>
      <c r="L98" s="45">
        <v>75</v>
      </c>
      <c r="M98" s="45">
        <v>144.46111458502281</v>
      </c>
      <c r="N98" s="45">
        <v>464.86285945580494</v>
      </c>
      <c r="O98" s="47">
        <v>0.76</v>
      </c>
      <c r="P98" s="47">
        <v>3.0866008466480577</v>
      </c>
      <c r="Q98" s="310">
        <f t="shared" si="125"/>
        <v>3.0866008466480577</v>
      </c>
      <c r="R98" s="311">
        <f t="shared" si="132"/>
        <v>0</v>
      </c>
      <c r="S98" s="311">
        <f t="shared" si="126"/>
        <v>146.59997264567426</v>
      </c>
      <c r="T98" s="310">
        <f t="shared" si="127"/>
        <v>4.059996742840835</v>
      </c>
      <c r="U98" s="316">
        <f t="shared" si="140"/>
        <v>0.3153617667311443</v>
      </c>
      <c r="V98" s="48">
        <v>0.11421522940065067</v>
      </c>
      <c r="W98" s="49">
        <v>0.49820683064563726</v>
      </c>
      <c r="X98" s="48" t="s">
        <v>74</v>
      </c>
      <c r="Y98" s="48" t="s">
        <v>527</v>
      </c>
      <c r="Z98" s="247">
        <f>0.027*Z3</f>
        <v>3.4020000000000002E-2</v>
      </c>
      <c r="AA98" s="247"/>
      <c r="AB98" s="386">
        <v>0</v>
      </c>
      <c r="AC98" s="387">
        <f t="shared" si="141"/>
        <v>20.689597443202388</v>
      </c>
      <c r="AD98" s="361">
        <f t="shared" si="142"/>
        <v>1.0344798721601194</v>
      </c>
      <c r="AE98" s="361">
        <f t="shared" si="143"/>
        <v>0.59999832585286927</v>
      </c>
      <c r="AF98" s="361">
        <f t="shared" si="144"/>
        <v>8.2758389772809554E-2</v>
      </c>
      <c r="AG98" s="361">
        <f t="shared" si="145"/>
        <v>0</v>
      </c>
      <c r="AH98" s="361">
        <f t="shared" si="146"/>
        <v>1.5103406133537742</v>
      </c>
      <c r="AI98" s="361">
        <f t="shared" si="147"/>
        <v>15.24823331564016</v>
      </c>
      <c r="AJ98" s="361" t="s">
        <v>40</v>
      </c>
      <c r="AK98" s="361">
        <f t="shared" si="139"/>
        <v>0</v>
      </c>
      <c r="AL98" s="361">
        <f t="shared" si="148"/>
        <v>1.7172365877857982</v>
      </c>
      <c r="AM98" s="361">
        <f t="shared" si="149"/>
        <v>0.4758607411936549</v>
      </c>
      <c r="AN98" s="361">
        <f t="shared" si="128"/>
        <v>20.668907845759186</v>
      </c>
      <c r="AO98" s="294" t="s">
        <v>617</v>
      </c>
      <c r="AP98" s="282" t="s">
        <v>420</v>
      </c>
      <c r="AQ98" s="136" t="s">
        <v>74</v>
      </c>
      <c r="AR98" s="294"/>
      <c r="AS98" s="142"/>
      <c r="AT98" s="142" t="s">
        <v>217</v>
      </c>
      <c r="AU98" s="146" t="s">
        <v>227</v>
      </c>
      <c r="AV98" s="48"/>
      <c r="AW98" s="131" t="s">
        <v>284</v>
      </c>
      <c r="AX98" s="131"/>
      <c r="AY98" s="131">
        <v>116.28</v>
      </c>
      <c r="AZ98" s="48"/>
      <c r="BA98" s="48"/>
      <c r="BB98" s="50"/>
      <c r="BC98" s="51" t="s">
        <v>83</v>
      </c>
      <c r="BD98" s="52">
        <v>9.2142953711831836</v>
      </c>
      <c r="BE98" s="53">
        <v>40.192756409100973</v>
      </c>
      <c r="BF98" s="54">
        <v>9.2142953711831836</v>
      </c>
      <c r="BG98" s="53">
        <v>40.192756409100973</v>
      </c>
      <c r="BH98" s="450">
        <v>30722.383702523621</v>
      </c>
      <c r="BI98" s="347">
        <f t="shared" si="129"/>
        <v>9688.6652026199627</v>
      </c>
      <c r="BJ98" s="347">
        <f t="shared" si="133"/>
        <v>40411.048905143587</v>
      </c>
      <c r="BK98" s="45">
        <v>9953.4683066931302</v>
      </c>
      <c r="BL98" s="47">
        <v>86.959386537334453</v>
      </c>
      <c r="BM98" s="45">
        <v>20768.915395830489</v>
      </c>
      <c r="BN98" s="55">
        <v>3.0866008466480572</v>
      </c>
      <c r="BO98" s="47">
        <f t="shared" si="134"/>
        <v>4.059996742840835</v>
      </c>
      <c r="BP98" s="45">
        <v>6040.2959125130792</v>
      </c>
      <c r="BQ98" s="55">
        <v>5.086238182284931</v>
      </c>
      <c r="BR98" s="54">
        <v>7.0098975532226264</v>
      </c>
      <c r="BS98" s="53">
        <v>30.577173127157039</v>
      </c>
      <c r="BT98" s="54">
        <v>16.224192924405813</v>
      </c>
      <c r="BU98" s="53">
        <v>70.769929536258019</v>
      </c>
      <c r="BV98" s="450">
        <v>25298.710024603446</v>
      </c>
      <c r="BW98" s="347">
        <f t="shared" si="130"/>
        <v>7286.3824489782955</v>
      </c>
      <c r="BX98" s="347">
        <f t="shared" si="135"/>
        <v>32585.092473581743</v>
      </c>
      <c r="BY98" s="45">
        <v>7500.2701262561495</v>
      </c>
      <c r="BZ98" s="47">
        <v>65.398002159081003</v>
      </c>
      <c r="CA98" s="45">
        <v>17798.439898347297</v>
      </c>
      <c r="CB98" s="55">
        <v>3.3730398503969088</v>
      </c>
      <c r="CC98" s="47">
        <f t="shared" si="136"/>
        <v>4.3445225205304689</v>
      </c>
      <c r="CD98" s="45">
        <v>4557.3600290975046</v>
      </c>
      <c r="CE98" s="55">
        <v>5.5511765283142127</v>
      </c>
      <c r="CF98" s="52">
        <v>7.5508706391574396</v>
      </c>
      <c r="CG98" s="53">
        <v>32.936897728004688</v>
      </c>
      <c r="CH98" s="54">
        <v>23.775063563563251</v>
      </c>
      <c r="CI98" s="53">
        <v>103.7068272642627</v>
      </c>
      <c r="CJ98" s="450">
        <v>29567.969799436891</v>
      </c>
      <c r="CK98" s="347">
        <f t="shared" si="131"/>
        <v>7759.8395110529409</v>
      </c>
      <c r="CL98" s="347">
        <f t="shared" si="137"/>
        <v>37327.809310489829</v>
      </c>
      <c r="CM98" s="45">
        <v>8003.325067531945</v>
      </c>
      <c r="CN98" s="47">
        <v>69.647456011469913</v>
      </c>
      <c r="CO98" s="45">
        <v>21564.644731904948</v>
      </c>
      <c r="CP98" s="55">
        <v>3.6944606835212586</v>
      </c>
      <c r="CQ98" s="47">
        <f t="shared" si="138"/>
        <v>4.6640376337982392</v>
      </c>
      <c r="CR98" s="45">
        <v>4869.1895470157979</v>
      </c>
      <c r="CS98" s="55">
        <v>6.0724622678856992</v>
      </c>
    </row>
    <row r="99" spans="1:97" s="23" customFormat="1" ht="15" customHeight="1">
      <c r="A99" s="377" t="str">
        <f t="shared" si="124"/>
        <v>BNI - Efficient Product Rebates; LED Exterior Fixtures-End of Life replacement; COM-Lighting; Office</v>
      </c>
      <c r="B99" s="42" t="s">
        <v>83</v>
      </c>
      <c r="C99" s="15" t="s">
        <v>73</v>
      </c>
      <c r="D99" s="15" t="s">
        <v>66</v>
      </c>
      <c r="E99" s="43">
        <v>10</v>
      </c>
      <c r="F99" s="44">
        <v>608.15983078196314</v>
      </c>
      <c r="G99" s="44">
        <v>138.39492859225055</v>
      </c>
      <c r="H99" s="45">
        <v>125</v>
      </c>
      <c r="I99" s="46">
        <v>0.4</v>
      </c>
      <c r="J99" s="45">
        <v>19.46111458502282</v>
      </c>
      <c r="K99" s="45">
        <v>69.461114585022813</v>
      </c>
      <c r="L99" s="45">
        <v>75</v>
      </c>
      <c r="M99" s="45">
        <v>144.46111458502281</v>
      </c>
      <c r="N99" s="45">
        <v>463.71464477059749</v>
      </c>
      <c r="O99" s="47">
        <v>0.76</v>
      </c>
      <c r="P99" s="47">
        <v>3.0789769198330741</v>
      </c>
      <c r="Q99" s="310">
        <f t="shared" si="125"/>
        <v>3.0789769198330741</v>
      </c>
      <c r="R99" s="311">
        <f t="shared" si="132"/>
        <v>0</v>
      </c>
      <c r="S99" s="311">
        <f t="shared" si="126"/>
        <v>146.59997264567426</v>
      </c>
      <c r="T99" s="310">
        <f t="shared" si="127"/>
        <v>4.0523728160258514</v>
      </c>
      <c r="U99" s="316">
        <f t="shared" si="140"/>
        <v>0.31614264138282328</v>
      </c>
      <c r="V99" s="48">
        <v>0.11421522940065067</v>
      </c>
      <c r="W99" s="49">
        <v>0.50190505744379066</v>
      </c>
      <c r="X99" s="48" t="s">
        <v>74</v>
      </c>
      <c r="Y99" s="48" t="s">
        <v>527</v>
      </c>
      <c r="Z99" s="247">
        <f>0.027*Z3</f>
        <v>3.4020000000000002E-2</v>
      </c>
      <c r="AA99" s="247"/>
      <c r="AB99" s="386">
        <v>0</v>
      </c>
      <c r="AC99" s="387">
        <f t="shared" si="141"/>
        <v>20.689597443202388</v>
      </c>
      <c r="AD99" s="361">
        <f t="shared" si="142"/>
        <v>1.0344798721601194</v>
      </c>
      <c r="AE99" s="361">
        <f t="shared" si="143"/>
        <v>0.59999832585286927</v>
      </c>
      <c r="AF99" s="361">
        <f t="shared" si="144"/>
        <v>8.2758389772809554E-2</v>
      </c>
      <c r="AG99" s="361">
        <f t="shared" si="145"/>
        <v>0</v>
      </c>
      <c r="AH99" s="361">
        <f t="shared" si="146"/>
        <v>1.5103406133537742</v>
      </c>
      <c r="AI99" s="361">
        <f t="shared" si="147"/>
        <v>15.24823331564016</v>
      </c>
      <c r="AJ99" s="361" t="s">
        <v>40</v>
      </c>
      <c r="AK99" s="361">
        <f t="shared" si="139"/>
        <v>0</v>
      </c>
      <c r="AL99" s="361">
        <f t="shared" si="148"/>
        <v>1.7172365877857982</v>
      </c>
      <c r="AM99" s="361">
        <f t="shared" si="149"/>
        <v>0.4758607411936549</v>
      </c>
      <c r="AN99" s="361">
        <f t="shared" si="128"/>
        <v>20.668907845759186</v>
      </c>
      <c r="AO99" s="294" t="s">
        <v>617</v>
      </c>
      <c r="AP99" s="282" t="s">
        <v>420</v>
      </c>
      <c r="AQ99" s="136" t="s">
        <v>74</v>
      </c>
      <c r="AR99" s="294"/>
      <c r="AS99" s="142"/>
      <c r="AT99" s="142" t="s">
        <v>217</v>
      </c>
      <c r="AU99" s="146" t="s">
        <v>227</v>
      </c>
      <c r="AV99" s="48"/>
      <c r="AW99" s="131" t="s">
        <v>284</v>
      </c>
      <c r="AX99" s="131"/>
      <c r="AY99" s="131">
        <v>116.28</v>
      </c>
      <c r="AZ99" s="48"/>
      <c r="BA99" s="48"/>
      <c r="BB99" s="50"/>
      <c r="BC99" s="51" t="s">
        <v>83</v>
      </c>
      <c r="BD99" s="52">
        <v>7.2661938421033501</v>
      </c>
      <c r="BE99" s="53">
        <v>31.930412930535365</v>
      </c>
      <c r="BF99" s="54">
        <v>7.2661938421033501</v>
      </c>
      <c r="BG99" s="53">
        <v>31.930412930535365</v>
      </c>
      <c r="BH99" s="450">
        <v>24346.560459975772</v>
      </c>
      <c r="BI99" s="347">
        <f t="shared" si="129"/>
        <v>7696.9859324033432</v>
      </c>
      <c r="BJ99" s="347">
        <f t="shared" si="133"/>
        <v>32043.546392379114</v>
      </c>
      <c r="BK99" s="45">
        <v>7907.3539990341051</v>
      </c>
      <c r="BL99" s="47">
        <v>69.083321682670203</v>
      </c>
      <c r="BM99" s="45">
        <v>16439.206460941667</v>
      </c>
      <c r="BN99" s="55">
        <v>3.0789769198330745</v>
      </c>
      <c r="BO99" s="47">
        <f t="shared" si="134"/>
        <v>4.0523728160258514</v>
      </c>
      <c r="BP99" s="45">
        <v>4798.6045233139466</v>
      </c>
      <c r="BQ99" s="55">
        <v>5.0736751365294595</v>
      </c>
      <c r="BR99" s="54">
        <v>5.5827376888615428</v>
      </c>
      <c r="BS99" s="53">
        <v>24.532667798552833</v>
      </c>
      <c r="BT99" s="54">
        <v>12.848931530964892</v>
      </c>
      <c r="BU99" s="53">
        <v>56.463080729088198</v>
      </c>
      <c r="BV99" s="450">
        <v>20243.550464982309</v>
      </c>
      <c r="BW99" s="347">
        <f t="shared" si="130"/>
        <v>5846.008044322125</v>
      </c>
      <c r="BX99" s="347">
        <f t="shared" si="135"/>
        <v>26089.558509304436</v>
      </c>
      <c r="BY99" s="45">
        <v>6017.6143373905106</v>
      </c>
      <c r="BZ99" s="47">
        <v>52.4701042501814</v>
      </c>
      <c r="CA99" s="45">
        <v>14225.936127591798</v>
      </c>
      <c r="CB99" s="55">
        <v>3.3640491613426922</v>
      </c>
      <c r="CC99" s="47">
        <f t="shared" si="136"/>
        <v>4.3355318314762528</v>
      </c>
      <c r="CD99" s="45">
        <v>3656.4596461323472</v>
      </c>
      <c r="CE99" s="55">
        <v>5.536380111946567</v>
      </c>
      <c r="CF99" s="52">
        <v>6.2187021057898129</v>
      </c>
      <c r="CG99" s="53">
        <v>27.327336765953877</v>
      </c>
      <c r="CH99" s="54">
        <v>19.067633636754707</v>
      </c>
      <c r="CI99" s="53">
        <v>83.790417495042078</v>
      </c>
      <c r="CJ99" s="450">
        <v>24462.747919255125</v>
      </c>
      <c r="CK99" s="347">
        <f t="shared" si="131"/>
        <v>6438.2428885522386</v>
      </c>
      <c r="CL99" s="347">
        <f t="shared" si="137"/>
        <v>30900.990807807364</v>
      </c>
      <c r="CM99" s="45">
        <v>6640.2598439587582</v>
      </c>
      <c r="CN99" s="47">
        <v>57.785633031830088</v>
      </c>
      <c r="CO99" s="45">
        <v>17822.488075296365</v>
      </c>
      <c r="CP99" s="55">
        <v>3.6840046164023366</v>
      </c>
      <c r="CQ99" s="47">
        <f t="shared" si="138"/>
        <v>4.6535815666793185</v>
      </c>
      <c r="CR99" s="45">
        <v>4039.9063575264045</v>
      </c>
      <c r="CS99" s="55">
        <v>6.0552759777910863</v>
      </c>
    </row>
    <row r="100" spans="1:97" s="23" customFormat="1" ht="15" customHeight="1">
      <c r="A100" s="377" t="str">
        <f t="shared" si="124"/>
        <v>BNI - Efficient Product Rebates; LED Exterior Fixtures-End of Life replacement; COM-Lighting; Other Commercial</v>
      </c>
      <c r="B100" s="42" t="s">
        <v>83</v>
      </c>
      <c r="C100" s="15" t="s">
        <v>73</v>
      </c>
      <c r="D100" s="15" t="s">
        <v>56</v>
      </c>
      <c r="E100" s="43">
        <v>10</v>
      </c>
      <c r="F100" s="44">
        <v>608.15983078196314</v>
      </c>
      <c r="G100" s="44">
        <v>138.39492859225055</v>
      </c>
      <c r="H100" s="45">
        <v>125</v>
      </c>
      <c r="I100" s="46">
        <v>0.4</v>
      </c>
      <c r="J100" s="45">
        <v>19.46111458502282</v>
      </c>
      <c r="K100" s="45">
        <v>69.461114585022813</v>
      </c>
      <c r="L100" s="45">
        <v>75</v>
      </c>
      <c r="M100" s="45">
        <v>144.46111458502281</v>
      </c>
      <c r="N100" s="45">
        <v>463.71464477059749</v>
      </c>
      <c r="O100" s="47">
        <v>0.76</v>
      </c>
      <c r="P100" s="47">
        <v>3.0789769198330741</v>
      </c>
      <c r="Q100" s="310">
        <f t="shared" si="125"/>
        <v>3.0789769198330741</v>
      </c>
      <c r="R100" s="311">
        <f t="shared" si="132"/>
        <v>0</v>
      </c>
      <c r="S100" s="311">
        <f t="shared" si="126"/>
        <v>146.59997264567426</v>
      </c>
      <c r="T100" s="310">
        <f t="shared" si="127"/>
        <v>4.0523728160258514</v>
      </c>
      <c r="U100" s="316">
        <f t="shared" si="140"/>
        <v>0.31614264138282328</v>
      </c>
      <c r="V100" s="48">
        <v>0.11421522940065067</v>
      </c>
      <c r="W100" s="49">
        <v>0.50190505744379066</v>
      </c>
      <c r="X100" s="48" t="s">
        <v>74</v>
      </c>
      <c r="Y100" s="48" t="s">
        <v>527</v>
      </c>
      <c r="Z100" s="247">
        <f>0.027*Z3</f>
        <v>3.4020000000000002E-2</v>
      </c>
      <c r="AA100" s="247"/>
      <c r="AB100" s="386">
        <v>0</v>
      </c>
      <c r="AC100" s="387">
        <f t="shared" si="141"/>
        <v>20.689597443202388</v>
      </c>
      <c r="AD100" s="361">
        <f t="shared" si="142"/>
        <v>1.0344798721601194</v>
      </c>
      <c r="AE100" s="361">
        <f t="shared" si="143"/>
        <v>0.59999832585286927</v>
      </c>
      <c r="AF100" s="361">
        <f t="shared" si="144"/>
        <v>8.2758389772809554E-2</v>
      </c>
      <c r="AG100" s="361">
        <f t="shared" si="145"/>
        <v>0</v>
      </c>
      <c r="AH100" s="361">
        <f t="shared" si="146"/>
        <v>1.5103406133537742</v>
      </c>
      <c r="AI100" s="361">
        <f t="shared" si="147"/>
        <v>15.24823331564016</v>
      </c>
      <c r="AJ100" s="361" t="s">
        <v>40</v>
      </c>
      <c r="AK100" s="361">
        <f t="shared" si="139"/>
        <v>0</v>
      </c>
      <c r="AL100" s="361">
        <f t="shared" si="148"/>
        <v>1.7172365877857982</v>
      </c>
      <c r="AM100" s="361">
        <f t="shared" si="149"/>
        <v>0.4758607411936549</v>
      </c>
      <c r="AN100" s="361">
        <f t="shared" si="128"/>
        <v>20.668907845759186</v>
      </c>
      <c r="AO100" s="294" t="s">
        <v>617</v>
      </c>
      <c r="AP100" s="282" t="s">
        <v>420</v>
      </c>
      <c r="AQ100" s="136" t="s">
        <v>74</v>
      </c>
      <c r="AR100" s="294"/>
      <c r="AS100" s="142"/>
      <c r="AT100" s="142" t="s">
        <v>217</v>
      </c>
      <c r="AU100" s="146" t="s">
        <v>227</v>
      </c>
      <c r="AV100" s="48"/>
      <c r="AW100" s="131" t="s">
        <v>284</v>
      </c>
      <c r="AX100" s="131"/>
      <c r="AY100" s="131">
        <v>116.28</v>
      </c>
      <c r="AZ100" s="48"/>
      <c r="BA100" s="48"/>
      <c r="BB100" s="50"/>
      <c r="BC100" s="51" t="s">
        <v>83</v>
      </c>
      <c r="BD100" s="52">
        <v>9.8568601156258087</v>
      </c>
      <c r="BE100" s="53">
        <v>43.314783575791651</v>
      </c>
      <c r="BF100" s="54">
        <v>9.8568601156258087</v>
      </c>
      <c r="BG100" s="53">
        <v>43.314783575791651</v>
      </c>
      <c r="BH100" s="450">
        <v>33027.007807039205</v>
      </c>
      <c r="BI100" s="347">
        <f t="shared" si="129"/>
        <v>10441.245485088497</v>
      </c>
      <c r="BJ100" s="347">
        <f t="shared" si="133"/>
        <v>43468.253292127702</v>
      </c>
      <c r="BK100" s="45">
        <v>10726.617531394082</v>
      </c>
      <c r="BL100" s="47">
        <v>93.714075476927562</v>
      </c>
      <c r="BM100" s="45">
        <v>22300.390275645121</v>
      </c>
      <c r="BN100" s="55">
        <v>3.0789769198330741</v>
      </c>
      <c r="BO100" s="47">
        <f t="shared" si="134"/>
        <v>4.0523728160258514</v>
      </c>
      <c r="BP100" s="45">
        <v>6509.4841349323424</v>
      </c>
      <c r="BQ100" s="55">
        <v>5.0736751365294595</v>
      </c>
      <c r="BR100" s="54">
        <v>7.5731897135036066</v>
      </c>
      <c r="BS100" s="53">
        <v>33.279469280364616</v>
      </c>
      <c r="BT100" s="54">
        <v>17.430049829129413</v>
      </c>
      <c r="BU100" s="53">
        <v>76.59425285615626</v>
      </c>
      <c r="BV100" s="450">
        <v>27461.123321640156</v>
      </c>
      <c r="BW100" s="347">
        <f t="shared" si="130"/>
        <v>7930.3256670381015</v>
      </c>
      <c r="BX100" s="347">
        <f t="shared" si="135"/>
        <v>35391.448988678254</v>
      </c>
      <c r="BY100" s="45">
        <v>8163.115936950102</v>
      </c>
      <c r="BZ100" s="47">
        <v>71.177632896266061</v>
      </c>
      <c r="CA100" s="45">
        <v>19298.007384690056</v>
      </c>
      <c r="CB100" s="55">
        <v>3.3640491613426922</v>
      </c>
      <c r="CC100" s="47">
        <f t="shared" si="136"/>
        <v>4.3355318314762519</v>
      </c>
      <c r="CD100" s="45">
        <v>4960.122456618129</v>
      </c>
      <c r="CE100" s="55">
        <v>5.536380111946567</v>
      </c>
      <c r="CF100" s="52">
        <v>8.4358989162026266</v>
      </c>
      <c r="CG100" s="53">
        <v>37.070540875721157</v>
      </c>
      <c r="CH100" s="54">
        <v>25.865948745332037</v>
      </c>
      <c r="CI100" s="53">
        <v>113.66479373187741</v>
      </c>
      <c r="CJ100" s="450">
        <v>33184.620383608599</v>
      </c>
      <c r="CK100" s="347">
        <f t="shared" si="131"/>
        <v>8733.7140904724365</v>
      </c>
      <c r="CL100" s="347">
        <f t="shared" si="137"/>
        <v>41918.334474081035</v>
      </c>
      <c r="CM100" s="45">
        <v>9007.7575461931647</v>
      </c>
      <c r="CN100" s="47">
        <v>78.388343865425597</v>
      </c>
      <c r="CO100" s="45">
        <v>24176.862837415436</v>
      </c>
      <c r="CP100" s="55">
        <v>3.6840046164023361</v>
      </c>
      <c r="CQ100" s="47">
        <f t="shared" si="138"/>
        <v>4.6535815666793177</v>
      </c>
      <c r="CR100" s="45">
        <v>5480.2820722490123</v>
      </c>
      <c r="CS100" s="55">
        <v>6.0552759777910863</v>
      </c>
    </row>
    <row r="101" spans="1:97" s="23" customFormat="1" ht="15" customHeight="1">
      <c r="A101" s="377" t="str">
        <f t="shared" ref="A101:A132" si="150">CONCATENATE($B$4,"; ",B101,"; ",C101,"; ",D101)</f>
        <v>BNI - Efficient Product Rebates; LED Exterior Fixtures-End of Life replacement; COM-Lighting; Retail</v>
      </c>
      <c r="B101" s="42" t="s">
        <v>83</v>
      </c>
      <c r="C101" s="15" t="s">
        <v>73</v>
      </c>
      <c r="D101" s="15" t="s">
        <v>30</v>
      </c>
      <c r="E101" s="43">
        <v>10</v>
      </c>
      <c r="F101" s="44">
        <v>608.15983078196314</v>
      </c>
      <c r="G101" s="44">
        <v>138.39492859225055</v>
      </c>
      <c r="H101" s="45">
        <v>125</v>
      </c>
      <c r="I101" s="46">
        <v>0.4</v>
      </c>
      <c r="J101" s="45">
        <v>19.46111458502282</v>
      </c>
      <c r="K101" s="45">
        <v>69.461114585022813</v>
      </c>
      <c r="L101" s="45">
        <v>75</v>
      </c>
      <c r="M101" s="45">
        <v>144.46111458502281</v>
      </c>
      <c r="N101" s="45">
        <v>463.71464477059749</v>
      </c>
      <c r="O101" s="47">
        <v>0.76</v>
      </c>
      <c r="P101" s="47">
        <v>3.0789769198330741</v>
      </c>
      <c r="Q101" s="310">
        <f t="shared" ref="Q101:Q132" si="151">N101*O101/(O101*H101+J101)</f>
        <v>3.0789769198330741</v>
      </c>
      <c r="R101" s="311">
        <f t="shared" si="132"/>
        <v>0</v>
      </c>
      <c r="S101" s="311">
        <f t="shared" ref="S101:S132" si="152">-PV(RDR,E101,AC101)</f>
        <v>146.59997264567426</v>
      </c>
      <c r="T101" s="310">
        <f t="shared" ref="T101:T132" si="153">(N101+SUM(R101:S101))*O101/(O101*H101+J101)</f>
        <v>4.0523728160258514</v>
      </c>
      <c r="U101" s="316">
        <f t="shared" si="140"/>
        <v>0.31614264138282328</v>
      </c>
      <c r="V101" s="48">
        <v>0.11421522940065067</v>
      </c>
      <c r="W101" s="49">
        <v>0.50190505744379066</v>
      </c>
      <c r="X101" s="48" t="s">
        <v>74</v>
      </c>
      <c r="Y101" s="48" t="s">
        <v>527</v>
      </c>
      <c r="Z101" s="247">
        <f>0.027*Z3</f>
        <v>3.4020000000000002E-2</v>
      </c>
      <c r="AA101" s="247"/>
      <c r="AB101" s="386">
        <v>0</v>
      </c>
      <c r="AC101" s="387">
        <f t="shared" si="141"/>
        <v>20.689597443202388</v>
      </c>
      <c r="AD101" s="361">
        <f t="shared" si="142"/>
        <v>1.0344798721601194</v>
      </c>
      <c r="AE101" s="361">
        <f t="shared" si="143"/>
        <v>0.59999832585286927</v>
      </c>
      <c r="AF101" s="361">
        <f t="shared" si="144"/>
        <v>8.2758389772809554E-2</v>
      </c>
      <c r="AG101" s="361">
        <f t="shared" si="145"/>
        <v>0</v>
      </c>
      <c r="AH101" s="361">
        <f t="shared" si="146"/>
        <v>1.5103406133537742</v>
      </c>
      <c r="AI101" s="361">
        <f t="shared" si="147"/>
        <v>15.24823331564016</v>
      </c>
      <c r="AJ101" s="361" t="s">
        <v>40</v>
      </c>
      <c r="AK101" s="361">
        <f t="shared" si="139"/>
        <v>0</v>
      </c>
      <c r="AL101" s="361">
        <f t="shared" si="148"/>
        <v>1.7172365877857982</v>
      </c>
      <c r="AM101" s="361">
        <f t="shared" si="149"/>
        <v>0.4758607411936549</v>
      </c>
      <c r="AN101" s="361">
        <f t="shared" ref="AN101:AN132" si="154">SUM(AD101:AM101)</f>
        <v>20.668907845759186</v>
      </c>
      <c r="AO101" s="294" t="s">
        <v>617</v>
      </c>
      <c r="AP101" s="282" t="s">
        <v>420</v>
      </c>
      <c r="AQ101" s="136" t="s">
        <v>74</v>
      </c>
      <c r="AR101" s="294"/>
      <c r="AS101" s="142"/>
      <c r="AT101" s="142" t="s">
        <v>217</v>
      </c>
      <c r="AU101" s="146" t="s">
        <v>227</v>
      </c>
      <c r="AV101" s="48"/>
      <c r="AW101" s="131" t="s">
        <v>284</v>
      </c>
      <c r="AX101" s="131"/>
      <c r="AY101" s="131">
        <v>116.28</v>
      </c>
      <c r="AZ101" s="48"/>
      <c r="BA101" s="48"/>
      <c r="BB101" s="50"/>
      <c r="BC101" s="51" t="s">
        <v>83</v>
      </c>
      <c r="BD101" s="52">
        <v>14.102626278814716</v>
      </c>
      <c r="BE101" s="53">
        <v>61.972291170974849</v>
      </c>
      <c r="BF101" s="54">
        <v>14.102626278814716</v>
      </c>
      <c r="BG101" s="53">
        <v>61.972291170974849</v>
      </c>
      <c r="BH101" s="450">
        <v>47253.135658464038</v>
      </c>
      <c r="BI101" s="347">
        <f t="shared" ref="BI101:BI132" si="155">SUM(R101:S101)*O101*BL101</f>
        <v>14938.731120687691</v>
      </c>
      <c r="BJ101" s="347">
        <f t="shared" si="133"/>
        <v>62191.866779151729</v>
      </c>
      <c r="BK101" s="45">
        <v>15347.024966015611</v>
      </c>
      <c r="BL101" s="47">
        <v>134.08068776593726</v>
      </c>
      <c r="BM101" s="45">
        <v>31906.110692448427</v>
      </c>
      <c r="BN101" s="55">
        <v>3.0789769198330741</v>
      </c>
      <c r="BO101" s="47">
        <f t="shared" si="134"/>
        <v>4.0523728160258514</v>
      </c>
      <c r="BP101" s="45">
        <v>9313.3940165484346</v>
      </c>
      <c r="BQ101" s="55">
        <v>5.0736751365294603</v>
      </c>
      <c r="BR101" s="54">
        <v>10.835282535743321</v>
      </c>
      <c r="BS101" s="53">
        <v>47.614342956360346</v>
      </c>
      <c r="BT101" s="54">
        <v>24.937908814558039</v>
      </c>
      <c r="BU101" s="53">
        <v>109.5866341273352</v>
      </c>
      <c r="BV101" s="450">
        <v>39289.789533240844</v>
      </c>
      <c r="BW101" s="347">
        <f t="shared" ref="BW101:BW132" si="156">SUM(R101:S101)*O101*BZ101</f>
        <v>11346.252035598634</v>
      </c>
      <c r="BX101" s="347">
        <f t="shared" si="135"/>
        <v>50636.041568839479</v>
      </c>
      <c r="BY101" s="45">
        <v>11679.314911545203</v>
      </c>
      <c r="BZ101" s="47">
        <v>101.83684706607788</v>
      </c>
      <c r="CA101" s="45">
        <v>27610.474621695641</v>
      </c>
      <c r="CB101" s="55">
        <v>3.3640491613426926</v>
      </c>
      <c r="CC101" s="47">
        <f t="shared" si="136"/>
        <v>4.3355318314762519</v>
      </c>
      <c r="CD101" s="45">
        <v>7096.6567935716976</v>
      </c>
      <c r="CE101" s="55">
        <v>5.5363801119465679</v>
      </c>
      <c r="CF101" s="52">
        <v>12.069597046676808</v>
      </c>
      <c r="CG101" s="53">
        <v>53.038389283322822</v>
      </c>
      <c r="CH101" s="54">
        <v>37.007505861234847</v>
      </c>
      <c r="CI101" s="53">
        <v>162.62502341065803</v>
      </c>
      <c r="CJ101" s="450">
        <v>47478.638631837413</v>
      </c>
      <c r="CK101" s="347">
        <f t="shared" ref="CK101:CK132" si="157">SUM(R101:S101)*O101*CN101</f>
        <v>12495.693800979845</v>
      </c>
      <c r="CL101" s="347">
        <f t="shared" si="137"/>
        <v>59974.33243281726</v>
      </c>
      <c r="CM101" s="45">
        <v>12887.779353057194</v>
      </c>
      <c r="CN101" s="47">
        <v>112.1535159453897</v>
      </c>
      <c r="CO101" s="45">
        <v>34590.859278780219</v>
      </c>
      <c r="CP101" s="55">
        <v>3.6840046164023357</v>
      </c>
      <c r="CQ101" s="47">
        <f t="shared" si="138"/>
        <v>4.6535815666793177</v>
      </c>
      <c r="CR101" s="45">
        <v>7840.8711355146561</v>
      </c>
      <c r="CS101" s="55">
        <v>6.0552759777910863</v>
      </c>
    </row>
    <row r="102" spans="1:97" s="23" customFormat="1" ht="15" customHeight="1">
      <c r="A102" s="377" t="str">
        <f t="shared" si="150"/>
        <v>BNI - Efficient Product Rebates; LED Exterior Fixtures-End of Life replacement; COM-Lighting; School</v>
      </c>
      <c r="B102" s="42" t="s">
        <v>83</v>
      </c>
      <c r="C102" s="15" t="s">
        <v>73</v>
      </c>
      <c r="D102" s="15" t="s">
        <v>59</v>
      </c>
      <c r="E102" s="43">
        <v>10</v>
      </c>
      <c r="F102" s="44">
        <v>608.15983078196314</v>
      </c>
      <c r="G102" s="44">
        <v>138.39492859225055</v>
      </c>
      <c r="H102" s="45">
        <v>125</v>
      </c>
      <c r="I102" s="46">
        <v>0.4</v>
      </c>
      <c r="J102" s="45">
        <v>19.46111458502282</v>
      </c>
      <c r="K102" s="45">
        <v>69.461114585022813</v>
      </c>
      <c r="L102" s="45">
        <v>75</v>
      </c>
      <c r="M102" s="45">
        <v>144.46111458502281</v>
      </c>
      <c r="N102" s="45">
        <v>463.71464477059749</v>
      </c>
      <c r="O102" s="47">
        <v>0.76</v>
      </c>
      <c r="P102" s="47">
        <v>3.0789769198330741</v>
      </c>
      <c r="Q102" s="310">
        <f t="shared" si="151"/>
        <v>3.0789769198330741</v>
      </c>
      <c r="R102" s="311">
        <f t="shared" si="132"/>
        <v>0</v>
      </c>
      <c r="S102" s="311">
        <f t="shared" si="152"/>
        <v>146.59997264567426</v>
      </c>
      <c r="T102" s="310">
        <f t="shared" si="153"/>
        <v>4.0523728160258514</v>
      </c>
      <c r="U102" s="316">
        <f t="shared" si="140"/>
        <v>0.31614264138282328</v>
      </c>
      <c r="V102" s="48">
        <v>0.11421522940065067</v>
      </c>
      <c r="W102" s="49">
        <v>0.50190505744379066</v>
      </c>
      <c r="X102" s="48" t="s">
        <v>74</v>
      </c>
      <c r="Y102" s="48" t="s">
        <v>527</v>
      </c>
      <c r="Z102" s="247">
        <f>0.027*Z3</f>
        <v>3.4020000000000002E-2</v>
      </c>
      <c r="AA102" s="247"/>
      <c r="AB102" s="386">
        <v>0</v>
      </c>
      <c r="AC102" s="387">
        <f t="shared" si="141"/>
        <v>20.689597443202388</v>
      </c>
      <c r="AD102" s="361">
        <f t="shared" si="142"/>
        <v>1.0344798721601194</v>
      </c>
      <c r="AE102" s="361">
        <f t="shared" si="143"/>
        <v>0.59999832585286927</v>
      </c>
      <c r="AF102" s="361">
        <f t="shared" si="144"/>
        <v>8.2758389772809554E-2</v>
      </c>
      <c r="AG102" s="361">
        <f t="shared" si="145"/>
        <v>0</v>
      </c>
      <c r="AH102" s="361">
        <f t="shared" si="146"/>
        <v>1.5103406133537742</v>
      </c>
      <c r="AI102" s="361">
        <f t="shared" si="147"/>
        <v>15.24823331564016</v>
      </c>
      <c r="AJ102" s="361" t="s">
        <v>40</v>
      </c>
      <c r="AK102" s="361">
        <f t="shared" si="139"/>
        <v>0</v>
      </c>
      <c r="AL102" s="361">
        <f t="shared" si="148"/>
        <v>1.7172365877857982</v>
      </c>
      <c r="AM102" s="361">
        <f t="shared" si="149"/>
        <v>0.4758607411936549</v>
      </c>
      <c r="AN102" s="361">
        <f t="shared" si="154"/>
        <v>20.668907845759186</v>
      </c>
      <c r="AO102" s="294" t="s">
        <v>617</v>
      </c>
      <c r="AP102" s="282" t="s">
        <v>420</v>
      </c>
      <c r="AQ102" s="136" t="s">
        <v>74</v>
      </c>
      <c r="AR102" s="294"/>
      <c r="AS102" s="142"/>
      <c r="AT102" s="142" t="s">
        <v>217</v>
      </c>
      <c r="AU102" s="146" t="s">
        <v>227</v>
      </c>
      <c r="AV102" s="48"/>
      <c r="AW102" s="131" t="s">
        <v>284</v>
      </c>
      <c r="AX102" s="131"/>
      <c r="AY102" s="131">
        <v>116.28</v>
      </c>
      <c r="AZ102" s="48"/>
      <c r="BA102" s="48"/>
      <c r="BB102" s="50"/>
      <c r="BC102" s="51" t="s">
        <v>83</v>
      </c>
      <c r="BD102" s="52">
        <v>14.056539264831658</v>
      </c>
      <c r="BE102" s="53">
        <v>61.76976734361871</v>
      </c>
      <c r="BF102" s="54">
        <v>14.056539264831658</v>
      </c>
      <c r="BG102" s="53">
        <v>61.76976734361871</v>
      </c>
      <c r="BH102" s="450">
        <v>47098.713646508273</v>
      </c>
      <c r="BI102" s="347">
        <f t="shared" si="155"/>
        <v>14889.911737940345</v>
      </c>
      <c r="BJ102" s="347">
        <f t="shared" si="133"/>
        <v>61988.62538444862</v>
      </c>
      <c r="BK102" s="45">
        <v>15296.871289656083</v>
      </c>
      <c r="BL102" s="47">
        <v>133.64251558369563</v>
      </c>
      <c r="BM102" s="45">
        <v>31801.84235685219</v>
      </c>
      <c r="BN102" s="55">
        <v>3.0789769198330745</v>
      </c>
      <c r="BO102" s="47">
        <f t="shared" si="134"/>
        <v>4.0523728160258514</v>
      </c>
      <c r="BP102" s="45">
        <v>9282.9580883897797</v>
      </c>
      <c r="BQ102" s="55">
        <v>5.0736751365294603</v>
      </c>
      <c r="BR102" s="54">
        <v>10.799873115691875</v>
      </c>
      <c r="BS102" s="53">
        <v>47.458740528398401</v>
      </c>
      <c r="BT102" s="54">
        <v>24.856412380523533</v>
      </c>
      <c r="BU102" s="53">
        <v>109.2285078720171</v>
      </c>
      <c r="BV102" s="450">
        <v>39161.39152823027</v>
      </c>
      <c r="BW102" s="347">
        <f t="shared" si="156"/>
        <v>11309.172780580342</v>
      </c>
      <c r="BX102" s="347">
        <f t="shared" si="135"/>
        <v>50470.564308810615</v>
      </c>
      <c r="BY102" s="45">
        <v>11641.147215755844</v>
      </c>
      <c r="BZ102" s="47">
        <v>101.5040469122672</v>
      </c>
      <c r="CA102" s="45">
        <v>27520.244312474424</v>
      </c>
      <c r="CB102" s="55">
        <v>3.3640491613426926</v>
      </c>
      <c r="CC102" s="47">
        <f t="shared" si="136"/>
        <v>4.3355318314762528</v>
      </c>
      <c r="CD102" s="45">
        <v>7073.4651047038187</v>
      </c>
      <c r="CE102" s="55">
        <v>5.5363801119465679</v>
      </c>
      <c r="CF102" s="52">
        <v>12.030153919073296</v>
      </c>
      <c r="CG102" s="53">
        <v>52.865061213769515</v>
      </c>
      <c r="CH102" s="54">
        <v>36.886566299596829</v>
      </c>
      <c r="CI102" s="53">
        <v>162.09356908578661</v>
      </c>
      <c r="CJ102" s="450">
        <v>47323.479682060184</v>
      </c>
      <c r="CK102" s="347">
        <f t="shared" si="157"/>
        <v>12454.858200323053</v>
      </c>
      <c r="CL102" s="347">
        <f t="shared" si="137"/>
        <v>59778.337882383239</v>
      </c>
      <c r="CM102" s="45">
        <v>12845.662427066814</v>
      </c>
      <c r="CN102" s="47">
        <v>111.78700118739827</v>
      </c>
      <c r="CO102" s="45">
        <v>34477.817254993366</v>
      </c>
      <c r="CP102" s="55">
        <v>3.6840046164023361</v>
      </c>
      <c r="CQ102" s="47">
        <f t="shared" si="138"/>
        <v>4.6535815666793185</v>
      </c>
      <c r="CR102" s="45">
        <v>7815.2473736338925</v>
      </c>
      <c r="CS102" s="55">
        <v>6.0552759777910863</v>
      </c>
    </row>
    <row r="103" spans="1:97" s="23" customFormat="1" ht="15" customHeight="1">
      <c r="A103" s="377" t="str">
        <f t="shared" si="150"/>
        <v xml:space="preserve">BNI - Efficient Product Rebates; LED Exit Sign-End of Life replacement; IND; Industrial </v>
      </c>
      <c r="B103" s="42" t="s">
        <v>84</v>
      </c>
      <c r="C103" s="15" t="s">
        <v>69</v>
      </c>
      <c r="D103" s="15" t="s">
        <v>70</v>
      </c>
      <c r="E103" s="43">
        <v>10</v>
      </c>
      <c r="F103" s="44">
        <v>88.22196000000001</v>
      </c>
      <c r="G103" s="44">
        <v>10.071000000000048</v>
      </c>
      <c r="H103" s="45">
        <v>25</v>
      </c>
      <c r="I103" s="46">
        <v>0.4</v>
      </c>
      <c r="J103" s="45">
        <v>2.8231027200000005</v>
      </c>
      <c r="K103" s="45">
        <v>12.823102720000001</v>
      </c>
      <c r="L103" s="45">
        <v>15</v>
      </c>
      <c r="M103" s="45">
        <v>27.823102720000001</v>
      </c>
      <c r="N103" s="45">
        <v>56.085665965801198</v>
      </c>
      <c r="O103" s="47">
        <v>0.76</v>
      </c>
      <c r="P103" s="47">
        <v>1.9532101681831293</v>
      </c>
      <c r="Q103" s="310">
        <f t="shared" si="151"/>
        <v>1.9532101681831293</v>
      </c>
      <c r="R103" s="311">
        <f t="shared" si="132"/>
        <v>0</v>
      </c>
      <c r="S103" s="311">
        <f t="shared" si="152"/>
        <v>21.266345240392269</v>
      </c>
      <c r="T103" s="310">
        <f t="shared" si="153"/>
        <v>2.693820822409025</v>
      </c>
      <c r="U103" s="316">
        <f t="shared" si="140"/>
        <v>0.37917612056812589</v>
      </c>
      <c r="V103" s="48">
        <v>0.14535046285528003</v>
      </c>
      <c r="W103" s="49">
        <v>1.2732700546122471</v>
      </c>
      <c r="X103" s="48" t="s">
        <v>74</v>
      </c>
      <c r="Y103" s="48" t="s">
        <v>527</v>
      </c>
      <c r="Z103" s="247">
        <f>0.027*Z3</f>
        <v>3.4020000000000002E-2</v>
      </c>
      <c r="AA103" s="247"/>
      <c r="AB103" s="386">
        <v>0</v>
      </c>
      <c r="AC103" s="387">
        <f t="shared" si="141"/>
        <v>3.0013110792000006</v>
      </c>
      <c r="AD103" s="361">
        <f t="shared" si="142"/>
        <v>0.15006555396000004</v>
      </c>
      <c r="AE103" s="361">
        <f t="shared" si="143"/>
        <v>8.7038021296800022E-2</v>
      </c>
      <c r="AF103" s="361">
        <f t="shared" si="144"/>
        <v>1.2005244316800003E-2</v>
      </c>
      <c r="AG103" s="361">
        <f t="shared" si="145"/>
        <v>0</v>
      </c>
      <c r="AH103" s="361">
        <f t="shared" si="146"/>
        <v>0.21909570878160003</v>
      </c>
      <c r="AI103" s="361">
        <f t="shared" si="147"/>
        <v>2.2119662653704006</v>
      </c>
      <c r="AJ103" s="361" t="s">
        <v>40</v>
      </c>
      <c r="AK103" s="361">
        <f t="shared" si="139"/>
        <v>0</v>
      </c>
      <c r="AL103" s="361">
        <f t="shared" si="148"/>
        <v>0.24910881957360007</v>
      </c>
      <c r="AM103" s="361">
        <f t="shared" si="149"/>
        <v>6.9030154821600007E-2</v>
      </c>
      <c r="AN103" s="361">
        <f t="shared" si="154"/>
        <v>2.9983097681208011</v>
      </c>
      <c r="AO103" s="294" t="s">
        <v>617</v>
      </c>
      <c r="AP103" s="282" t="s">
        <v>420</v>
      </c>
      <c r="AQ103" s="136" t="s">
        <v>74</v>
      </c>
      <c r="AR103" s="294"/>
      <c r="AS103" s="142"/>
      <c r="AT103" s="142" t="s">
        <v>217</v>
      </c>
      <c r="AU103" s="146" t="s">
        <v>227</v>
      </c>
      <c r="AV103" s="48"/>
      <c r="AW103" s="131" t="s">
        <v>284</v>
      </c>
      <c r="AX103" s="131"/>
      <c r="AY103" s="131">
        <v>8.7799999999999994</v>
      </c>
      <c r="AZ103" s="48"/>
      <c r="BA103" s="48"/>
      <c r="BB103" s="50"/>
      <c r="BC103" s="51" t="s">
        <v>84</v>
      </c>
      <c r="BD103" s="52">
        <v>0.1293231500247177</v>
      </c>
      <c r="BE103" s="53">
        <v>1.1328707942165219</v>
      </c>
      <c r="BF103" s="54">
        <v>0.1293231500247177</v>
      </c>
      <c r="BG103" s="53">
        <v>1.1328707942165219</v>
      </c>
      <c r="BH103" s="450">
        <v>720.20405063364899</v>
      </c>
      <c r="BI103" s="347">
        <f t="shared" si="155"/>
        <v>273.08417793671714</v>
      </c>
      <c r="BJ103" s="347">
        <f t="shared" si="133"/>
        <v>993.28822857036607</v>
      </c>
      <c r="BK103" s="45">
        <v>368.72839511355846</v>
      </c>
      <c r="BL103" s="47">
        <v>16.896240642062033</v>
      </c>
      <c r="BM103" s="45">
        <v>351.47565552009053</v>
      </c>
      <c r="BN103" s="55">
        <v>1.9532101681831295</v>
      </c>
      <c r="BO103" s="47">
        <f t="shared" si="134"/>
        <v>2.6938208224090254</v>
      </c>
      <c r="BP103" s="45">
        <v>216.66222933500018</v>
      </c>
      <c r="BQ103" s="55">
        <v>3.3240867725037542</v>
      </c>
      <c r="BR103" s="54">
        <v>9.9814413076675185E-2</v>
      </c>
      <c r="BS103" s="53">
        <v>0.87437425855167061</v>
      </c>
      <c r="BT103" s="54">
        <v>0.22913756310139291</v>
      </c>
      <c r="BU103" s="53">
        <v>2.0072450527681927</v>
      </c>
      <c r="BV103" s="450">
        <v>592.04716306920329</v>
      </c>
      <c r="BW103" s="347">
        <f t="shared" si="156"/>
        <v>210.77229356128385</v>
      </c>
      <c r="BX103" s="347">
        <f t="shared" si="135"/>
        <v>802.81945663048714</v>
      </c>
      <c r="BY103" s="45">
        <v>284.59257554374261</v>
      </c>
      <c r="BZ103" s="47">
        <v>13.040885120470284</v>
      </c>
      <c r="CA103" s="45">
        <v>307.45458752546068</v>
      </c>
      <c r="CB103" s="55">
        <v>2.0803324258829941</v>
      </c>
      <c r="CC103" s="47">
        <f t="shared" si="136"/>
        <v>2.8209430801088895</v>
      </c>
      <c r="CD103" s="45">
        <v>167.22460945951002</v>
      </c>
      <c r="CE103" s="55">
        <v>3.5404308312201813</v>
      </c>
      <c r="CF103" s="52">
        <v>0.10437372980995543</v>
      </c>
      <c r="CG103" s="53">
        <v>0.9143138731352054</v>
      </c>
      <c r="CH103" s="54">
        <v>0.33351129291134834</v>
      </c>
      <c r="CI103" s="53">
        <v>2.9215589259033981</v>
      </c>
      <c r="CJ103" s="450">
        <v>662.51225098929967</v>
      </c>
      <c r="CK103" s="347">
        <f t="shared" si="157"/>
        <v>220.39993765921201</v>
      </c>
      <c r="CL103" s="347">
        <f t="shared" si="137"/>
        <v>882.91218864851169</v>
      </c>
      <c r="CM103" s="45">
        <v>297.59217802447006</v>
      </c>
      <c r="CN103" s="47">
        <v>13.63656588353675</v>
      </c>
      <c r="CO103" s="45">
        <v>364.92007296482961</v>
      </c>
      <c r="CP103" s="55">
        <v>2.2262421525569245</v>
      </c>
      <c r="CQ103" s="47">
        <f t="shared" si="138"/>
        <v>2.9668528067828204</v>
      </c>
      <c r="CR103" s="45">
        <v>174.86308507263931</v>
      </c>
      <c r="CS103" s="55">
        <v>3.7887484983699538</v>
      </c>
    </row>
    <row r="104" spans="1:97" s="23" customFormat="1" ht="15" customHeight="1">
      <c r="A104" s="377" t="str">
        <f t="shared" si="150"/>
        <v>BNI - Efficient Product Rebates; LED Exit Sign-End of Life replacement; COM-Lighting; Office</v>
      </c>
      <c r="B104" s="42" t="s">
        <v>84</v>
      </c>
      <c r="C104" s="15" t="s">
        <v>73</v>
      </c>
      <c r="D104" s="15" t="s">
        <v>66</v>
      </c>
      <c r="E104" s="43">
        <v>10</v>
      </c>
      <c r="F104" s="44">
        <v>88.22196000000001</v>
      </c>
      <c r="G104" s="44">
        <v>10.071000000000048</v>
      </c>
      <c r="H104" s="45">
        <v>25</v>
      </c>
      <c r="I104" s="46">
        <v>0.4</v>
      </c>
      <c r="J104" s="45">
        <v>2.8231027200000005</v>
      </c>
      <c r="K104" s="45">
        <v>12.823102720000001</v>
      </c>
      <c r="L104" s="45">
        <v>15</v>
      </c>
      <c r="M104" s="45">
        <v>27.823102720000001</v>
      </c>
      <c r="N104" s="45">
        <v>56.085665965801198</v>
      </c>
      <c r="O104" s="47">
        <v>0.76</v>
      </c>
      <c r="P104" s="47">
        <v>1.9532101681831293</v>
      </c>
      <c r="Q104" s="310">
        <f t="shared" si="151"/>
        <v>1.9532101681831293</v>
      </c>
      <c r="R104" s="311">
        <f t="shared" si="132"/>
        <v>0</v>
      </c>
      <c r="S104" s="311">
        <f t="shared" si="152"/>
        <v>21.266345240392269</v>
      </c>
      <c r="T104" s="310">
        <f t="shared" si="153"/>
        <v>2.693820822409025</v>
      </c>
      <c r="U104" s="316">
        <f t="shared" si="140"/>
        <v>0.37917612056812589</v>
      </c>
      <c r="V104" s="48">
        <v>0.14535046285528003</v>
      </c>
      <c r="W104" s="49">
        <v>1.2732700546122471</v>
      </c>
      <c r="X104" s="48" t="s">
        <v>74</v>
      </c>
      <c r="Y104" s="48" t="s">
        <v>527</v>
      </c>
      <c r="Z104" s="247">
        <f>0.027*Z3</f>
        <v>3.4020000000000002E-2</v>
      </c>
      <c r="AA104" s="247"/>
      <c r="AB104" s="386">
        <v>0</v>
      </c>
      <c r="AC104" s="387">
        <f t="shared" si="141"/>
        <v>3.0013110792000006</v>
      </c>
      <c r="AD104" s="361">
        <f t="shared" si="142"/>
        <v>0.15006555396000004</v>
      </c>
      <c r="AE104" s="361">
        <f t="shared" si="143"/>
        <v>8.7038021296800022E-2</v>
      </c>
      <c r="AF104" s="361">
        <f t="shared" si="144"/>
        <v>1.2005244316800003E-2</v>
      </c>
      <c r="AG104" s="361">
        <f t="shared" si="145"/>
        <v>0</v>
      </c>
      <c r="AH104" s="361">
        <f t="shared" si="146"/>
        <v>0.21909570878160003</v>
      </c>
      <c r="AI104" s="361">
        <f t="shared" si="147"/>
        <v>2.2119662653704006</v>
      </c>
      <c r="AJ104" s="361" t="s">
        <v>40</v>
      </c>
      <c r="AK104" s="361">
        <f t="shared" si="139"/>
        <v>0</v>
      </c>
      <c r="AL104" s="361">
        <f t="shared" si="148"/>
        <v>0.24910881957360007</v>
      </c>
      <c r="AM104" s="361">
        <f t="shared" si="149"/>
        <v>6.9030154821600007E-2</v>
      </c>
      <c r="AN104" s="361">
        <f t="shared" si="154"/>
        <v>2.9983097681208011</v>
      </c>
      <c r="AO104" s="294" t="s">
        <v>617</v>
      </c>
      <c r="AP104" s="282" t="s">
        <v>420</v>
      </c>
      <c r="AQ104" s="136" t="s">
        <v>74</v>
      </c>
      <c r="AR104" s="294"/>
      <c r="AS104" s="142"/>
      <c r="AT104" s="142" t="s">
        <v>217</v>
      </c>
      <c r="AU104" s="146" t="s">
        <v>227</v>
      </c>
      <c r="AV104" s="48"/>
      <c r="AW104" s="131" t="s">
        <v>284</v>
      </c>
      <c r="AX104" s="131"/>
      <c r="AY104" s="131">
        <v>8.7799999999999994</v>
      </c>
      <c r="AZ104" s="48"/>
      <c r="BA104" s="48"/>
      <c r="BB104" s="50"/>
      <c r="BC104" s="51" t="s">
        <v>84</v>
      </c>
      <c r="BD104" s="52">
        <v>0.1569207056546825</v>
      </c>
      <c r="BE104" s="53">
        <v>1.3746253815350125</v>
      </c>
      <c r="BF104" s="54">
        <v>0.1569207056546825</v>
      </c>
      <c r="BG104" s="53">
        <v>1.3746253815350125</v>
      </c>
      <c r="BH104" s="450">
        <v>873.89556950315716</v>
      </c>
      <c r="BI104" s="347">
        <f t="shared" si="155"/>
        <v>331.36033182588005</v>
      </c>
      <c r="BJ104" s="347">
        <f t="shared" si="133"/>
        <v>1205.2559013290372</v>
      </c>
      <c r="BK104" s="45">
        <v>447.41502155707701</v>
      </c>
      <c r="BL104" s="47">
        <v>20.501897796001256</v>
      </c>
      <c r="BM104" s="45">
        <v>426.48054794608015</v>
      </c>
      <c r="BN104" s="55">
        <v>1.95321016818313</v>
      </c>
      <c r="BO104" s="47">
        <f t="shared" si="134"/>
        <v>2.6938208224090259</v>
      </c>
      <c r="BP104" s="45">
        <v>262.89794139306571</v>
      </c>
      <c r="BQ104" s="55">
        <v>3.3240867725037551</v>
      </c>
      <c r="BR104" s="54">
        <v>0.12967977170037026</v>
      </c>
      <c r="BS104" s="53">
        <v>1.1359948000952382</v>
      </c>
      <c r="BT104" s="54">
        <v>0.28660047735505273</v>
      </c>
      <c r="BU104" s="53">
        <v>2.5106201816302507</v>
      </c>
      <c r="BV104" s="450">
        <v>769.1929309215908</v>
      </c>
      <c r="BW104" s="347">
        <f t="shared" si="156"/>
        <v>273.83723519762805</v>
      </c>
      <c r="BX104" s="347">
        <f t="shared" si="135"/>
        <v>1043.0301661192188</v>
      </c>
      <c r="BY104" s="45">
        <v>369.74520098397636</v>
      </c>
      <c r="BZ104" s="47">
        <v>16.942833735787701</v>
      </c>
      <c r="CA104" s="45">
        <v>399.44772993761444</v>
      </c>
      <c r="CB104" s="55">
        <v>2.0803324258829941</v>
      </c>
      <c r="CC104" s="47">
        <f t="shared" si="136"/>
        <v>2.8209430801088899</v>
      </c>
      <c r="CD104" s="45">
        <v>217.25969736188705</v>
      </c>
      <c r="CE104" s="55">
        <v>3.5404308312201813</v>
      </c>
      <c r="CF104" s="52">
        <v>0.14196581268970321</v>
      </c>
      <c r="CG104" s="53">
        <v>1.2436205191617944</v>
      </c>
      <c r="CH104" s="54">
        <v>0.42856629004475594</v>
      </c>
      <c r="CI104" s="53">
        <v>3.7542407007920451</v>
      </c>
      <c r="CJ104" s="450">
        <v>901.12799743608912</v>
      </c>
      <c r="CK104" s="347">
        <f t="shared" si="157"/>
        <v>299.78095372774067</v>
      </c>
      <c r="CL104" s="347">
        <f t="shared" si="137"/>
        <v>1200.9089511638299</v>
      </c>
      <c r="CM104" s="45">
        <v>404.77537288614758</v>
      </c>
      <c r="CN104" s="47">
        <v>18.548021245172766</v>
      </c>
      <c r="CO104" s="45">
        <v>496.35262454994154</v>
      </c>
      <c r="CP104" s="55">
        <v>2.2262421525569249</v>
      </c>
      <c r="CQ104" s="47">
        <f t="shared" si="138"/>
        <v>2.9668528067828208</v>
      </c>
      <c r="CR104" s="45">
        <v>237.84318167959267</v>
      </c>
      <c r="CS104" s="55">
        <v>3.7887484983699551</v>
      </c>
    </row>
    <row r="105" spans="1:97" s="23" customFormat="1" ht="15" customHeight="1">
      <c r="A105" s="377" t="str">
        <f t="shared" si="150"/>
        <v>BNI - Efficient Product Rebates; LED Exit Sign-End of Life replacement; COM-Lighting; Other Commercial</v>
      </c>
      <c r="B105" s="42" t="s">
        <v>84</v>
      </c>
      <c r="C105" s="15" t="s">
        <v>73</v>
      </c>
      <c r="D105" s="15" t="s">
        <v>56</v>
      </c>
      <c r="E105" s="43">
        <v>10</v>
      </c>
      <c r="F105" s="44">
        <v>88.22196000000001</v>
      </c>
      <c r="G105" s="44">
        <v>10.071000000000048</v>
      </c>
      <c r="H105" s="45">
        <v>25</v>
      </c>
      <c r="I105" s="46">
        <v>0.4</v>
      </c>
      <c r="J105" s="45">
        <v>2.8231027200000005</v>
      </c>
      <c r="K105" s="45">
        <v>12.823102720000001</v>
      </c>
      <c r="L105" s="45">
        <v>15</v>
      </c>
      <c r="M105" s="45">
        <v>27.823102720000001</v>
      </c>
      <c r="N105" s="45">
        <v>56.085665965801198</v>
      </c>
      <c r="O105" s="47">
        <v>0.76</v>
      </c>
      <c r="P105" s="47">
        <v>1.9532101681831293</v>
      </c>
      <c r="Q105" s="310">
        <f t="shared" si="151"/>
        <v>1.9532101681831293</v>
      </c>
      <c r="R105" s="311">
        <f t="shared" si="132"/>
        <v>0</v>
      </c>
      <c r="S105" s="311">
        <f t="shared" si="152"/>
        <v>21.266345240392269</v>
      </c>
      <c r="T105" s="310">
        <f t="shared" si="153"/>
        <v>2.693820822409025</v>
      </c>
      <c r="U105" s="316">
        <f t="shared" si="140"/>
        <v>0.37917612056812589</v>
      </c>
      <c r="V105" s="48">
        <v>0.14535046285528003</v>
      </c>
      <c r="W105" s="49">
        <v>1.2732700546122471</v>
      </c>
      <c r="X105" s="48" t="s">
        <v>74</v>
      </c>
      <c r="Y105" s="48" t="s">
        <v>527</v>
      </c>
      <c r="Z105" s="247">
        <f>0.027*Z3</f>
        <v>3.4020000000000002E-2</v>
      </c>
      <c r="AA105" s="247"/>
      <c r="AB105" s="386">
        <v>0</v>
      </c>
      <c r="AC105" s="387">
        <f t="shared" si="141"/>
        <v>3.0013110792000006</v>
      </c>
      <c r="AD105" s="361">
        <f t="shared" si="142"/>
        <v>0.15006555396000004</v>
      </c>
      <c r="AE105" s="361">
        <f t="shared" si="143"/>
        <v>8.7038021296800022E-2</v>
      </c>
      <c r="AF105" s="361">
        <f t="shared" si="144"/>
        <v>1.2005244316800003E-2</v>
      </c>
      <c r="AG105" s="361">
        <f t="shared" si="145"/>
        <v>0</v>
      </c>
      <c r="AH105" s="361">
        <f t="shared" si="146"/>
        <v>0.21909570878160003</v>
      </c>
      <c r="AI105" s="361">
        <f t="shared" si="147"/>
        <v>2.2119662653704006</v>
      </c>
      <c r="AJ105" s="361" t="s">
        <v>40</v>
      </c>
      <c r="AK105" s="361">
        <f t="shared" si="139"/>
        <v>0</v>
      </c>
      <c r="AL105" s="361">
        <f t="shared" si="148"/>
        <v>0.24910881957360007</v>
      </c>
      <c r="AM105" s="361">
        <f t="shared" si="149"/>
        <v>6.9030154821600007E-2</v>
      </c>
      <c r="AN105" s="361">
        <f t="shared" si="154"/>
        <v>2.9983097681208011</v>
      </c>
      <c r="AO105" s="294" t="s">
        <v>617</v>
      </c>
      <c r="AP105" s="282" t="s">
        <v>420</v>
      </c>
      <c r="AQ105" s="136" t="s">
        <v>74</v>
      </c>
      <c r="AR105" s="294"/>
      <c r="AS105" s="142"/>
      <c r="AT105" s="142" t="s">
        <v>217</v>
      </c>
      <c r="AU105" s="146" t="s">
        <v>227</v>
      </c>
      <c r="AV105" s="48"/>
      <c r="AW105" s="131" t="s">
        <v>284</v>
      </c>
      <c r="AX105" s="131"/>
      <c r="AY105" s="131">
        <v>8.7799999999999994</v>
      </c>
      <c r="AZ105" s="48"/>
      <c r="BA105" s="48"/>
      <c r="BB105" s="50"/>
      <c r="BC105" s="51" t="s">
        <v>84</v>
      </c>
      <c r="BD105" s="52">
        <v>0.21286872859364303</v>
      </c>
      <c r="BE105" s="53">
        <v>1.8647300624803045</v>
      </c>
      <c r="BF105" s="54">
        <v>0.21286872859364303</v>
      </c>
      <c r="BG105" s="53">
        <v>1.8647300624803045</v>
      </c>
      <c r="BH105" s="450">
        <v>1185.4715923411584</v>
      </c>
      <c r="BI105" s="347">
        <f t="shared" si="155"/>
        <v>449.50251942763907</v>
      </c>
      <c r="BJ105" s="347">
        <f t="shared" si="133"/>
        <v>1634.9741117687975</v>
      </c>
      <c r="BK105" s="45">
        <v>606.93498920491504</v>
      </c>
      <c r="BL105" s="47">
        <v>27.811581010828647</v>
      </c>
      <c r="BM105" s="45">
        <v>578.53660313624334</v>
      </c>
      <c r="BN105" s="55">
        <v>1.9532101681831302</v>
      </c>
      <c r="BO105" s="47">
        <f t="shared" si="134"/>
        <v>2.6938208224090259</v>
      </c>
      <c r="BP105" s="45">
        <v>356.63076010745721</v>
      </c>
      <c r="BQ105" s="55">
        <v>3.3240867725037551</v>
      </c>
      <c r="BR105" s="54">
        <v>0.17591539632072747</v>
      </c>
      <c r="BS105" s="53">
        <v>1.5410188717695656</v>
      </c>
      <c r="BT105" s="54">
        <v>0.38878412491437053</v>
      </c>
      <c r="BU105" s="53">
        <v>3.4057489342498704</v>
      </c>
      <c r="BV105" s="450">
        <v>1043.4385989113155</v>
      </c>
      <c r="BW105" s="347">
        <f t="shared" si="156"/>
        <v>371.47031588293169</v>
      </c>
      <c r="BX105" s="347">
        <f t="shared" si="135"/>
        <v>1414.9089147942473</v>
      </c>
      <c r="BY105" s="45">
        <v>501.57301108664376</v>
      </c>
      <c r="BZ105" s="47">
        <v>22.983579261026534</v>
      </c>
      <c r="CA105" s="45">
        <v>541.86558782467171</v>
      </c>
      <c r="CB105" s="55">
        <v>2.0803324258829941</v>
      </c>
      <c r="CC105" s="47">
        <f t="shared" si="136"/>
        <v>2.8209430801088899</v>
      </c>
      <c r="CD105" s="45">
        <v>294.72079773740495</v>
      </c>
      <c r="CE105" s="55">
        <v>3.5404308312201809</v>
      </c>
      <c r="CF105" s="52">
        <v>0.19258186435588856</v>
      </c>
      <c r="CG105" s="53">
        <v>1.6870171317575762</v>
      </c>
      <c r="CH105" s="54">
        <v>0.58136598927025918</v>
      </c>
      <c r="CI105" s="53">
        <v>5.0927660660074467</v>
      </c>
      <c r="CJ105" s="450">
        <v>1222.4133858821444</v>
      </c>
      <c r="CK105" s="347">
        <f t="shared" si="157"/>
        <v>406.66392755741253</v>
      </c>
      <c r="CL105" s="347">
        <f t="shared" si="137"/>
        <v>1629.077313439557</v>
      </c>
      <c r="CM105" s="45">
        <v>549.09273210829997</v>
      </c>
      <c r="CN105" s="47">
        <v>25.161075359145812</v>
      </c>
      <c r="CO105" s="45">
        <v>673.32065377384447</v>
      </c>
      <c r="CP105" s="55">
        <v>2.2262421525569245</v>
      </c>
      <c r="CQ105" s="47">
        <f t="shared" si="138"/>
        <v>2.9668528067828204</v>
      </c>
      <c r="CR105" s="45">
        <v>322.64305387598768</v>
      </c>
      <c r="CS105" s="55">
        <v>3.7887484983699538</v>
      </c>
    </row>
    <row r="106" spans="1:97" s="23" customFormat="1" ht="15" customHeight="1">
      <c r="A106" s="377" t="str">
        <f t="shared" si="150"/>
        <v>BNI - Efficient Product Rebates; LED Exit Sign-End of Life replacement; COM-Lighting; Retail</v>
      </c>
      <c r="B106" s="42" t="s">
        <v>84</v>
      </c>
      <c r="C106" s="15" t="s">
        <v>73</v>
      </c>
      <c r="D106" s="15" t="s">
        <v>30</v>
      </c>
      <c r="E106" s="43">
        <v>10</v>
      </c>
      <c r="F106" s="44">
        <v>88.22196000000001</v>
      </c>
      <c r="G106" s="44">
        <v>10.071000000000048</v>
      </c>
      <c r="H106" s="45">
        <v>25</v>
      </c>
      <c r="I106" s="46">
        <v>0.4</v>
      </c>
      <c r="J106" s="45">
        <v>2.8231027200000005</v>
      </c>
      <c r="K106" s="45">
        <v>12.823102720000001</v>
      </c>
      <c r="L106" s="45">
        <v>15</v>
      </c>
      <c r="M106" s="45">
        <v>27.823102720000001</v>
      </c>
      <c r="N106" s="45">
        <v>56.085665965801198</v>
      </c>
      <c r="O106" s="47">
        <v>0.76</v>
      </c>
      <c r="P106" s="47">
        <v>1.9532101681831293</v>
      </c>
      <c r="Q106" s="310">
        <f t="shared" si="151"/>
        <v>1.9532101681831293</v>
      </c>
      <c r="R106" s="311">
        <f t="shared" si="132"/>
        <v>0</v>
      </c>
      <c r="S106" s="311">
        <f t="shared" si="152"/>
        <v>21.266345240392269</v>
      </c>
      <c r="T106" s="310">
        <f t="shared" si="153"/>
        <v>2.693820822409025</v>
      </c>
      <c r="U106" s="316">
        <f t="shared" si="140"/>
        <v>0.37917612056812589</v>
      </c>
      <c r="V106" s="48">
        <v>0.14535046285528003</v>
      </c>
      <c r="W106" s="49">
        <v>1.2732700546122471</v>
      </c>
      <c r="X106" s="48" t="s">
        <v>74</v>
      </c>
      <c r="Y106" s="48" t="s">
        <v>527</v>
      </c>
      <c r="Z106" s="247">
        <f>0.027*Z3</f>
        <v>3.4020000000000002E-2</v>
      </c>
      <c r="AA106" s="247"/>
      <c r="AB106" s="386">
        <v>0</v>
      </c>
      <c r="AC106" s="387">
        <f t="shared" si="141"/>
        <v>3.0013110792000006</v>
      </c>
      <c r="AD106" s="361">
        <f t="shared" si="142"/>
        <v>0.15006555396000004</v>
      </c>
      <c r="AE106" s="361">
        <f t="shared" si="143"/>
        <v>8.7038021296800022E-2</v>
      </c>
      <c r="AF106" s="361">
        <f t="shared" si="144"/>
        <v>1.2005244316800003E-2</v>
      </c>
      <c r="AG106" s="361">
        <f t="shared" si="145"/>
        <v>0</v>
      </c>
      <c r="AH106" s="361">
        <f t="shared" si="146"/>
        <v>0.21909570878160003</v>
      </c>
      <c r="AI106" s="361">
        <f t="shared" si="147"/>
        <v>2.2119662653704006</v>
      </c>
      <c r="AJ106" s="361" t="s">
        <v>40</v>
      </c>
      <c r="AK106" s="361">
        <f t="shared" si="139"/>
        <v>0</v>
      </c>
      <c r="AL106" s="361">
        <f t="shared" si="148"/>
        <v>0.24910881957360007</v>
      </c>
      <c r="AM106" s="361">
        <f t="shared" si="149"/>
        <v>6.9030154821600007E-2</v>
      </c>
      <c r="AN106" s="361">
        <f t="shared" si="154"/>
        <v>2.9983097681208011</v>
      </c>
      <c r="AO106" s="294" t="s">
        <v>617</v>
      </c>
      <c r="AP106" s="282" t="s">
        <v>420</v>
      </c>
      <c r="AQ106" s="136" t="s">
        <v>74</v>
      </c>
      <c r="AR106" s="294"/>
      <c r="AS106" s="142"/>
      <c r="AT106" s="142" t="s">
        <v>217</v>
      </c>
      <c r="AU106" s="146" t="s">
        <v>227</v>
      </c>
      <c r="AV106" s="48"/>
      <c r="AW106" s="131" t="s">
        <v>284</v>
      </c>
      <c r="AX106" s="131"/>
      <c r="AY106" s="131">
        <v>8.7799999999999994</v>
      </c>
      <c r="AZ106" s="48"/>
      <c r="BA106" s="48"/>
      <c r="BB106" s="50"/>
      <c r="BC106" s="51" t="s">
        <v>84</v>
      </c>
      <c r="BD106" s="52">
        <v>0.30456028497793003</v>
      </c>
      <c r="BE106" s="53">
        <v>2.6679480964066546</v>
      </c>
      <c r="BF106" s="54">
        <v>0.30456028497793003</v>
      </c>
      <c r="BG106" s="53">
        <v>2.6679480964066546</v>
      </c>
      <c r="BH106" s="450">
        <v>1696.1043004390156</v>
      </c>
      <c r="BI106" s="347">
        <f t="shared" si="155"/>
        <v>643.12224871938088</v>
      </c>
      <c r="BJ106" s="347">
        <f t="shared" si="133"/>
        <v>2339.2265491583967</v>
      </c>
      <c r="BK106" s="45">
        <v>868.36753569470034</v>
      </c>
      <c r="BL106" s="47">
        <v>39.791204158099674</v>
      </c>
      <c r="BM106" s="45">
        <v>827.73676474431522</v>
      </c>
      <c r="BN106" s="55">
        <v>1.9532101681831298</v>
      </c>
      <c r="BO106" s="47">
        <f t="shared" si="134"/>
        <v>2.6938208224090259</v>
      </c>
      <c r="BP106" s="45">
        <v>510.24669827180327</v>
      </c>
      <c r="BQ106" s="55">
        <v>3.3240867725037546</v>
      </c>
      <c r="BR106" s="54">
        <v>0.25168959099540666</v>
      </c>
      <c r="BS106" s="53">
        <v>2.2048008171197524</v>
      </c>
      <c r="BT106" s="54">
        <v>0.55624987597333664</v>
      </c>
      <c r="BU106" s="53">
        <v>4.872748913526407</v>
      </c>
      <c r="BV106" s="450">
        <v>1492.8916949940974</v>
      </c>
      <c r="BW106" s="347">
        <f t="shared" si="156"/>
        <v>531.4782777799046</v>
      </c>
      <c r="BX106" s="347">
        <f t="shared" si="135"/>
        <v>2024.369972774002</v>
      </c>
      <c r="BY106" s="45">
        <v>717.6217014261274</v>
      </c>
      <c r="BZ106" s="47">
        <v>32.883578042660993</v>
      </c>
      <c r="CA106" s="45">
        <v>775.26999356797</v>
      </c>
      <c r="CB106" s="55">
        <v>2.0803324258829941</v>
      </c>
      <c r="CC106" s="47">
        <f t="shared" si="136"/>
        <v>2.8209430801088899</v>
      </c>
      <c r="CD106" s="45">
        <v>421.66949904217847</v>
      </c>
      <c r="CE106" s="55">
        <v>3.5404308312201813</v>
      </c>
      <c r="CF106" s="52">
        <v>0.27553501107142914</v>
      </c>
      <c r="CG106" s="53">
        <v>2.413686696985708</v>
      </c>
      <c r="CH106" s="54">
        <v>0.83178488704476572</v>
      </c>
      <c r="CI106" s="53">
        <v>7.2864356105121146</v>
      </c>
      <c r="CJ106" s="450">
        <v>1748.958485470187</v>
      </c>
      <c r="CK106" s="347">
        <f t="shared" si="157"/>
        <v>581.83126514351011</v>
      </c>
      <c r="CL106" s="347">
        <f t="shared" si="137"/>
        <v>2330.7897506136969</v>
      </c>
      <c r="CM106" s="45">
        <v>785.61017428469802</v>
      </c>
      <c r="CN106" s="47">
        <v>35.999013722495</v>
      </c>
      <c r="CO106" s="45">
        <v>963.34831118548902</v>
      </c>
      <c r="CP106" s="55">
        <v>2.2262421525569249</v>
      </c>
      <c r="CQ106" s="47">
        <f t="shared" si="138"/>
        <v>2.9668528067828204</v>
      </c>
      <c r="CR106" s="45">
        <v>461.61905078224299</v>
      </c>
      <c r="CS106" s="55">
        <v>3.7887484983699546</v>
      </c>
    </row>
    <row r="107" spans="1:97" s="23" customFormat="1" ht="15" customHeight="1">
      <c r="A107" s="377" t="str">
        <f t="shared" si="150"/>
        <v>BNI - Efficient Product Rebates; LED Exit Sign-End of Life replacement; COM-Lighting; School</v>
      </c>
      <c r="B107" s="42" t="s">
        <v>84</v>
      </c>
      <c r="C107" s="15" t="s">
        <v>73</v>
      </c>
      <c r="D107" s="15" t="s">
        <v>59</v>
      </c>
      <c r="E107" s="43">
        <v>10</v>
      </c>
      <c r="F107" s="44">
        <v>88.22196000000001</v>
      </c>
      <c r="G107" s="44">
        <v>10.071000000000048</v>
      </c>
      <c r="H107" s="45">
        <v>25</v>
      </c>
      <c r="I107" s="46">
        <v>0.4</v>
      </c>
      <c r="J107" s="45">
        <v>2.8231027200000005</v>
      </c>
      <c r="K107" s="45">
        <v>12.823102720000001</v>
      </c>
      <c r="L107" s="45">
        <v>15</v>
      </c>
      <c r="M107" s="45">
        <v>27.823102720000001</v>
      </c>
      <c r="N107" s="45">
        <v>56.085665965801198</v>
      </c>
      <c r="O107" s="47">
        <v>0.76</v>
      </c>
      <c r="P107" s="47">
        <v>1.9532101681831293</v>
      </c>
      <c r="Q107" s="310">
        <f t="shared" si="151"/>
        <v>1.9532101681831293</v>
      </c>
      <c r="R107" s="311">
        <f t="shared" si="132"/>
        <v>0</v>
      </c>
      <c r="S107" s="311">
        <f t="shared" si="152"/>
        <v>21.266345240392269</v>
      </c>
      <c r="T107" s="310">
        <f t="shared" si="153"/>
        <v>2.693820822409025</v>
      </c>
      <c r="U107" s="316">
        <f t="shared" si="140"/>
        <v>0.37917612056812589</v>
      </c>
      <c r="V107" s="48">
        <v>0.14535046285528003</v>
      </c>
      <c r="W107" s="49">
        <v>1.2732700546122471</v>
      </c>
      <c r="X107" s="48" t="s">
        <v>74</v>
      </c>
      <c r="Y107" s="48" t="s">
        <v>527</v>
      </c>
      <c r="Z107" s="247">
        <f>0.027*Z3</f>
        <v>3.4020000000000002E-2</v>
      </c>
      <c r="AA107" s="247"/>
      <c r="AB107" s="386">
        <v>0</v>
      </c>
      <c r="AC107" s="387">
        <f t="shared" si="141"/>
        <v>3.0013110792000006</v>
      </c>
      <c r="AD107" s="361">
        <f t="shared" si="142"/>
        <v>0.15006555396000004</v>
      </c>
      <c r="AE107" s="361">
        <f t="shared" si="143"/>
        <v>8.7038021296800022E-2</v>
      </c>
      <c r="AF107" s="361">
        <f t="shared" si="144"/>
        <v>1.2005244316800003E-2</v>
      </c>
      <c r="AG107" s="361">
        <f t="shared" si="145"/>
        <v>0</v>
      </c>
      <c r="AH107" s="361">
        <f t="shared" si="146"/>
        <v>0.21909570878160003</v>
      </c>
      <c r="AI107" s="361">
        <f t="shared" si="147"/>
        <v>2.2119662653704006</v>
      </c>
      <c r="AJ107" s="361" t="s">
        <v>40</v>
      </c>
      <c r="AK107" s="361">
        <f t="shared" si="139"/>
        <v>0</v>
      </c>
      <c r="AL107" s="361">
        <f t="shared" si="148"/>
        <v>0.24910881957360007</v>
      </c>
      <c r="AM107" s="361">
        <f t="shared" si="149"/>
        <v>6.9030154821600007E-2</v>
      </c>
      <c r="AN107" s="361">
        <f t="shared" si="154"/>
        <v>2.9983097681208011</v>
      </c>
      <c r="AO107" s="294" t="s">
        <v>617</v>
      </c>
      <c r="AP107" s="282" t="s">
        <v>420</v>
      </c>
      <c r="AQ107" s="136" t="s">
        <v>74</v>
      </c>
      <c r="AR107" s="294"/>
      <c r="AS107" s="142"/>
      <c r="AT107" s="142" t="s">
        <v>217</v>
      </c>
      <c r="AU107" s="146" t="s">
        <v>227</v>
      </c>
      <c r="AV107" s="48"/>
      <c r="AW107" s="131" t="s">
        <v>284</v>
      </c>
      <c r="AX107" s="131"/>
      <c r="AY107" s="131">
        <v>8.7799999999999994</v>
      </c>
      <c r="AZ107" s="48"/>
      <c r="BA107" s="48"/>
      <c r="BB107" s="50"/>
      <c r="BC107" s="51" t="s">
        <v>84</v>
      </c>
      <c r="BD107" s="52">
        <v>0.30356498992898262</v>
      </c>
      <c r="BE107" s="53">
        <v>2.6592293117778758</v>
      </c>
      <c r="BF107" s="54">
        <v>0.30356498992898262</v>
      </c>
      <c r="BG107" s="53">
        <v>2.6592293117778758</v>
      </c>
      <c r="BH107" s="450">
        <v>1690.561475927778</v>
      </c>
      <c r="BI107" s="347">
        <f t="shared" si="155"/>
        <v>641.02054202421982</v>
      </c>
      <c r="BJ107" s="347">
        <f t="shared" si="133"/>
        <v>2331.5820179519978</v>
      </c>
      <c r="BK107" s="45">
        <v>865.52973329046972</v>
      </c>
      <c r="BL107" s="47">
        <v>39.661167543203945</v>
      </c>
      <c r="BM107" s="45">
        <v>825.0317426373083</v>
      </c>
      <c r="BN107" s="55">
        <v>1.95321016818313</v>
      </c>
      <c r="BO107" s="47">
        <f t="shared" si="134"/>
        <v>2.6938208224090259</v>
      </c>
      <c r="BP107" s="45">
        <v>508.57922540163418</v>
      </c>
      <c r="BQ107" s="55">
        <v>3.3240867725037551</v>
      </c>
      <c r="BR107" s="54">
        <v>0.2508670759921538</v>
      </c>
      <c r="BS107" s="53">
        <v>2.197595585691257</v>
      </c>
      <c r="BT107" s="54">
        <v>0.55443206592113647</v>
      </c>
      <c r="BU107" s="53">
        <v>4.8568248974691333</v>
      </c>
      <c r="BV107" s="450">
        <v>1488.0129639647048</v>
      </c>
      <c r="BW107" s="347">
        <f t="shared" si="156"/>
        <v>529.74142066297691</v>
      </c>
      <c r="BX107" s="347">
        <f t="shared" si="135"/>
        <v>2017.7543846276817</v>
      </c>
      <c r="BY107" s="45">
        <v>715.27653246721854</v>
      </c>
      <c r="BZ107" s="47">
        <v>32.776115369318966</v>
      </c>
      <c r="CA107" s="45">
        <v>772.73643149748625</v>
      </c>
      <c r="CB107" s="55">
        <v>2.0803324258829941</v>
      </c>
      <c r="CC107" s="47">
        <f t="shared" si="136"/>
        <v>2.8209430801088895</v>
      </c>
      <c r="CD107" s="45">
        <v>420.29149414334785</v>
      </c>
      <c r="CE107" s="55">
        <v>3.5404308312201809</v>
      </c>
      <c r="CF107" s="52">
        <v>0.27463456985877738</v>
      </c>
      <c r="CG107" s="53">
        <v>2.4057988319628789</v>
      </c>
      <c r="CH107" s="54">
        <v>0.8290666357799138</v>
      </c>
      <c r="CI107" s="53">
        <v>7.2626237294320122</v>
      </c>
      <c r="CJ107" s="450">
        <v>1743.2429348640751</v>
      </c>
      <c r="CK107" s="347">
        <f t="shared" si="157"/>
        <v>579.92985578029607</v>
      </c>
      <c r="CL107" s="347">
        <f t="shared" si="137"/>
        <v>2323.1727906443712</v>
      </c>
      <c r="CM107" s="45">
        <v>783.04282077396363</v>
      </c>
      <c r="CN107" s="47">
        <v>35.88136988680057</v>
      </c>
      <c r="CO107" s="45">
        <v>960.20011409011147</v>
      </c>
      <c r="CP107" s="55">
        <v>2.2262421525569249</v>
      </c>
      <c r="CQ107" s="47">
        <f t="shared" si="138"/>
        <v>2.9668528067828208</v>
      </c>
      <c r="CR107" s="45">
        <v>460.11049179275847</v>
      </c>
      <c r="CS107" s="55">
        <v>3.7887484983699551</v>
      </c>
    </row>
    <row r="108" spans="1:97" s="23" customFormat="1" ht="15" customHeight="1">
      <c r="A108" s="377" t="str">
        <f t="shared" si="150"/>
        <v xml:space="preserve">BNI - Efficient Product Rebates; Photoluminescent Exit Sign; IND; Industrial </v>
      </c>
      <c r="B108" s="42" t="s">
        <v>85</v>
      </c>
      <c r="C108" s="15" t="s">
        <v>69</v>
      </c>
      <c r="D108" s="15" t="s">
        <v>70</v>
      </c>
      <c r="E108" s="43">
        <v>10</v>
      </c>
      <c r="F108" s="44">
        <v>107.82684</v>
      </c>
      <c r="G108" s="44">
        <v>12.309000000000056</v>
      </c>
      <c r="H108" s="45">
        <v>40</v>
      </c>
      <c r="I108" s="46">
        <v>0.375</v>
      </c>
      <c r="J108" s="45">
        <v>3.4504588800000002</v>
      </c>
      <c r="K108" s="45">
        <v>18.450458879999999</v>
      </c>
      <c r="L108" s="45">
        <v>25</v>
      </c>
      <c r="M108" s="45">
        <v>43.450458879999999</v>
      </c>
      <c r="N108" s="45">
        <v>68.549147291534794</v>
      </c>
      <c r="O108" s="47">
        <v>0.82</v>
      </c>
      <c r="P108" s="47">
        <v>1.5506093582189306</v>
      </c>
      <c r="Q108" s="310">
        <f t="shared" si="151"/>
        <v>1.5506093582189306</v>
      </c>
      <c r="R108" s="311">
        <f t="shared" si="132"/>
        <v>0</v>
      </c>
      <c r="S108" s="311">
        <f t="shared" si="152"/>
        <v>25.99219973825722</v>
      </c>
      <c r="T108" s="310">
        <f t="shared" si="153"/>
        <v>2.1385633991850161</v>
      </c>
      <c r="U108" s="316">
        <f t="shared" si="140"/>
        <v>0.37917612056812583</v>
      </c>
      <c r="V108" s="48">
        <v>0.17111193168602548</v>
      </c>
      <c r="W108" s="49">
        <v>1.4989405215695764</v>
      </c>
      <c r="X108" s="48" t="s">
        <v>74</v>
      </c>
      <c r="Y108" s="48" t="s">
        <v>527</v>
      </c>
      <c r="Z108" s="247">
        <f>0.027*Z3</f>
        <v>3.4020000000000002E-2</v>
      </c>
      <c r="AA108" s="247"/>
      <c r="AB108" s="386">
        <v>0</v>
      </c>
      <c r="AC108" s="387">
        <f t="shared" si="141"/>
        <v>3.6682690968000005</v>
      </c>
      <c r="AD108" s="361">
        <f t="shared" si="142"/>
        <v>0.18341345484000005</v>
      </c>
      <c r="AE108" s="361">
        <f t="shared" si="143"/>
        <v>0.10637980380720002</v>
      </c>
      <c r="AF108" s="361">
        <f t="shared" si="144"/>
        <v>1.4673076387200001E-2</v>
      </c>
      <c r="AG108" s="361">
        <f t="shared" si="145"/>
        <v>0</v>
      </c>
      <c r="AH108" s="361">
        <f t="shared" si="146"/>
        <v>0.26778364406640004</v>
      </c>
      <c r="AI108" s="361">
        <f t="shared" si="147"/>
        <v>2.7035143243416004</v>
      </c>
      <c r="AJ108" s="361" t="s">
        <v>40</v>
      </c>
      <c r="AK108" s="361">
        <f t="shared" si="139"/>
        <v>0</v>
      </c>
      <c r="AL108" s="361">
        <f t="shared" si="148"/>
        <v>0.30446633503440007</v>
      </c>
      <c r="AM108" s="361">
        <f t="shared" si="149"/>
        <v>8.4370189226400008E-2</v>
      </c>
      <c r="AN108" s="361">
        <f t="shared" si="154"/>
        <v>3.6646008277032007</v>
      </c>
      <c r="AO108" s="294" t="s">
        <v>617</v>
      </c>
      <c r="AP108" s="282" t="s">
        <v>420</v>
      </c>
      <c r="AQ108" s="136" t="s">
        <v>74</v>
      </c>
      <c r="AR108" s="294"/>
      <c r="AS108" s="142"/>
      <c r="AT108" s="142" t="s">
        <v>217</v>
      </c>
      <c r="AU108" s="146" t="s">
        <v>227</v>
      </c>
      <c r="AV108" s="48"/>
      <c r="AW108" s="131" t="s">
        <v>284</v>
      </c>
      <c r="AX108" s="131"/>
      <c r="AY108" s="131"/>
      <c r="AZ108" s="48"/>
      <c r="BA108" s="48"/>
      <c r="BB108" s="50"/>
      <c r="BC108" s="51" t="s">
        <v>85</v>
      </c>
      <c r="BD108" s="52">
        <v>0.14092980614055212</v>
      </c>
      <c r="BE108" s="53">
        <v>1.234545101791231</v>
      </c>
      <c r="BF108" s="54">
        <v>0.14092980614055212</v>
      </c>
      <c r="BG108" s="53">
        <v>1.234545101791231</v>
      </c>
      <c r="BH108" s="450">
        <v>784.84182621627326</v>
      </c>
      <c r="BI108" s="347">
        <f t="shared" si="155"/>
        <v>297.59327892428979</v>
      </c>
      <c r="BJ108" s="347">
        <f t="shared" si="133"/>
        <v>1082.4351051405631</v>
      </c>
      <c r="BK108" s="45">
        <v>506.15058012919684</v>
      </c>
      <c r="BL108" s="47">
        <v>13.962597875097488</v>
      </c>
      <c r="BM108" s="45">
        <v>278.69124608707642</v>
      </c>
      <c r="BN108" s="55">
        <v>1.5506093582189304</v>
      </c>
      <c r="BO108" s="47">
        <f t="shared" si="134"/>
        <v>2.1385633991850161</v>
      </c>
      <c r="BP108" s="45">
        <v>257.61633795246161</v>
      </c>
      <c r="BQ108" s="55">
        <v>3.0465529960335882</v>
      </c>
      <c r="BR108" s="54">
        <v>0.11235447551199949</v>
      </c>
      <c r="BS108" s="53">
        <v>0.98422520548511105</v>
      </c>
      <c r="BT108" s="54">
        <v>0.25328428165255162</v>
      </c>
      <c r="BU108" s="53">
        <v>2.2187703072763423</v>
      </c>
      <c r="BV108" s="450">
        <v>666.42828860706754</v>
      </c>
      <c r="BW108" s="347">
        <f t="shared" si="156"/>
        <v>237.25241441181305</v>
      </c>
      <c r="BX108" s="347">
        <f t="shared" si="135"/>
        <v>903.68070301888065</v>
      </c>
      <c r="BY108" s="45">
        <v>403.52204063769381</v>
      </c>
      <c r="BZ108" s="47">
        <v>11.131501589358468</v>
      </c>
      <c r="CA108" s="45">
        <v>262.90624796937374</v>
      </c>
      <c r="CB108" s="55">
        <v>1.6515288422756236</v>
      </c>
      <c r="CC108" s="47">
        <f t="shared" si="136"/>
        <v>2.2394828832417093</v>
      </c>
      <c r="CD108" s="45">
        <v>205.38131234711307</v>
      </c>
      <c r="CE108" s="55">
        <v>3.2448341136351453</v>
      </c>
      <c r="CF108" s="52">
        <v>0.11700925320539583</v>
      </c>
      <c r="CG108" s="53">
        <v>1.0250010580792628</v>
      </c>
      <c r="CH108" s="54">
        <v>0.37029353485794747</v>
      </c>
      <c r="CI108" s="53">
        <v>3.2437713653556051</v>
      </c>
      <c r="CJ108" s="450">
        <v>742.71623586541261</v>
      </c>
      <c r="CK108" s="347">
        <f t="shared" si="157"/>
        <v>247.08163786976584</v>
      </c>
      <c r="CL108" s="347">
        <f t="shared" si="137"/>
        <v>989.79787373517843</v>
      </c>
      <c r="CM108" s="45">
        <v>420.23971374323463</v>
      </c>
      <c r="CN108" s="47">
        <v>11.592672940620018</v>
      </c>
      <c r="CO108" s="45">
        <v>322.47652212217798</v>
      </c>
      <c r="CP108" s="55">
        <v>1.7673632728562401</v>
      </c>
      <c r="CQ108" s="47">
        <f t="shared" si="138"/>
        <v>2.3553173138223258</v>
      </c>
      <c r="CR108" s="45">
        <v>213.89013540019832</v>
      </c>
      <c r="CS108" s="55">
        <v>3.4724193075840373</v>
      </c>
    </row>
    <row r="109" spans="1:97" s="23" customFormat="1" ht="15" customHeight="1">
      <c r="A109" s="377" t="str">
        <f t="shared" si="150"/>
        <v>BNI - Efficient Product Rebates; Photoluminescent Exit Sign; COM-Lighting; Office</v>
      </c>
      <c r="B109" s="42" t="s">
        <v>85</v>
      </c>
      <c r="C109" s="15" t="s">
        <v>73</v>
      </c>
      <c r="D109" s="15" t="s">
        <v>66</v>
      </c>
      <c r="E109" s="43">
        <v>10</v>
      </c>
      <c r="F109" s="44">
        <v>107.82684</v>
      </c>
      <c r="G109" s="44">
        <v>12.309000000000056</v>
      </c>
      <c r="H109" s="45">
        <v>40</v>
      </c>
      <c r="I109" s="46">
        <v>0.375</v>
      </c>
      <c r="J109" s="45">
        <v>3.4504588800000002</v>
      </c>
      <c r="K109" s="45">
        <v>18.450458879999999</v>
      </c>
      <c r="L109" s="45">
        <v>25</v>
      </c>
      <c r="M109" s="45">
        <v>43.450458879999999</v>
      </c>
      <c r="N109" s="45">
        <v>68.549147291534794</v>
      </c>
      <c r="O109" s="47">
        <v>0.82</v>
      </c>
      <c r="P109" s="47">
        <v>1.5506093582189306</v>
      </c>
      <c r="Q109" s="310">
        <f t="shared" si="151"/>
        <v>1.5506093582189306</v>
      </c>
      <c r="R109" s="311">
        <f t="shared" si="132"/>
        <v>0</v>
      </c>
      <c r="S109" s="311">
        <f t="shared" si="152"/>
        <v>25.99219973825722</v>
      </c>
      <c r="T109" s="310">
        <f t="shared" si="153"/>
        <v>2.1385633991850161</v>
      </c>
      <c r="U109" s="316">
        <f t="shared" si="140"/>
        <v>0.37917612056812583</v>
      </c>
      <c r="V109" s="48">
        <v>0.17111193168602548</v>
      </c>
      <c r="W109" s="49">
        <v>1.4989405215695764</v>
      </c>
      <c r="X109" s="48" t="s">
        <v>74</v>
      </c>
      <c r="Y109" s="48" t="s">
        <v>527</v>
      </c>
      <c r="Z109" s="247">
        <f>0.027*Z3</f>
        <v>3.4020000000000002E-2</v>
      </c>
      <c r="AA109" s="247"/>
      <c r="AB109" s="386">
        <v>0</v>
      </c>
      <c r="AC109" s="387">
        <f t="shared" si="141"/>
        <v>3.6682690968000005</v>
      </c>
      <c r="AD109" s="361">
        <f t="shared" si="142"/>
        <v>0.18341345484000005</v>
      </c>
      <c r="AE109" s="361">
        <f t="shared" si="143"/>
        <v>0.10637980380720002</v>
      </c>
      <c r="AF109" s="361">
        <f t="shared" si="144"/>
        <v>1.4673076387200001E-2</v>
      </c>
      <c r="AG109" s="361">
        <f t="shared" si="145"/>
        <v>0</v>
      </c>
      <c r="AH109" s="361">
        <f t="shared" si="146"/>
        <v>0.26778364406640004</v>
      </c>
      <c r="AI109" s="361">
        <f t="shared" si="147"/>
        <v>2.7035143243416004</v>
      </c>
      <c r="AJ109" s="361" t="s">
        <v>40</v>
      </c>
      <c r="AK109" s="361">
        <f t="shared" si="139"/>
        <v>0</v>
      </c>
      <c r="AL109" s="361">
        <f t="shared" si="148"/>
        <v>0.30446633503440007</v>
      </c>
      <c r="AM109" s="361">
        <f t="shared" si="149"/>
        <v>8.4370189226400008E-2</v>
      </c>
      <c r="AN109" s="361">
        <f t="shared" si="154"/>
        <v>3.6646008277032007</v>
      </c>
      <c r="AO109" s="294" t="s">
        <v>617</v>
      </c>
      <c r="AP109" s="282" t="s">
        <v>420</v>
      </c>
      <c r="AQ109" s="136" t="s">
        <v>74</v>
      </c>
      <c r="AR109" s="294"/>
      <c r="AS109" s="142"/>
      <c r="AT109" s="142" t="s">
        <v>217</v>
      </c>
      <c r="AU109" s="146" t="s">
        <v>227</v>
      </c>
      <c r="AV109" s="48"/>
      <c r="AW109" s="131" t="s">
        <v>284</v>
      </c>
      <c r="AX109" s="131"/>
      <c r="AY109" s="131"/>
      <c r="AZ109" s="48"/>
      <c r="BA109" s="48"/>
      <c r="BB109" s="50"/>
      <c r="BC109" s="51" t="s">
        <v>85</v>
      </c>
      <c r="BD109" s="52">
        <v>0.19663711768268999</v>
      </c>
      <c r="BE109" s="53">
        <v>1.7225411509003565</v>
      </c>
      <c r="BF109" s="54">
        <v>0.19663711768268999</v>
      </c>
      <c r="BG109" s="53">
        <v>1.7225411509003565</v>
      </c>
      <c r="BH109" s="450">
        <v>1095.0773209045024</v>
      </c>
      <c r="BI109" s="347">
        <f t="shared" si="155"/>
        <v>415.22717026270584</v>
      </c>
      <c r="BJ109" s="347">
        <f t="shared" si="133"/>
        <v>1510.3044911672082</v>
      </c>
      <c r="BK109" s="45">
        <v>706.22385651169805</v>
      </c>
      <c r="BL109" s="47">
        <v>19.481790805725051</v>
      </c>
      <c r="BM109" s="45">
        <v>388.85346439280431</v>
      </c>
      <c r="BN109" s="55">
        <v>1.5506093582189309</v>
      </c>
      <c r="BO109" s="47">
        <f t="shared" si="134"/>
        <v>2.1385633991850161</v>
      </c>
      <c r="BP109" s="45">
        <v>359.44798016979212</v>
      </c>
      <c r="BQ109" s="55">
        <v>3.0465529960335891</v>
      </c>
      <c r="BR109" s="54">
        <v>0.1631702556012449</v>
      </c>
      <c r="BS109" s="53">
        <v>1.4293714390668988</v>
      </c>
      <c r="BT109" s="54">
        <v>0.35980737328393492</v>
      </c>
      <c r="BU109" s="53">
        <v>3.1519125899672553</v>
      </c>
      <c r="BV109" s="450">
        <v>967.84105569788233</v>
      </c>
      <c r="BW109" s="347">
        <f t="shared" si="156"/>
        <v>344.55714314160554</v>
      </c>
      <c r="BX109" s="347">
        <f t="shared" si="135"/>
        <v>1312.3981988394878</v>
      </c>
      <c r="BY109" s="45">
        <v>586.02734080278265</v>
      </c>
      <c r="BZ109" s="47">
        <v>16.166066828083771</v>
      </c>
      <c r="CA109" s="45">
        <v>381.81371489509968</v>
      </c>
      <c r="CB109" s="55">
        <v>1.6515288422756242</v>
      </c>
      <c r="CC109" s="47">
        <f t="shared" si="136"/>
        <v>2.2394828832417097</v>
      </c>
      <c r="CD109" s="45">
        <v>298.27135126289164</v>
      </c>
      <c r="CE109" s="55">
        <v>3.2448341136351462</v>
      </c>
      <c r="CF109" s="52">
        <v>0.178435879839726</v>
      </c>
      <c r="CG109" s="53">
        <v>1.5630983073959928</v>
      </c>
      <c r="CH109" s="54">
        <v>0.53824325312366095</v>
      </c>
      <c r="CI109" s="53">
        <v>4.7150108973632481</v>
      </c>
      <c r="CJ109" s="450">
        <v>1132.6217490274778</v>
      </c>
      <c r="CK109" s="347">
        <f t="shared" si="157"/>
        <v>376.79267440619077</v>
      </c>
      <c r="CL109" s="347">
        <f t="shared" si="137"/>
        <v>1509.4144234336686</v>
      </c>
      <c r="CM109" s="45">
        <v>640.85395822277371</v>
      </c>
      <c r="CN109" s="47">
        <v>17.678506094066133</v>
      </c>
      <c r="CO109" s="45">
        <v>491.76779080470408</v>
      </c>
      <c r="CP109" s="55">
        <v>1.7673632728562405</v>
      </c>
      <c r="CQ109" s="47">
        <f t="shared" si="138"/>
        <v>2.3553173138223262</v>
      </c>
      <c r="CR109" s="45">
        <v>326.17654974839661</v>
      </c>
      <c r="CS109" s="55">
        <v>3.4724193075840377</v>
      </c>
    </row>
    <row r="110" spans="1:97" s="23" customFormat="1" ht="15" customHeight="1">
      <c r="A110" s="377" t="str">
        <f t="shared" si="150"/>
        <v>BNI - Efficient Product Rebates; Photoluminescent Exit Sign; COM-Lighting; Other Commercial</v>
      </c>
      <c r="B110" s="42" t="s">
        <v>85</v>
      </c>
      <c r="C110" s="15" t="s">
        <v>73</v>
      </c>
      <c r="D110" s="15" t="s">
        <v>56</v>
      </c>
      <c r="E110" s="43">
        <v>10</v>
      </c>
      <c r="F110" s="44">
        <v>107.82684</v>
      </c>
      <c r="G110" s="44">
        <v>12.309000000000056</v>
      </c>
      <c r="H110" s="45">
        <v>40</v>
      </c>
      <c r="I110" s="46">
        <v>0.375</v>
      </c>
      <c r="J110" s="45">
        <v>3.4504588800000002</v>
      </c>
      <c r="K110" s="45">
        <v>18.450458879999999</v>
      </c>
      <c r="L110" s="45">
        <v>25</v>
      </c>
      <c r="M110" s="45">
        <v>43.450458879999999</v>
      </c>
      <c r="N110" s="45">
        <v>68.549147291534794</v>
      </c>
      <c r="O110" s="47">
        <v>0.82</v>
      </c>
      <c r="P110" s="47">
        <v>1.5506093582189306</v>
      </c>
      <c r="Q110" s="310">
        <f t="shared" si="151"/>
        <v>1.5506093582189306</v>
      </c>
      <c r="R110" s="311">
        <f t="shared" si="132"/>
        <v>0</v>
      </c>
      <c r="S110" s="311">
        <f t="shared" si="152"/>
        <v>25.99219973825722</v>
      </c>
      <c r="T110" s="310">
        <f t="shared" si="153"/>
        <v>2.1385633991850161</v>
      </c>
      <c r="U110" s="316">
        <f t="shared" si="140"/>
        <v>0.37917612056812583</v>
      </c>
      <c r="V110" s="48">
        <v>0.17111193168602548</v>
      </c>
      <c r="W110" s="49">
        <v>1.4989405215695764</v>
      </c>
      <c r="X110" s="48" t="s">
        <v>74</v>
      </c>
      <c r="Y110" s="48" t="s">
        <v>527</v>
      </c>
      <c r="Z110" s="247">
        <f>0.027*Z3</f>
        <v>3.4020000000000002E-2</v>
      </c>
      <c r="AA110" s="247"/>
      <c r="AB110" s="386">
        <v>0</v>
      </c>
      <c r="AC110" s="387">
        <f t="shared" si="141"/>
        <v>3.6682690968000005</v>
      </c>
      <c r="AD110" s="361">
        <f t="shared" si="142"/>
        <v>0.18341345484000005</v>
      </c>
      <c r="AE110" s="361">
        <f t="shared" si="143"/>
        <v>0.10637980380720002</v>
      </c>
      <c r="AF110" s="361">
        <f t="shared" si="144"/>
        <v>1.4673076387200001E-2</v>
      </c>
      <c r="AG110" s="361">
        <f t="shared" si="145"/>
        <v>0</v>
      </c>
      <c r="AH110" s="361">
        <f t="shared" si="146"/>
        <v>0.26778364406640004</v>
      </c>
      <c r="AI110" s="361">
        <f t="shared" si="147"/>
        <v>2.7035143243416004</v>
      </c>
      <c r="AJ110" s="361" t="s">
        <v>40</v>
      </c>
      <c r="AK110" s="361">
        <f t="shared" si="139"/>
        <v>0</v>
      </c>
      <c r="AL110" s="361">
        <f t="shared" si="148"/>
        <v>0.30446633503440007</v>
      </c>
      <c r="AM110" s="361">
        <f t="shared" si="149"/>
        <v>8.4370189226400008E-2</v>
      </c>
      <c r="AN110" s="361">
        <f t="shared" si="154"/>
        <v>3.6646008277032007</v>
      </c>
      <c r="AO110" s="294" t="s">
        <v>617</v>
      </c>
      <c r="AP110" s="282" t="s">
        <v>420</v>
      </c>
      <c r="AQ110" s="136" t="s">
        <v>74</v>
      </c>
      <c r="AR110" s="294"/>
      <c r="AS110" s="142"/>
      <c r="AT110" s="142" t="s">
        <v>217</v>
      </c>
      <c r="AU110" s="146" t="s">
        <v>227</v>
      </c>
      <c r="AV110" s="48"/>
      <c r="AW110" s="131" t="s">
        <v>284</v>
      </c>
      <c r="AX110" s="131"/>
      <c r="AY110" s="131"/>
      <c r="AZ110" s="48"/>
      <c r="BA110" s="48"/>
      <c r="BB110" s="50"/>
      <c r="BC110" s="51" t="s">
        <v>85</v>
      </c>
      <c r="BD110" s="52">
        <v>0.26674550729809127</v>
      </c>
      <c r="BE110" s="53">
        <v>2.3366906439312687</v>
      </c>
      <c r="BF110" s="54">
        <v>0.26674550729809127</v>
      </c>
      <c r="BG110" s="53">
        <v>2.3366906439312687</v>
      </c>
      <c r="BH110" s="450">
        <v>1485.5128011318504</v>
      </c>
      <c r="BI110" s="347">
        <f t="shared" si="155"/>
        <v>563.27098098746478</v>
      </c>
      <c r="BJ110" s="347">
        <f t="shared" si="133"/>
        <v>2048.7837821193152</v>
      </c>
      <c r="BK110" s="45">
        <v>958.01872551456029</v>
      </c>
      <c r="BL110" s="47">
        <v>26.427768230076548</v>
      </c>
      <c r="BM110" s="45">
        <v>527.49407561729015</v>
      </c>
      <c r="BN110" s="55">
        <v>1.5506093582189309</v>
      </c>
      <c r="BO110" s="47">
        <f t="shared" si="134"/>
        <v>2.1385633991850166</v>
      </c>
      <c r="BP110" s="45">
        <v>487.60445101919777</v>
      </c>
      <c r="BQ110" s="55">
        <v>3.0465529960335891</v>
      </c>
      <c r="BR110" s="54">
        <v>0.22134647374433522</v>
      </c>
      <c r="BS110" s="53">
        <v>1.9389951100003677</v>
      </c>
      <c r="BT110" s="54">
        <v>0.48809198104242646</v>
      </c>
      <c r="BU110" s="53">
        <v>4.2756857539316364</v>
      </c>
      <c r="BV110" s="450">
        <v>1312.9121115508415</v>
      </c>
      <c r="BW110" s="347">
        <f t="shared" si="156"/>
        <v>467.40448102377468</v>
      </c>
      <c r="BX110" s="347">
        <f t="shared" si="135"/>
        <v>1780.3165925746162</v>
      </c>
      <c r="BY110" s="45">
        <v>794.96771593876247</v>
      </c>
      <c r="BZ110" s="47">
        <v>21.929866283082003</v>
      </c>
      <c r="CA110" s="45">
        <v>517.94439561207901</v>
      </c>
      <c r="CB110" s="55">
        <v>1.651528842275624</v>
      </c>
      <c r="CC110" s="47">
        <f t="shared" si="136"/>
        <v>2.2394828832417097</v>
      </c>
      <c r="CD110" s="45">
        <v>404.61609609990296</v>
      </c>
      <c r="CE110" s="55">
        <v>3.2448341136351453</v>
      </c>
      <c r="CF110" s="52">
        <v>0.24205485642255709</v>
      </c>
      <c r="CG110" s="53">
        <v>2.1204005422615904</v>
      </c>
      <c r="CH110" s="54">
        <v>0.73014683746498354</v>
      </c>
      <c r="CI110" s="53">
        <v>6.3960862961932268</v>
      </c>
      <c r="CJ110" s="450">
        <v>1536.4432035090892</v>
      </c>
      <c r="CK110" s="347">
        <f t="shared" si="157"/>
        <v>511.13316888051418</v>
      </c>
      <c r="CL110" s="347">
        <f t="shared" si="137"/>
        <v>2047.5763723896034</v>
      </c>
      <c r="CM110" s="45">
        <v>869.34204592021399</v>
      </c>
      <c r="CN110" s="47">
        <v>23.981545966024861</v>
      </c>
      <c r="CO110" s="45">
        <v>667.10115758887525</v>
      </c>
      <c r="CP110" s="55">
        <v>1.7673632728562403</v>
      </c>
      <c r="CQ110" s="47">
        <f t="shared" si="138"/>
        <v>2.3553173138223258</v>
      </c>
      <c r="CR110" s="45">
        <v>442.47052772497159</v>
      </c>
      <c r="CS110" s="55">
        <v>3.4724193075840368</v>
      </c>
    </row>
    <row r="111" spans="1:97" s="23" customFormat="1" ht="15" customHeight="1">
      <c r="A111" s="377" t="str">
        <f t="shared" si="150"/>
        <v>BNI - Efficient Product Rebates; Photoluminescent Exit Sign; COM-Lighting; Retail</v>
      </c>
      <c r="B111" s="42" t="s">
        <v>85</v>
      </c>
      <c r="C111" s="15" t="s">
        <v>73</v>
      </c>
      <c r="D111" s="15" t="s">
        <v>30</v>
      </c>
      <c r="E111" s="43">
        <v>10</v>
      </c>
      <c r="F111" s="44">
        <v>107.82684</v>
      </c>
      <c r="G111" s="44">
        <v>12.309000000000056</v>
      </c>
      <c r="H111" s="45">
        <v>40</v>
      </c>
      <c r="I111" s="46">
        <v>0.375</v>
      </c>
      <c r="J111" s="45">
        <v>3.4504588800000002</v>
      </c>
      <c r="K111" s="45">
        <v>18.450458879999999</v>
      </c>
      <c r="L111" s="45">
        <v>25</v>
      </c>
      <c r="M111" s="45">
        <v>43.450458879999999</v>
      </c>
      <c r="N111" s="45">
        <v>68.549147291534794</v>
      </c>
      <c r="O111" s="47">
        <v>0.82</v>
      </c>
      <c r="P111" s="47">
        <v>1.5506093582189306</v>
      </c>
      <c r="Q111" s="310">
        <f t="shared" si="151"/>
        <v>1.5506093582189306</v>
      </c>
      <c r="R111" s="311">
        <f t="shared" si="132"/>
        <v>0</v>
      </c>
      <c r="S111" s="311">
        <f t="shared" si="152"/>
        <v>25.99219973825722</v>
      </c>
      <c r="T111" s="310">
        <f t="shared" si="153"/>
        <v>2.1385633991850161</v>
      </c>
      <c r="U111" s="316">
        <f t="shared" si="140"/>
        <v>0.37917612056812583</v>
      </c>
      <c r="V111" s="48">
        <v>0.17111193168602548</v>
      </c>
      <c r="W111" s="49">
        <v>1.4989405215695764</v>
      </c>
      <c r="X111" s="48" t="s">
        <v>74</v>
      </c>
      <c r="Y111" s="48" t="s">
        <v>527</v>
      </c>
      <c r="Z111" s="247">
        <f>0.027*Z3</f>
        <v>3.4020000000000002E-2</v>
      </c>
      <c r="AA111" s="247"/>
      <c r="AB111" s="386">
        <v>0</v>
      </c>
      <c r="AC111" s="387">
        <f t="shared" si="141"/>
        <v>3.6682690968000005</v>
      </c>
      <c r="AD111" s="361">
        <f t="shared" si="142"/>
        <v>0.18341345484000005</v>
      </c>
      <c r="AE111" s="361">
        <f t="shared" si="143"/>
        <v>0.10637980380720002</v>
      </c>
      <c r="AF111" s="361">
        <f t="shared" si="144"/>
        <v>1.4673076387200001E-2</v>
      </c>
      <c r="AG111" s="361">
        <f t="shared" si="145"/>
        <v>0</v>
      </c>
      <c r="AH111" s="361">
        <f t="shared" si="146"/>
        <v>0.26778364406640004</v>
      </c>
      <c r="AI111" s="361">
        <f t="shared" si="147"/>
        <v>2.7035143243416004</v>
      </c>
      <c r="AJ111" s="361" t="s">
        <v>40</v>
      </c>
      <c r="AK111" s="361">
        <f t="shared" si="139"/>
        <v>0</v>
      </c>
      <c r="AL111" s="361">
        <f t="shared" si="148"/>
        <v>0.30446633503440007</v>
      </c>
      <c r="AM111" s="361">
        <f t="shared" si="149"/>
        <v>8.4370189226400008E-2</v>
      </c>
      <c r="AN111" s="361">
        <f t="shared" si="154"/>
        <v>3.6646008277032007</v>
      </c>
      <c r="AO111" s="294" t="s">
        <v>617</v>
      </c>
      <c r="AP111" s="282" t="s">
        <v>420</v>
      </c>
      <c r="AQ111" s="136" t="s">
        <v>74</v>
      </c>
      <c r="AR111" s="294"/>
      <c r="AS111" s="142"/>
      <c r="AT111" s="142" t="s">
        <v>217</v>
      </c>
      <c r="AU111" s="146" t="s">
        <v>227</v>
      </c>
      <c r="AV111" s="48"/>
      <c r="AW111" s="131" t="s">
        <v>284</v>
      </c>
      <c r="AX111" s="131"/>
      <c r="AY111" s="131"/>
      <c r="AZ111" s="48"/>
      <c r="BA111" s="48"/>
      <c r="BB111" s="50"/>
      <c r="BC111" s="51" t="s">
        <v>85</v>
      </c>
      <c r="BD111" s="52">
        <v>0.38164406888704117</v>
      </c>
      <c r="BE111" s="53">
        <v>3.3432020434504652</v>
      </c>
      <c r="BF111" s="54">
        <v>0.38164406888704117</v>
      </c>
      <c r="BG111" s="53">
        <v>3.3432020434504652</v>
      </c>
      <c r="BH111" s="450">
        <v>2125.385936394372</v>
      </c>
      <c r="BI111" s="347">
        <f t="shared" si="155"/>
        <v>805.89559407207139</v>
      </c>
      <c r="BJ111" s="347">
        <f t="shared" si="133"/>
        <v>2931.2815304664437</v>
      </c>
      <c r="BK111" s="45">
        <v>1370.6778726239882</v>
      </c>
      <c r="BL111" s="47">
        <v>37.811324738297721</v>
      </c>
      <c r="BM111" s="45">
        <v>754.70806377038389</v>
      </c>
      <c r="BN111" s="55">
        <v>1.5506093582189311</v>
      </c>
      <c r="BO111" s="47">
        <f t="shared" si="134"/>
        <v>2.138563399185017</v>
      </c>
      <c r="BP111" s="45">
        <v>697.63629228228888</v>
      </c>
      <c r="BQ111" s="55">
        <v>3.0465529960335895</v>
      </c>
      <c r="BR111" s="54">
        <v>0.31668975320054521</v>
      </c>
      <c r="BS111" s="53">
        <v>2.7742022380367635</v>
      </c>
      <c r="BT111" s="54">
        <v>0.69833382208758632</v>
      </c>
      <c r="BU111" s="53">
        <v>6.1174042814872287</v>
      </c>
      <c r="BV111" s="450">
        <v>1878.438836397698</v>
      </c>
      <c r="BW111" s="347">
        <f t="shared" si="156"/>
        <v>668.73534164009402</v>
      </c>
      <c r="BX111" s="347">
        <f t="shared" si="135"/>
        <v>2547.174178037792</v>
      </c>
      <c r="BY111" s="45">
        <v>1137.3939033419585</v>
      </c>
      <c r="BZ111" s="47">
        <v>31.375986359430019</v>
      </c>
      <c r="CA111" s="45">
        <v>741.04493305573942</v>
      </c>
      <c r="CB111" s="55">
        <v>1.6515288422756242</v>
      </c>
      <c r="CC111" s="47">
        <f t="shared" si="136"/>
        <v>2.2394828832417097</v>
      </c>
      <c r="CD111" s="45">
        <v>578.90134614410442</v>
      </c>
      <c r="CE111" s="55">
        <v>3.2448341136351462</v>
      </c>
      <c r="CF111" s="52">
        <v>0.34631811135150198</v>
      </c>
      <c r="CG111" s="53">
        <v>3.0337466554391437</v>
      </c>
      <c r="CH111" s="54">
        <v>1.0446519334390885</v>
      </c>
      <c r="CI111" s="53">
        <v>9.1511509369263724</v>
      </c>
      <c r="CJ111" s="450">
        <v>2198.2542151900948</v>
      </c>
      <c r="CK111" s="347">
        <f t="shared" si="157"/>
        <v>731.29982315575626</v>
      </c>
      <c r="CL111" s="347">
        <f t="shared" si="137"/>
        <v>2929.554038345851</v>
      </c>
      <c r="CM111" s="45">
        <v>1243.8044000074133</v>
      </c>
      <c r="CN111" s="47">
        <v>34.311411177573859</v>
      </c>
      <c r="CO111" s="45">
        <v>954.4498151826815</v>
      </c>
      <c r="CP111" s="55">
        <v>1.7673632728562407</v>
      </c>
      <c r="CQ111" s="47">
        <f t="shared" si="138"/>
        <v>2.3553173138223262</v>
      </c>
      <c r="CR111" s="45">
        <v>633.06128104659888</v>
      </c>
      <c r="CS111" s="55">
        <v>3.4724193075840377</v>
      </c>
    </row>
    <row r="112" spans="1:97" s="23" customFormat="1" ht="15" customHeight="1">
      <c r="A112" s="377" t="str">
        <f t="shared" si="150"/>
        <v>BNI - Efficient Product Rebates; Photoluminescent Exit Sign; COM-Lighting; School</v>
      </c>
      <c r="B112" s="42" t="s">
        <v>85</v>
      </c>
      <c r="C112" s="15" t="s">
        <v>73</v>
      </c>
      <c r="D112" s="15" t="s">
        <v>59</v>
      </c>
      <c r="E112" s="43">
        <v>10</v>
      </c>
      <c r="F112" s="44">
        <v>107.82684</v>
      </c>
      <c r="G112" s="44">
        <v>12.309000000000056</v>
      </c>
      <c r="H112" s="45">
        <v>40</v>
      </c>
      <c r="I112" s="46">
        <v>0.375</v>
      </c>
      <c r="J112" s="45">
        <v>3.4504588800000002</v>
      </c>
      <c r="K112" s="45">
        <v>18.450458879999999</v>
      </c>
      <c r="L112" s="45">
        <v>25</v>
      </c>
      <c r="M112" s="45">
        <v>43.450458879999999</v>
      </c>
      <c r="N112" s="45">
        <v>68.549147291534794</v>
      </c>
      <c r="O112" s="47">
        <v>0.82</v>
      </c>
      <c r="P112" s="47">
        <v>1.5506093582189306</v>
      </c>
      <c r="Q112" s="310">
        <f t="shared" si="151"/>
        <v>1.5506093582189306</v>
      </c>
      <c r="R112" s="311">
        <f t="shared" si="132"/>
        <v>0</v>
      </c>
      <c r="S112" s="311">
        <f t="shared" si="152"/>
        <v>25.99219973825722</v>
      </c>
      <c r="T112" s="310">
        <f t="shared" si="153"/>
        <v>2.1385633991850161</v>
      </c>
      <c r="U112" s="316">
        <f t="shared" si="140"/>
        <v>0.37917612056812583</v>
      </c>
      <c r="V112" s="48">
        <v>0.17111193168602548</v>
      </c>
      <c r="W112" s="49">
        <v>1.4989405215695764</v>
      </c>
      <c r="X112" s="48" t="s">
        <v>74</v>
      </c>
      <c r="Y112" s="48" t="s">
        <v>527</v>
      </c>
      <c r="Z112" s="247">
        <f>0.027*Z3</f>
        <v>3.4020000000000002E-2</v>
      </c>
      <c r="AA112" s="247"/>
      <c r="AB112" s="386">
        <v>0</v>
      </c>
      <c r="AC112" s="387">
        <f t="shared" si="141"/>
        <v>3.6682690968000005</v>
      </c>
      <c r="AD112" s="361">
        <f t="shared" si="142"/>
        <v>0.18341345484000005</v>
      </c>
      <c r="AE112" s="361">
        <f t="shared" si="143"/>
        <v>0.10637980380720002</v>
      </c>
      <c r="AF112" s="361">
        <f t="shared" si="144"/>
        <v>1.4673076387200001E-2</v>
      </c>
      <c r="AG112" s="361">
        <f t="shared" si="145"/>
        <v>0</v>
      </c>
      <c r="AH112" s="361">
        <f t="shared" si="146"/>
        <v>0.26778364406640004</v>
      </c>
      <c r="AI112" s="361">
        <f t="shared" si="147"/>
        <v>2.7035143243416004</v>
      </c>
      <c r="AJ112" s="361" t="s">
        <v>40</v>
      </c>
      <c r="AK112" s="361">
        <f t="shared" si="139"/>
        <v>0</v>
      </c>
      <c r="AL112" s="361">
        <f t="shared" si="148"/>
        <v>0.30446633503440007</v>
      </c>
      <c r="AM112" s="361">
        <f t="shared" si="149"/>
        <v>8.4370189226400008E-2</v>
      </c>
      <c r="AN112" s="361">
        <f t="shared" si="154"/>
        <v>3.6646008277032007</v>
      </c>
      <c r="AO112" s="294" t="s">
        <v>617</v>
      </c>
      <c r="AP112" s="282" t="s">
        <v>420</v>
      </c>
      <c r="AQ112" s="136" t="s">
        <v>74</v>
      </c>
      <c r="AR112" s="294"/>
      <c r="AS112" s="142"/>
      <c r="AT112" s="142" t="s">
        <v>217</v>
      </c>
      <c r="AU112" s="146" t="s">
        <v>227</v>
      </c>
      <c r="AV112" s="48"/>
      <c r="AW112" s="131" t="s">
        <v>284</v>
      </c>
      <c r="AX112" s="131"/>
      <c r="AY112" s="131"/>
      <c r="AZ112" s="48"/>
      <c r="BA112" s="48"/>
      <c r="BB112" s="50"/>
      <c r="BC112" s="51" t="s">
        <v>85</v>
      </c>
      <c r="BD112" s="52">
        <v>0.38039686604754108</v>
      </c>
      <c r="BE112" s="53">
        <v>3.3322765465764448</v>
      </c>
      <c r="BF112" s="54">
        <v>0.38039686604754108</v>
      </c>
      <c r="BG112" s="53">
        <v>3.3322765465764448</v>
      </c>
      <c r="BH112" s="450">
        <v>2118.4402307198802</v>
      </c>
      <c r="BI112" s="347">
        <f t="shared" si="155"/>
        <v>803.26194833980981</v>
      </c>
      <c r="BJ112" s="347">
        <f t="shared" si="133"/>
        <v>2921.70217905969</v>
      </c>
      <c r="BK112" s="45">
        <v>1366.1985331709689</v>
      </c>
      <c r="BL112" s="47">
        <v>37.687758317584333</v>
      </c>
      <c r="BM112" s="45">
        <v>752.24169754891136</v>
      </c>
      <c r="BN112" s="55">
        <v>1.5506093582189304</v>
      </c>
      <c r="BO112" s="47">
        <f t="shared" si="134"/>
        <v>2.1385633991850161</v>
      </c>
      <c r="BP112" s="45">
        <v>695.35643511796775</v>
      </c>
      <c r="BQ112" s="55">
        <v>3.0465529960335886</v>
      </c>
      <c r="BR112" s="54">
        <v>0.31565481936655648</v>
      </c>
      <c r="BS112" s="53">
        <v>2.7651362176510221</v>
      </c>
      <c r="BT112" s="54">
        <v>0.69605168541409768</v>
      </c>
      <c r="BU112" s="53">
        <v>6.0974127642274674</v>
      </c>
      <c r="BV112" s="450">
        <v>1872.3001473898623</v>
      </c>
      <c r="BW112" s="347">
        <f t="shared" si="156"/>
        <v>666.54993202689104</v>
      </c>
      <c r="BX112" s="347">
        <f t="shared" si="135"/>
        <v>2538.8500794167535</v>
      </c>
      <c r="BY112" s="45">
        <v>1133.6769298016254</v>
      </c>
      <c r="BZ112" s="47">
        <v>31.273450456294626</v>
      </c>
      <c r="CA112" s="45">
        <v>738.62321758823691</v>
      </c>
      <c r="CB112" s="55">
        <v>1.651528842275624</v>
      </c>
      <c r="CC112" s="47">
        <f t="shared" si="136"/>
        <v>2.2394828832417097</v>
      </c>
      <c r="CD112" s="45">
        <v>577.00951167958124</v>
      </c>
      <c r="CE112" s="55">
        <v>3.2448341136351457</v>
      </c>
      <c r="CF112" s="52">
        <v>0.34518635281767346</v>
      </c>
      <c r="CG112" s="53">
        <v>3.0238324506828058</v>
      </c>
      <c r="CH112" s="54">
        <v>1.041238038231771</v>
      </c>
      <c r="CI112" s="53">
        <v>9.1212452149102727</v>
      </c>
      <c r="CJ112" s="450">
        <v>2191.0703778855509</v>
      </c>
      <c r="CK112" s="347">
        <f t="shared" si="157"/>
        <v>728.90995445263263</v>
      </c>
      <c r="CL112" s="347">
        <f t="shared" si="137"/>
        <v>2919.9803323381834</v>
      </c>
      <c r="CM112" s="45">
        <v>1239.739679745951</v>
      </c>
      <c r="CN112" s="47">
        <v>34.199282382875893</v>
      </c>
      <c r="CO112" s="45">
        <v>951.33069813959992</v>
      </c>
      <c r="CP112" s="55">
        <v>1.7673632728562401</v>
      </c>
      <c r="CQ112" s="47">
        <f t="shared" si="138"/>
        <v>2.3553173138223253</v>
      </c>
      <c r="CR112" s="45">
        <v>630.9924533307601</v>
      </c>
      <c r="CS112" s="55">
        <v>3.4724193075840373</v>
      </c>
    </row>
    <row r="113" spans="1:97" s="23" customFormat="1" ht="15" customHeight="1">
      <c r="A113" s="377" t="str">
        <f t="shared" si="150"/>
        <v xml:space="preserve">BNI - Efficient Product Rebates; Lighting Controls - Occupancy Sensors; IND; Industrial </v>
      </c>
      <c r="B113" s="42" t="s">
        <v>86</v>
      </c>
      <c r="C113" s="15" t="s">
        <v>69</v>
      </c>
      <c r="D113" s="15" t="s">
        <v>70</v>
      </c>
      <c r="E113" s="43">
        <v>10</v>
      </c>
      <c r="F113" s="44">
        <v>602.09819102912854</v>
      </c>
      <c r="G113" s="44">
        <v>0</v>
      </c>
      <c r="H113" s="45">
        <v>145.56</v>
      </c>
      <c r="I113" s="46">
        <v>0.27480076944215442</v>
      </c>
      <c r="J113" s="45">
        <v>19.267142112932113</v>
      </c>
      <c r="K113" s="45">
        <v>59.267142112932113</v>
      </c>
      <c r="L113" s="45">
        <v>105.56</v>
      </c>
      <c r="M113" s="45">
        <v>164.82714211293211</v>
      </c>
      <c r="N113" s="45">
        <v>305.95265245089024</v>
      </c>
      <c r="O113" s="47">
        <v>0.82</v>
      </c>
      <c r="P113" s="47">
        <v>1.8097655264202912</v>
      </c>
      <c r="Q113" s="310">
        <f t="shared" si="151"/>
        <v>1.8097655264202912</v>
      </c>
      <c r="R113" s="311">
        <f t="shared" si="132"/>
        <v>0</v>
      </c>
      <c r="S113" s="311">
        <f t="shared" si="152"/>
        <v>145.13878402884157</v>
      </c>
      <c r="T113" s="310">
        <f t="shared" si="153"/>
        <v>2.66828780356943</v>
      </c>
      <c r="U113" s="316">
        <f t="shared" si="140"/>
        <v>0.47438315329571579</v>
      </c>
      <c r="V113" s="48">
        <v>9.8434346749374083E-2</v>
      </c>
      <c r="W113" s="49">
        <v>0</v>
      </c>
      <c r="X113" s="48" t="s">
        <v>74</v>
      </c>
      <c r="Y113" s="48" t="s">
        <v>527</v>
      </c>
      <c r="Z113" s="247">
        <f>0.027*Z3</f>
        <v>3.4020000000000002E-2</v>
      </c>
      <c r="AA113" s="247"/>
      <c r="AB113" s="386">
        <v>0</v>
      </c>
      <c r="AC113" s="387">
        <f t="shared" si="141"/>
        <v>20.483380458810952</v>
      </c>
      <c r="AD113" s="361">
        <f t="shared" si="142"/>
        <v>1.0241690229405476</v>
      </c>
      <c r="AE113" s="361">
        <f t="shared" si="143"/>
        <v>0.59401803330551761</v>
      </c>
      <c r="AF113" s="361">
        <f t="shared" si="144"/>
        <v>8.1933521835243814E-2</v>
      </c>
      <c r="AG113" s="361">
        <f t="shared" si="145"/>
        <v>0</v>
      </c>
      <c r="AH113" s="361">
        <f t="shared" si="146"/>
        <v>1.4952867734931994</v>
      </c>
      <c r="AI113" s="361">
        <f t="shared" si="147"/>
        <v>15.096251398143671</v>
      </c>
      <c r="AJ113" s="361" t="s">
        <v>40</v>
      </c>
      <c r="AK113" s="361">
        <f t="shared" si="139"/>
        <v>0</v>
      </c>
      <c r="AL113" s="361">
        <f t="shared" si="148"/>
        <v>1.7001205780813091</v>
      </c>
      <c r="AM113" s="361">
        <f t="shared" si="149"/>
        <v>0.47111775055265187</v>
      </c>
      <c r="AN113" s="361">
        <f t="shared" si="154"/>
        <v>20.462897078352142</v>
      </c>
      <c r="AO113" s="294" t="s">
        <v>617</v>
      </c>
      <c r="AP113" s="282" t="s">
        <v>420</v>
      </c>
      <c r="AQ113" s="136" t="s">
        <v>74</v>
      </c>
      <c r="AR113" s="294"/>
      <c r="AS113" s="142"/>
      <c r="AT113" s="142" t="s">
        <v>217</v>
      </c>
      <c r="AU113" s="146"/>
      <c r="AV113" s="48" t="s">
        <v>202</v>
      </c>
      <c r="AW113" s="131" t="s">
        <v>284</v>
      </c>
      <c r="AX113" s="131"/>
      <c r="AY113" s="131"/>
      <c r="AZ113" s="48"/>
      <c r="BA113" s="48"/>
      <c r="BB113" s="50"/>
      <c r="BC113" s="51" t="s">
        <v>86</v>
      </c>
      <c r="BD113" s="52">
        <v>0</v>
      </c>
      <c r="BE113" s="53">
        <v>67.97773526603531</v>
      </c>
      <c r="BF113" s="54">
        <v>0</v>
      </c>
      <c r="BG113" s="53">
        <v>67.97773526603531</v>
      </c>
      <c r="BH113" s="450">
        <v>34542.486129545192</v>
      </c>
      <c r="BI113" s="347">
        <f t="shared" si="155"/>
        <v>16386.373492807179</v>
      </c>
      <c r="BJ113" s="347">
        <f t="shared" si="133"/>
        <v>50928.859622352371</v>
      </c>
      <c r="BK113" s="45">
        <v>19086.719039161992</v>
      </c>
      <c r="BL113" s="47">
        <v>137.68464743600441</v>
      </c>
      <c r="BM113" s="45">
        <v>15455.7670903832</v>
      </c>
      <c r="BN113" s="55">
        <v>1.809765526420291</v>
      </c>
      <c r="BO113" s="47">
        <f t="shared" si="134"/>
        <v>2.66828780356943</v>
      </c>
      <c r="BP113" s="45">
        <v>8160.1755663586282</v>
      </c>
      <c r="BQ113" s="55">
        <v>4.2330567337240916</v>
      </c>
      <c r="BR113" s="54">
        <v>0</v>
      </c>
      <c r="BS113" s="53">
        <v>64.864259101551482</v>
      </c>
      <c r="BT113" s="54">
        <v>0</v>
      </c>
      <c r="BU113" s="53">
        <v>132.84199436758678</v>
      </c>
      <c r="BV113" s="450">
        <v>34253.301184121934</v>
      </c>
      <c r="BW113" s="347">
        <f t="shared" si="156"/>
        <v>15635.85447224081</v>
      </c>
      <c r="BX113" s="347">
        <f t="shared" si="135"/>
        <v>49889.155656362746</v>
      </c>
      <c r="BY113" s="45">
        <v>18212.520383468876</v>
      </c>
      <c r="BZ113" s="47">
        <v>131.37849636566204</v>
      </c>
      <c r="CA113" s="45">
        <v>16040.780800653058</v>
      </c>
      <c r="CB113" s="55">
        <v>1.8807556814164468</v>
      </c>
      <c r="CC113" s="47">
        <f t="shared" si="136"/>
        <v>2.739277958565586</v>
      </c>
      <c r="CD113" s="45">
        <v>7786.4280146870278</v>
      </c>
      <c r="CE113" s="55">
        <v>4.3991033012200438</v>
      </c>
      <c r="CF113" s="52">
        <v>0</v>
      </c>
      <c r="CG113" s="53">
        <v>70.000818197493615</v>
      </c>
      <c r="CH113" s="54">
        <v>0</v>
      </c>
      <c r="CI113" s="53">
        <v>202.84281256508041</v>
      </c>
      <c r="CJ113" s="450">
        <v>38703.611218479033</v>
      </c>
      <c r="CK113" s="347">
        <f t="shared" si="157"/>
        <v>16874.047764273571</v>
      </c>
      <c r="CL113" s="347">
        <f t="shared" si="137"/>
        <v>55577.658982752604</v>
      </c>
      <c r="CM113" s="45">
        <v>19654.758197197341</v>
      </c>
      <c r="CN113" s="47">
        <v>141.78227527049347</v>
      </c>
      <c r="CO113" s="45">
        <v>19048.853021281691</v>
      </c>
      <c r="CP113" s="55">
        <v>1.9691725957736763</v>
      </c>
      <c r="CQ113" s="47">
        <f t="shared" si="138"/>
        <v>2.8276948729228155</v>
      </c>
      <c r="CR113" s="45">
        <v>8403.0302575511978</v>
      </c>
      <c r="CS113" s="55">
        <v>4.6059112049131192</v>
      </c>
    </row>
    <row r="114" spans="1:97" s="23" customFormat="1" ht="15" customHeight="1">
      <c r="A114" s="377" t="str">
        <f t="shared" si="150"/>
        <v>BNI - Efficient Product Rebates; Lighting Controls - Occupancy Sensors; COM-Lighting; Office</v>
      </c>
      <c r="B114" s="42" t="s">
        <v>86</v>
      </c>
      <c r="C114" s="15" t="s">
        <v>73</v>
      </c>
      <c r="D114" s="15" t="s">
        <v>66</v>
      </c>
      <c r="E114" s="43">
        <v>10</v>
      </c>
      <c r="F114" s="44">
        <v>383.57889128480269</v>
      </c>
      <c r="G114" s="44">
        <v>28.367447525234219</v>
      </c>
      <c r="H114" s="45">
        <v>145.56</v>
      </c>
      <c r="I114" s="46">
        <v>0.27480076944215442</v>
      </c>
      <c r="J114" s="45">
        <v>12.274524521113687</v>
      </c>
      <c r="K114" s="45">
        <v>52.27452452111369</v>
      </c>
      <c r="L114" s="45">
        <v>105.56</v>
      </c>
      <c r="M114" s="45">
        <v>157.83452452111368</v>
      </c>
      <c r="N114" s="45">
        <v>226.61920020009691</v>
      </c>
      <c r="O114" s="47">
        <v>0.82</v>
      </c>
      <c r="P114" s="47">
        <v>1.4117031546446381</v>
      </c>
      <c r="Q114" s="310">
        <f t="shared" si="151"/>
        <v>1.4117031546446381</v>
      </c>
      <c r="R114" s="311">
        <f t="shared" si="132"/>
        <v>0</v>
      </c>
      <c r="S114" s="311">
        <f t="shared" si="152"/>
        <v>92.463612563011594</v>
      </c>
      <c r="T114" s="310">
        <f t="shared" si="153"/>
        <v>1.9876965984031043</v>
      </c>
      <c r="U114" s="316">
        <f t="shared" si="140"/>
        <v>0.40801314487638052</v>
      </c>
      <c r="V114" s="48">
        <v>0.1362810251263292</v>
      </c>
      <c r="W114" s="49">
        <v>1.842764474125244</v>
      </c>
      <c r="X114" s="48" t="s">
        <v>74</v>
      </c>
      <c r="Y114" s="48" t="s">
        <v>527</v>
      </c>
      <c r="Z114" s="247">
        <f>0.027*Z3</f>
        <v>3.4020000000000002E-2</v>
      </c>
      <c r="AA114" s="247"/>
      <c r="AB114" s="386">
        <v>0</v>
      </c>
      <c r="AC114" s="387">
        <f t="shared" si="141"/>
        <v>13.049353881508988</v>
      </c>
      <c r="AD114" s="361">
        <f t="shared" si="142"/>
        <v>0.65246769407544947</v>
      </c>
      <c r="AE114" s="361">
        <f t="shared" si="143"/>
        <v>0.3784312625637607</v>
      </c>
      <c r="AF114" s="361">
        <f t="shared" si="144"/>
        <v>5.2197415526035955E-2</v>
      </c>
      <c r="AG114" s="361">
        <f t="shared" si="145"/>
        <v>0</v>
      </c>
      <c r="AH114" s="361">
        <f t="shared" si="146"/>
        <v>0.95260283335015605</v>
      </c>
      <c r="AI114" s="361">
        <f t="shared" si="147"/>
        <v>9.6173738106721238</v>
      </c>
      <c r="AJ114" s="361" t="s">
        <v>40</v>
      </c>
      <c r="AK114" s="361">
        <f t="shared" si="139"/>
        <v>0</v>
      </c>
      <c r="AL114" s="361">
        <f t="shared" si="148"/>
        <v>1.083096372165246</v>
      </c>
      <c r="AM114" s="361">
        <f t="shared" si="149"/>
        <v>0.30013513927470675</v>
      </c>
      <c r="AN114" s="361">
        <f t="shared" si="154"/>
        <v>13.036304527627479</v>
      </c>
      <c r="AO114" s="294" t="s">
        <v>617</v>
      </c>
      <c r="AP114" s="282" t="s">
        <v>420</v>
      </c>
      <c r="AQ114" s="136" t="s">
        <v>74</v>
      </c>
      <c r="AR114" s="294"/>
      <c r="AS114" s="142"/>
      <c r="AT114" s="142" t="s">
        <v>217</v>
      </c>
      <c r="AU114" s="146"/>
      <c r="AV114" s="48" t="s">
        <v>202</v>
      </c>
      <c r="AW114" s="131" t="s">
        <v>284</v>
      </c>
      <c r="AX114" s="131"/>
      <c r="AY114" s="131"/>
      <c r="AZ114" s="48"/>
      <c r="BA114" s="48"/>
      <c r="BB114" s="50"/>
      <c r="BC114" s="51" t="s">
        <v>86</v>
      </c>
      <c r="BD114" s="52">
        <v>4.3964005506928139</v>
      </c>
      <c r="BE114" s="53">
        <v>59.447239564946443</v>
      </c>
      <c r="BF114" s="54">
        <v>4.3964005506928139</v>
      </c>
      <c r="BG114" s="53">
        <v>59.447239564946443</v>
      </c>
      <c r="BH114" s="450">
        <v>35121.551760023751</v>
      </c>
      <c r="BI114" s="347">
        <f t="shared" si="155"/>
        <v>14330.054786545861</v>
      </c>
      <c r="BJ114" s="347">
        <f t="shared" si="133"/>
        <v>49451.606546569616</v>
      </c>
      <c r="BK114" s="45">
        <v>24878.850517880113</v>
      </c>
      <c r="BL114" s="47">
        <v>189.00058179155764</v>
      </c>
      <c r="BM114" s="45">
        <v>10242.701242143638</v>
      </c>
      <c r="BN114" s="55">
        <v>1.4117031546446384</v>
      </c>
      <c r="BO114" s="47">
        <f t="shared" si="134"/>
        <v>1.9876965984031045</v>
      </c>
      <c r="BP114" s="45">
        <v>9879.9155473675328</v>
      </c>
      <c r="BQ114" s="55">
        <v>3.5548433173987766</v>
      </c>
      <c r="BR114" s="54">
        <v>4.4682306639014824</v>
      </c>
      <c r="BS114" s="53">
        <v>60.418511836127465</v>
      </c>
      <c r="BT114" s="54">
        <v>8.8646312145942954</v>
      </c>
      <c r="BU114" s="53">
        <v>119.86575140107391</v>
      </c>
      <c r="BV114" s="450">
        <v>37739.006761247307</v>
      </c>
      <c r="BW114" s="347">
        <f t="shared" si="156"/>
        <v>14564.18483128025</v>
      </c>
      <c r="BX114" s="347">
        <f t="shared" si="135"/>
        <v>52303.191592527553</v>
      </c>
      <c r="BY114" s="45">
        <v>25285.330916696195</v>
      </c>
      <c r="BZ114" s="47">
        <v>192.08854728288492</v>
      </c>
      <c r="CA114" s="45">
        <v>12453.675844551111</v>
      </c>
      <c r="CB114" s="55">
        <v>1.4925257211614267</v>
      </c>
      <c r="CC114" s="47">
        <f t="shared" si="136"/>
        <v>2.0685191649198926</v>
      </c>
      <c r="CD114" s="45">
        <v>10041.337475164273</v>
      </c>
      <c r="CE114" s="55">
        <v>3.7583645460168054</v>
      </c>
      <c r="CF114" s="52">
        <v>5.2130008915569341</v>
      </c>
      <c r="CG114" s="53">
        <v>70.489144307797105</v>
      </c>
      <c r="CH114" s="54">
        <v>14.077632106151231</v>
      </c>
      <c r="CI114" s="53">
        <v>190.35489570887103</v>
      </c>
      <c r="CJ114" s="450">
        <v>46814.358053566168</v>
      </c>
      <c r="CK114" s="347">
        <f t="shared" si="157"/>
        <v>16991.761218515712</v>
      </c>
      <c r="CL114" s="347">
        <f t="shared" si="137"/>
        <v>63806.11927208188</v>
      </c>
      <c r="CM114" s="45">
        <v>29499.92122764673</v>
      </c>
      <c r="CN114" s="47">
        <v>224.10610453337907</v>
      </c>
      <c r="CO114" s="45">
        <v>17314.436825919438</v>
      </c>
      <c r="CP114" s="55">
        <v>1.5869316291493245</v>
      </c>
      <c r="CQ114" s="47">
        <f t="shared" si="138"/>
        <v>2.1629250729077905</v>
      </c>
      <c r="CR114" s="45">
        <v>11715.040056761392</v>
      </c>
      <c r="CS114" s="55">
        <v>3.9960903101263434</v>
      </c>
    </row>
    <row r="115" spans="1:97" s="23" customFormat="1" ht="15" customHeight="1">
      <c r="A115" s="377" t="str">
        <f t="shared" si="150"/>
        <v>BNI - Efficient Product Rebates; Lighting Controls - Occupancy Sensors; COM-Lighting; Other Commercial</v>
      </c>
      <c r="B115" s="42" t="s">
        <v>86</v>
      </c>
      <c r="C115" s="15" t="s">
        <v>73</v>
      </c>
      <c r="D115" s="15" t="s">
        <v>56</v>
      </c>
      <c r="E115" s="43">
        <v>10</v>
      </c>
      <c r="F115" s="44">
        <v>640.16355097455039</v>
      </c>
      <c r="G115" s="44">
        <v>50.147670603399824</v>
      </c>
      <c r="H115" s="45">
        <v>145.56</v>
      </c>
      <c r="I115" s="46">
        <v>0.27480076944215442</v>
      </c>
      <c r="J115" s="45">
        <v>20.485233631185611</v>
      </c>
      <c r="K115" s="45">
        <v>60.485233631185608</v>
      </c>
      <c r="L115" s="45">
        <v>105.56</v>
      </c>
      <c r="M115" s="45">
        <v>166.04523363118562</v>
      </c>
      <c r="N115" s="45">
        <v>381.34459320255365</v>
      </c>
      <c r="O115" s="47">
        <v>0.82</v>
      </c>
      <c r="P115" s="47">
        <v>2.236074460073187</v>
      </c>
      <c r="Q115" s="310">
        <f t="shared" si="151"/>
        <v>2.236074460073187</v>
      </c>
      <c r="R115" s="311">
        <f t="shared" si="132"/>
        <v>0</v>
      </c>
      <c r="S115" s="311">
        <f t="shared" si="152"/>
        <v>154.31462966069043</v>
      </c>
      <c r="T115" s="310">
        <f t="shared" si="153"/>
        <v>3.1409227478176045</v>
      </c>
      <c r="U115" s="316">
        <f t="shared" si="140"/>
        <v>0.40465928299847481</v>
      </c>
      <c r="V115" s="48">
        <v>9.4484032305660257E-2</v>
      </c>
      <c r="W115" s="49">
        <v>1.2061424369945697</v>
      </c>
      <c r="X115" s="48" t="s">
        <v>74</v>
      </c>
      <c r="Y115" s="48" t="s">
        <v>527</v>
      </c>
      <c r="Z115" s="247">
        <f>0.027*Z3</f>
        <v>3.4020000000000002E-2</v>
      </c>
      <c r="AA115" s="247"/>
      <c r="AB115" s="386">
        <v>0</v>
      </c>
      <c r="AC115" s="387">
        <f t="shared" si="141"/>
        <v>21.778364004154206</v>
      </c>
      <c r="AD115" s="361">
        <f t="shared" si="142"/>
        <v>1.0889182002077102</v>
      </c>
      <c r="AE115" s="361">
        <f t="shared" si="143"/>
        <v>0.63157255612047203</v>
      </c>
      <c r="AF115" s="361">
        <f t="shared" si="144"/>
        <v>8.7113456016616825E-2</v>
      </c>
      <c r="AG115" s="361">
        <f t="shared" si="145"/>
        <v>0</v>
      </c>
      <c r="AH115" s="361">
        <f t="shared" si="146"/>
        <v>1.589820572303257</v>
      </c>
      <c r="AI115" s="361">
        <f t="shared" si="147"/>
        <v>16.050654271061649</v>
      </c>
      <c r="AJ115" s="361" t="s">
        <v>40</v>
      </c>
      <c r="AK115" s="361">
        <f t="shared" si="139"/>
        <v>0</v>
      </c>
      <c r="AL115" s="361">
        <f t="shared" si="148"/>
        <v>1.8076042123447991</v>
      </c>
      <c r="AM115" s="361">
        <f t="shared" si="149"/>
        <v>0.50090237209554678</v>
      </c>
      <c r="AN115" s="361">
        <f t="shared" si="154"/>
        <v>21.75658564015005</v>
      </c>
      <c r="AO115" s="294" t="s">
        <v>617</v>
      </c>
      <c r="AP115" s="282" t="s">
        <v>420</v>
      </c>
      <c r="AQ115" s="136" t="s">
        <v>74</v>
      </c>
      <c r="AR115" s="294"/>
      <c r="AS115" s="142"/>
      <c r="AT115" s="142" t="s">
        <v>217</v>
      </c>
      <c r="AU115" s="146"/>
      <c r="AV115" s="48" t="s">
        <v>202</v>
      </c>
      <c r="AW115" s="131" t="s">
        <v>284</v>
      </c>
      <c r="AX115" s="131"/>
      <c r="AY115" s="131"/>
      <c r="AZ115" s="48"/>
      <c r="BA115" s="48"/>
      <c r="BB115" s="50"/>
      <c r="BC115" s="51" t="s">
        <v>86</v>
      </c>
      <c r="BD115" s="52">
        <v>6.2042921141068472</v>
      </c>
      <c r="BE115" s="53">
        <v>79.201319288811973</v>
      </c>
      <c r="BF115" s="54">
        <v>6.2042921141068472</v>
      </c>
      <c r="BG115" s="53">
        <v>79.201319288811973</v>
      </c>
      <c r="BH115" s="450">
        <v>47180.122703515626</v>
      </c>
      <c r="BI115" s="347">
        <f t="shared" si="155"/>
        <v>19091.874624984695</v>
      </c>
      <c r="BJ115" s="347">
        <f t="shared" si="133"/>
        <v>66271.997328500322</v>
      </c>
      <c r="BK115" s="45">
        <v>21099.531140824092</v>
      </c>
      <c r="BL115" s="47">
        <v>150.8785912528366</v>
      </c>
      <c r="BM115" s="45">
        <v>26080.591562691534</v>
      </c>
      <c r="BN115" s="55">
        <v>2.236074460073187</v>
      </c>
      <c r="BO115" s="47">
        <f t="shared" si="134"/>
        <v>3.1409227478176045</v>
      </c>
      <c r="BP115" s="45">
        <v>9125.9268418719803</v>
      </c>
      <c r="BQ115" s="55">
        <v>5.1698992903429497</v>
      </c>
      <c r="BR115" s="54">
        <v>6.1547452139368248</v>
      </c>
      <c r="BS115" s="53">
        <v>78.568824914278196</v>
      </c>
      <c r="BT115" s="54">
        <v>12.359037328043673</v>
      </c>
      <c r="BU115" s="53">
        <v>157.77014420309018</v>
      </c>
      <c r="BV115" s="450">
        <v>49525.5556666466</v>
      </c>
      <c r="BW115" s="347">
        <f t="shared" si="156"/>
        <v>18939.408688709405</v>
      </c>
      <c r="BX115" s="347">
        <f t="shared" si="135"/>
        <v>68464.964355356002</v>
      </c>
      <c r="BY115" s="45">
        <v>20931.032246213421</v>
      </c>
      <c r="BZ115" s="47">
        <v>149.67368884638793</v>
      </c>
      <c r="CA115" s="45">
        <v>28594.523420433179</v>
      </c>
      <c r="CB115" s="55">
        <v>2.3661305894555746</v>
      </c>
      <c r="CC115" s="47">
        <f t="shared" si="136"/>
        <v>3.2709788771999921</v>
      </c>
      <c r="CD115" s="45">
        <v>9053.0480383151553</v>
      </c>
      <c r="CE115" s="55">
        <v>5.4705945949960633</v>
      </c>
      <c r="CF115" s="52">
        <v>6.987642882699781</v>
      </c>
      <c r="CG115" s="53">
        <v>89.201237603005765</v>
      </c>
      <c r="CH115" s="54">
        <v>19.346680210743454</v>
      </c>
      <c r="CI115" s="53">
        <v>246.97138180609596</v>
      </c>
      <c r="CJ115" s="450">
        <v>59829.513558561339</v>
      </c>
      <c r="CK115" s="347">
        <f t="shared" si="157"/>
        <v>21502.405010450708</v>
      </c>
      <c r="CL115" s="347">
        <f t="shared" si="137"/>
        <v>81331.91856901205</v>
      </c>
      <c r="CM115" s="45">
        <v>23763.547217458239</v>
      </c>
      <c r="CN115" s="47">
        <v>169.92844549058202</v>
      </c>
      <c r="CO115" s="45">
        <v>36065.9663411031</v>
      </c>
      <c r="CP115" s="55">
        <v>2.5177012931220433</v>
      </c>
      <c r="CQ115" s="47">
        <f t="shared" si="138"/>
        <v>3.4225495808664608</v>
      </c>
      <c r="CR115" s="45">
        <v>10278.161726082042</v>
      </c>
      <c r="CS115" s="55">
        <v>5.8210325107783545</v>
      </c>
    </row>
    <row r="116" spans="1:97" s="23" customFormat="1" ht="15" customHeight="1">
      <c r="A116" s="377" t="str">
        <f t="shared" si="150"/>
        <v>BNI - Efficient Product Rebates; Lighting Controls - Occupancy Sensors; COM-Lighting; Retail</v>
      </c>
      <c r="B116" s="42" t="s">
        <v>86</v>
      </c>
      <c r="C116" s="15" t="s">
        <v>73</v>
      </c>
      <c r="D116" s="15" t="s">
        <v>30</v>
      </c>
      <c r="E116" s="43">
        <v>10</v>
      </c>
      <c r="F116" s="44">
        <v>599.56293810929276</v>
      </c>
      <c r="G116" s="44">
        <v>51.503147864761992</v>
      </c>
      <c r="H116" s="45">
        <v>145.56</v>
      </c>
      <c r="I116" s="46">
        <v>0.27480076944215442</v>
      </c>
      <c r="J116" s="45">
        <v>19.186014019497367</v>
      </c>
      <c r="K116" s="45">
        <v>59.186014019497364</v>
      </c>
      <c r="L116" s="45">
        <v>105.56</v>
      </c>
      <c r="M116" s="45">
        <v>164.74601401949735</v>
      </c>
      <c r="N116" s="45">
        <v>362.22862603733375</v>
      </c>
      <c r="O116" s="47">
        <v>0.82</v>
      </c>
      <c r="P116" s="47">
        <v>2.143902807850246</v>
      </c>
      <c r="Q116" s="310">
        <f t="shared" si="151"/>
        <v>2.143902807850246</v>
      </c>
      <c r="R116" s="311">
        <f t="shared" si="132"/>
        <v>0</v>
      </c>
      <c r="S116" s="311">
        <f t="shared" si="152"/>
        <v>144.52764861692216</v>
      </c>
      <c r="T116" s="310">
        <f t="shared" si="153"/>
        <v>2.9993107171353546</v>
      </c>
      <c r="U116" s="316">
        <f t="shared" si="140"/>
        <v>0.39899565696396988</v>
      </c>
      <c r="V116" s="48">
        <v>9.8715264499401892E-2</v>
      </c>
      <c r="W116" s="49">
        <v>1.1491727491086408</v>
      </c>
      <c r="X116" s="48" t="s">
        <v>74</v>
      </c>
      <c r="Y116" s="48" t="s">
        <v>527</v>
      </c>
      <c r="Z116" s="247">
        <f>0.027*Z3</f>
        <v>3.4020000000000002E-2</v>
      </c>
      <c r="AA116" s="247"/>
      <c r="AB116" s="386">
        <v>0</v>
      </c>
      <c r="AC116" s="387">
        <f t="shared" si="141"/>
        <v>20.397131154478142</v>
      </c>
      <c r="AD116" s="361">
        <f t="shared" si="142"/>
        <v>1.0198565577239072</v>
      </c>
      <c r="AE116" s="361">
        <f t="shared" si="143"/>
        <v>0.59151680347986613</v>
      </c>
      <c r="AF116" s="361">
        <f t="shared" si="144"/>
        <v>8.1588524617912564E-2</v>
      </c>
      <c r="AG116" s="361">
        <f t="shared" si="145"/>
        <v>0</v>
      </c>
      <c r="AH116" s="361">
        <f t="shared" si="146"/>
        <v>1.4889905742769043</v>
      </c>
      <c r="AI116" s="361">
        <f t="shared" si="147"/>
        <v>15.03268566085039</v>
      </c>
      <c r="AJ116" s="361" t="s">
        <v>40</v>
      </c>
      <c r="AK116" s="361">
        <f t="shared" si="139"/>
        <v>0</v>
      </c>
      <c r="AL116" s="361">
        <f t="shared" si="148"/>
        <v>1.6929618858216859</v>
      </c>
      <c r="AM116" s="361">
        <f t="shared" si="149"/>
        <v>0.46913401655299725</v>
      </c>
      <c r="AN116" s="361">
        <f t="shared" si="154"/>
        <v>20.37673402332366</v>
      </c>
      <c r="AO116" s="294" t="s">
        <v>617</v>
      </c>
      <c r="AP116" s="282" t="s">
        <v>420</v>
      </c>
      <c r="AQ116" s="136" t="s">
        <v>74</v>
      </c>
      <c r="AR116" s="294"/>
      <c r="AS116" s="142"/>
      <c r="AT116" s="142" t="s">
        <v>217</v>
      </c>
      <c r="AU116" s="146"/>
      <c r="AV116" s="48" t="s">
        <v>202</v>
      </c>
      <c r="AW116" s="131" t="s">
        <v>284</v>
      </c>
      <c r="AX116" s="131"/>
      <c r="AY116" s="131"/>
      <c r="AZ116" s="48"/>
      <c r="BA116" s="48"/>
      <c r="BB116" s="50"/>
      <c r="BC116" s="51" t="s">
        <v>86</v>
      </c>
      <c r="BD116" s="52">
        <v>9.1430529135707701</v>
      </c>
      <c r="BE116" s="53">
        <v>106.43690522652197</v>
      </c>
      <c r="BF116" s="54">
        <v>9.1430529135707701</v>
      </c>
      <c r="BG116" s="53">
        <v>106.43690522652197</v>
      </c>
      <c r="BH116" s="450">
        <v>64304.331520973632</v>
      </c>
      <c r="BI116" s="347">
        <f t="shared" si="155"/>
        <v>25657.149000839796</v>
      </c>
      <c r="BJ116" s="347">
        <f t="shared" si="133"/>
        <v>89961.480521813428</v>
      </c>
      <c r="BK116" s="45">
        <v>29994.051635882446</v>
      </c>
      <c r="BL116" s="47">
        <v>216.49287453308494</v>
      </c>
      <c r="BM116" s="45">
        <v>34310.279885091186</v>
      </c>
      <c r="BN116" s="55">
        <v>2.1439028078502456</v>
      </c>
      <c r="BO116" s="47">
        <f t="shared" si="134"/>
        <v>2.9993107171353541</v>
      </c>
      <c r="BP116" s="45">
        <v>12813.350307236451</v>
      </c>
      <c r="BQ116" s="55">
        <v>5.0185415975599454</v>
      </c>
      <c r="BR116" s="54">
        <v>9.1023097444844225</v>
      </c>
      <c r="BS116" s="53">
        <v>105.96260229207925</v>
      </c>
      <c r="BT116" s="54">
        <v>18.245362658055193</v>
      </c>
      <c r="BU116" s="53">
        <v>212.39950751860124</v>
      </c>
      <c r="BV116" s="450">
        <v>67839.698564626029</v>
      </c>
      <c r="BW116" s="347">
        <f t="shared" si="156"/>
        <v>25542.81590336169</v>
      </c>
      <c r="BX116" s="347">
        <f t="shared" si="135"/>
        <v>93382.514467987727</v>
      </c>
      <c r="BY116" s="45">
        <v>29860.392481884606</v>
      </c>
      <c r="BZ116" s="47">
        <v>215.52814143173777</v>
      </c>
      <c r="CA116" s="45">
        <v>37979.306082741423</v>
      </c>
      <c r="CB116" s="55">
        <v>2.2718957430242188</v>
      </c>
      <c r="CC116" s="47">
        <f t="shared" si="136"/>
        <v>3.1273036523093278</v>
      </c>
      <c r="CD116" s="45">
        <v>12756.251600375042</v>
      </c>
      <c r="CE116" s="55">
        <v>5.3181530664252108</v>
      </c>
      <c r="CF116" s="52">
        <v>10.374696607281503</v>
      </c>
      <c r="CG116" s="53">
        <v>120.77482324357251</v>
      </c>
      <c r="CH116" s="54">
        <v>28.6200592653367</v>
      </c>
      <c r="CI116" s="53">
        <v>333.17433076217378</v>
      </c>
      <c r="CJ116" s="450">
        <v>82381.007369316998</v>
      </c>
      <c r="CK116" s="347">
        <f t="shared" si="157"/>
        <v>29113.375937750261</v>
      </c>
      <c r="CL116" s="347">
        <f t="shared" si="137"/>
        <v>111494.38330706726</v>
      </c>
      <c r="CM116" s="45">
        <v>34034.494679948926</v>
      </c>
      <c r="CN116" s="47">
        <v>245.65622797449555</v>
      </c>
      <c r="CO116" s="45">
        <v>48346.512689368072</v>
      </c>
      <c r="CP116" s="55">
        <v>2.4205150728402303</v>
      </c>
      <c r="CQ116" s="47">
        <f t="shared" si="138"/>
        <v>3.2759229821253384</v>
      </c>
      <c r="CR116" s="45">
        <v>14539.412952875336</v>
      </c>
      <c r="CS116" s="55">
        <v>5.6660477033238958</v>
      </c>
    </row>
    <row r="117" spans="1:97" s="23" customFormat="1" ht="15" customHeight="1">
      <c r="A117" s="377" t="str">
        <f t="shared" si="150"/>
        <v>BNI - Efficient Product Rebates; Lighting Controls - Occupancy Sensors; COM-Lighting; School</v>
      </c>
      <c r="B117" s="42" t="s">
        <v>86</v>
      </c>
      <c r="C117" s="15" t="s">
        <v>73</v>
      </c>
      <c r="D117" s="15" t="s">
        <v>59</v>
      </c>
      <c r="E117" s="43">
        <v>10</v>
      </c>
      <c r="F117" s="44">
        <v>348.62165390937156</v>
      </c>
      <c r="G117" s="44">
        <v>1.8311682009709283</v>
      </c>
      <c r="H117" s="45">
        <v>145.56</v>
      </c>
      <c r="I117" s="46">
        <v>0.27480076944215442</v>
      </c>
      <c r="J117" s="45">
        <v>11.15589292509989</v>
      </c>
      <c r="K117" s="45">
        <v>51.155892925099891</v>
      </c>
      <c r="L117" s="45">
        <v>105.56</v>
      </c>
      <c r="M117" s="45">
        <v>156.71589292509989</v>
      </c>
      <c r="N117" s="45">
        <v>179.19670932187114</v>
      </c>
      <c r="O117" s="47">
        <v>0.82</v>
      </c>
      <c r="P117" s="47">
        <v>1.1258567752640007</v>
      </c>
      <c r="Q117" s="310">
        <f t="shared" si="151"/>
        <v>1.1258567752640007</v>
      </c>
      <c r="R117" s="311">
        <f t="shared" si="132"/>
        <v>0</v>
      </c>
      <c r="S117" s="311">
        <f t="shared" si="152"/>
        <v>84.0369954409678</v>
      </c>
      <c r="T117" s="310">
        <f t="shared" si="153"/>
        <v>1.6538442648115881</v>
      </c>
      <c r="U117" s="316">
        <f t="shared" si="140"/>
        <v>0.46896505945330408</v>
      </c>
      <c r="V117" s="48">
        <v>0.14673756592985038</v>
      </c>
      <c r="W117" s="49">
        <v>27.936206459884918</v>
      </c>
      <c r="X117" s="48" t="s">
        <v>74</v>
      </c>
      <c r="Y117" s="48" t="s">
        <v>527</v>
      </c>
      <c r="Z117" s="247">
        <f>0.027*Z3</f>
        <v>3.4020000000000002E-2</v>
      </c>
      <c r="AA117" s="247"/>
      <c r="AB117" s="386">
        <v>0</v>
      </c>
      <c r="AC117" s="387">
        <f t="shared" si="141"/>
        <v>11.860108665996821</v>
      </c>
      <c r="AD117" s="361">
        <f t="shared" si="142"/>
        <v>0.59300543329984101</v>
      </c>
      <c r="AE117" s="361">
        <f t="shared" si="143"/>
        <v>0.34394315131390779</v>
      </c>
      <c r="AF117" s="361">
        <f t="shared" si="144"/>
        <v>4.7440434663987285E-2</v>
      </c>
      <c r="AG117" s="361">
        <f t="shared" si="145"/>
        <v>0</v>
      </c>
      <c r="AH117" s="361">
        <f t="shared" si="146"/>
        <v>0.86578793261776787</v>
      </c>
      <c r="AI117" s="361">
        <f t="shared" si="147"/>
        <v>8.7409000868396571</v>
      </c>
      <c r="AJ117" s="361" t="s">
        <v>40</v>
      </c>
      <c r="AK117" s="361">
        <f t="shared" si="139"/>
        <v>0</v>
      </c>
      <c r="AL117" s="361">
        <f t="shared" si="148"/>
        <v>0.98438901927773614</v>
      </c>
      <c r="AM117" s="361">
        <f t="shared" si="149"/>
        <v>0.27278249931792686</v>
      </c>
      <c r="AN117" s="361">
        <f t="shared" si="154"/>
        <v>11.848248557330825</v>
      </c>
      <c r="AO117" s="294" t="s">
        <v>617</v>
      </c>
      <c r="AP117" s="282" t="s">
        <v>420</v>
      </c>
      <c r="AQ117" s="136" t="s">
        <v>74</v>
      </c>
      <c r="AR117" s="294"/>
      <c r="AS117" s="142"/>
      <c r="AT117" s="142" t="s">
        <v>217</v>
      </c>
      <c r="AU117" s="146"/>
      <c r="AV117" s="48" t="s">
        <v>202</v>
      </c>
      <c r="AW117" s="131" t="s">
        <v>284</v>
      </c>
      <c r="AX117" s="131"/>
      <c r="AY117" s="131"/>
      <c r="AZ117" s="48"/>
      <c r="BA117" s="48"/>
      <c r="BB117" s="50"/>
      <c r="BC117" s="51" t="s">
        <v>86</v>
      </c>
      <c r="BD117" s="52">
        <v>0.33022357640765854</v>
      </c>
      <c r="BE117" s="53">
        <v>62.868659092083782</v>
      </c>
      <c r="BF117" s="54">
        <v>0.33022357640765854</v>
      </c>
      <c r="BG117" s="53">
        <v>62.868659092083782</v>
      </c>
      <c r="BH117" s="450">
        <v>32315.424766209864</v>
      </c>
      <c r="BI117" s="347">
        <f t="shared" si="155"/>
        <v>15154.805096744392</v>
      </c>
      <c r="BJ117" s="347">
        <f t="shared" si="133"/>
        <v>47470.229862954257</v>
      </c>
      <c r="BK117" s="45">
        <v>28702.962469300121</v>
      </c>
      <c r="BL117" s="47">
        <v>219.92063772863571</v>
      </c>
      <c r="BM117" s="45">
        <v>3612.4622969097436</v>
      </c>
      <c r="BN117" s="55">
        <v>1.1258567752640005</v>
      </c>
      <c r="BO117" s="47">
        <f t="shared" si="134"/>
        <v>1.6538442648115879</v>
      </c>
      <c r="BP117" s="45">
        <v>11250.23659566577</v>
      </c>
      <c r="BQ117" s="55">
        <v>2.8724217923256474</v>
      </c>
      <c r="BR117" s="54">
        <v>0.3367021517960469</v>
      </c>
      <c r="BS117" s="53">
        <v>64.102063902018202</v>
      </c>
      <c r="BT117" s="54">
        <v>0.66692572820370544</v>
      </c>
      <c r="BU117" s="53">
        <v>126.97072299410198</v>
      </c>
      <c r="BV117" s="450">
        <v>34290.377829380152</v>
      </c>
      <c r="BW117" s="347">
        <f t="shared" si="156"/>
        <v>15452.123502606442</v>
      </c>
      <c r="BX117" s="347">
        <f t="shared" si="135"/>
        <v>49742.501331986598</v>
      </c>
      <c r="BY117" s="45">
        <v>29266.078853206887</v>
      </c>
      <c r="BZ117" s="47">
        <v>224.23520680479558</v>
      </c>
      <c r="CA117" s="45">
        <v>5024.2989761732642</v>
      </c>
      <c r="CB117" s="55">
        <v>1.1716765338251904</v>
      </c>
      <c r="CC117" s="47">
        <f t="shared" si="136"/>
        <v>1.699664023372778</v>
      </c>
      <c r="CD117" s="45">
        <v>11470.952229343755</v>
      </c>
      <c r="CE117" s="55">
        <v>2.9893226947334153</v>
      </c>
      <c r="CF117" s="52">
        <v>0.39430547144528166</v>
      </c>
      <c r="CG117" s="53">
        <v>75.068705063730491</v>
      </c>
      <c r="CH117" s="54">
        <v>1.0612311996489872</v>
      </c>
      <c r="CI117" s="53">
        <v>202.03942805783248</v>
      </c>
      <c r="CJ117" s="450">
        <v>42098.722814822861</v>
      </c>
      <c r="CK117" s="347">
        <f t="shared" si="157"/>
        <v>18095.687271451185</v>
      </c>
      <c r="CL117" s="347">
        <f t="shared" si="137"/>
        <v>60194.410086274045</v>
      </c>
      <c r="CM117" s="45">
        <v>34272.947048341426</v>
      </c>
      <c r="CN117" s="47">
        <v>262.59757611336192</v>
      </c>
      <c r="CO117" s="45">
        <v>7825.7757664814344</v>
      </c>
      <c r="CP117" s="55">
        <v>1.2283368207421237</v>
      </c>
      <c r="CQ117" s="47">
        <f t="shared" si="138"/>
        <v>1.756324310289711</v>
      </c>
      <c r="CR117" s="45">
        <v>13433.413486045911</v>
      </c>
      <c r="CS117" s="55">
        <v>3.1338812624619439</v>
      </c>
    </row>
    <row r="118" spans="1:97" s="23" customFormat="1" ht="15" customHeight="1">
      <c r="A118" s="377" t="str">
        <f t="shared" si="150"/>
        <v>BNI - Efficient Product Rebates; Daylighting Controls; COM-Lighting; Office</v>
      </c>
      <c r="B118" s="42" t="s">
        <v>87</v>
      </c>
      <c r="C118" s="15" t="s">
        <v>73</v>
      </c>
      <c r="D118" s="15" t="s">
        <v>66</v>
      </c>
      <c r="E118" s="43">
        <v>10</v>
      </c>
      <c r="F118" s="44">
        <v>288.44026845626246</v>
      </c>
      <c r="G118" s="44">
        <v>21.331502763853152</v>
      </c>
      <c r="H118" s="45">
        <v>200</v>
      </c>
      <c r="I118" s="46">
        <v>0.15</v>
      </c>
      <c r="J118" s="45">
        <v>9.2300885906003991</v>
      </c>
      <c r="K118" s="45">
        <v>39.230088590600403</v>
      </c>
      <c r="L118" s="45">
        <v>170</v>
      </c>
      <c r="M118" s="45">
        <v>209.23008859060042</v>
      </c>
      <c r="N118" s="45">
        <v>170.41110558538503</v>
      </c>
      <c r="O118" s="47">
        <v>0.82</v>
      </c>
      <c r="P118" s="47">
        <v>0.80665609373588898</v>
      </c>
      <c r="Q118" s="310">
        <f t="shared" si="151"/>
        <v>0.80665609373588898</v>
      </c>
      <c r="R118" s="311">
        <f t="shared" si="132"/>
        <v>0</v>
      </c>
      <c r="S118" s="311">
        <f t="shared" si="152"/>
        <v>69.529971111753852</v>
      </c>
      <c r="T118" s="310">
        <f t="shared" si="153"/>
        <v>1.1357823833747653</v>
      </c>
      <c r="U118" s="316">
        <f t="shared" si="140"/>
        <v>0.40801314487638041</v>
      </c>
      <c r="V118" s="48">
        <v>0.13600766911139192</v>
      </c>
      <c r="W118" s="49">
        <v>1.839068209347019</v>
      </c>
      <c r="X118" s="48" t="s">
        <v>74</v>
      </c>
      <c r="Y118" s="48" t="s">
        <v>527</v>
      </c>
      <c r="Z118" s="247">
        <f>0.027*Z3</f>
        <v>3.4020000000000002E-2</v>
      </c>
      <c r="AA118" s="247"/>
      <c r="AB118" s="386">
        <v>0</v>
      </c>
      <c r="AC118" s="387">
        <f t="shared" si="141"/>
        <v>9.8127379328820492</v>
      </c>
      <c r="AD118" s="361">
        <f t="shared" si="142"/>
        <v>0.49063689664410248</v>
      </c>
      <c r="AE118" s="361">
        <f t="shared" si="143"/>
        <v>0.28456940005357945</v>
      </c>
      <c r="AF118" s="361">
        <f t="shared" si="144"/>
        <v>3.9250951731528198E-2</v>
      </c>
      <c r="AG118" s="361">
        <f t="shared" si="145"/>
        <v>0</v>
      </c>
      <c r="AH118" s="361">
        <f t="shared" si="146"/>
        <v>0.71632986910038954</v>
      </c>
      <c r="AI118" s="361">
        <f t="shared" si="147"/>
        <v>7.2319878565340705</v>
      </c>
      <c r="AJ118" s="361" t="s">
        <v>40</v>
      </c>
      <c r="AK118" s="361">
        <f t="shared" si="139"/>
        <v>0</v>
      </c>
      <c r="AL118" s="361">
        <f t="shared" si="148"/>
        <v>0.81445724842921008</v>
      </c>
      <c r="AM118" s="361">
        <f t="shared" si="149"/>
        <v>0.22569297245628714</v>
      </c>
      <c r="AN118" s="361">
        <f t="shared" si="154"/>
        <v>9.802925194949168</v>
      </c>
      <c r="AO118" s="294" t="s">
        <v>617</v>
      </c>
      <c r="AP118" s="282" t="s">
        <v>420</v>
      </c>
      <c r="AQ118" s="136" t="s">
        <v>74</v>
      </c>
      <c r="AR118" s="294"/>
      <c r="AS118" s="142"/>
      <c r="AT118" s="142" t="s">
        <v>217</v>
      </c>
      <c r="AU118" s="146"/>
      <c r="AV118" s="48" t="s">
        <v>202</v>
      </c>
      <c r="AW118" s="131" t="s">
        <v>284</v>
      </c>
      <c r="AX118" s="131"/>
      <c r="AY118" s="131"/>
      <c r="AZ118" s="48"/>
      <c r="BA118" s="48"/>
      <c r="BB118" s="50"/>
      <c r="BC118" s="51" t="s">
        <v>87</v>
      </c>
      <c r="BD118" s="52">
        <v>3.1936135821717682</v>
      </c>
      <c r="BE118" s="53">
        <v>43.183397306078902</v>
      </c>
      <c r="BF118" s="54">
        <v>3.1936135821717682</v>
      </c>
      <c r="BG118" s="53">
        <v>43.183397306078902</v>
      </c>
      <c r="BH118" s="450">
        <v>25512.840205173055</v>
      </c>
      <c r="BI118" s="347">
        <f t="shared" si="155"/>
        <v>10409.574166841216</v>
      </c>
      <c r="BJ118" s="347">
        <f t="shared" si="133"/>
        <v>35922.414372014275</v>
      </c>
      <c r="BK118" s="45">
        <v>31627.902402639422</v>
      </c>
      <c r="BL118" s="47">
        <v>182.57741862261898</v>
      </c>
      <c r="BM118" s="45">
        <v>-6115.0621974663663</v>
      </c>
      <c r="BN118" s="55">
        <v>0.80665609373588909</v>
      </c>
      <c r="BO118" s="47">
        <f t="shared" si="134"/>
        <v>1.1357823833747656</v>
      </c>
      <c r="BP118" s="45">
        <v>7162.5283072084776</v>
      </c>
      <c r="BQ118" s="55">
        <v>3.5619880454080084</v>
      </c>
      <c r="BR118" s="54">
        <v>3.2568646289189043</v>
      </c>
      <c r="BS118" s="53">
        <v>44.038665174726148</v>
      </c>
      <c r="BT118" s="54">
        <v>6.4504782110906724</v>
      </c>
      <c r="BU118" s="53">
        <v>87.22206248080505</v>
      </c>
      <c r="BV118" s="450">
        <v>27507.719609067106</v>
      </c>
      <c r="BW118" s="347">
        <f t="shared" si="156"/>
        <v>10615.740769438427</v>
      </c>
      <c r="BX118" s="347">
        <f t="shared" si="135"/>
        <v>38123.460378505537</v>
      </c>
      <c r="BY118" s="45">
        <v>32254.308159601045</v>
      </c>
      <c r="BZ118" s="47">
        <v>186.19345185367058</v>
      </c>
      <c r="CA118" s="45">
        <v>-4746.5885505339393</v>
      </c>
      <c r="CB118" s="55">
        <v>0.85283861842434106</v>
      </c>
      <c r="CC118" s="47">
        <f t="shared" si="136"/>
        <v>1.1819649080632175</v>
      </c>
      <c r="CD118" s="45">
        <v>7304.3856112091871</v>
      </c>
      <c r="CE118" s="55">
        <v>3.765918322665526</v>
      </c>
      <c r="CF118" s="52">
        <v>3.9390719503589482</v>
      </c>
      <c r="CG118" s="53">
        <v>53.263334674918923</v>
      </c>
      <c r="CH118" s="54">
        <v>10.38955016144962</v>
      </c>
      <c r="CI118" s="53">
        <v>140.48539715572397</v>
      </c>
      <c r="CJ118" s="450">
        <v>35374.082705707711</v>
      </c>
      <c r="CK118" s="347">
        <f t="shared" si="157"/>
        <v>12839.393546135025</v>
      </c>
      <c r="CL118" s="347">
        <f t="shared" si="137"/>
        <v>48213.476251842738</v>
      </c>
      <c r="CM118" s="45">
        <v>39010.537748967581</v>
      </c>
      <c r="CN118" s="47">
        <v>225.194930432451</v>
      </c>
      <c r="CO118" s="45">
        <v>-3636.4550432598699</v>
      </c>
      <c r="CP118" s="55">
        <v>0.90678275017226317</v>
      </c>
      <c r="CQ118" s="47">
        <f t="shared" si="138"/>
        <v>1.2359090398111396</v>
      </c>
      <c r="CR118" s="45">
        <v>8834.4170710191465</v>
      </c>
      <c r="CS118" s="55">
        <v>4.0041218816519972</v>
      </c>
    </row>
    <row r="119" spans="1:97" s="23" customFormat="1" ht="15" customHeight="1">
      <c r="A119" s="377" t="str">
        <f t="shared" si="150"/>
        <v>BNI - Efficient Product Rebates; Daylighting Controls; COM-Lighting; Other Commercial</v>
      </c>
      <c r="B119" s="42" t="s">
        <v>87</v>
      </c>
      <c r="C119" s="15" t="s">
        <v>73</v>
      </c>
      <c r="D119" s="15" t="s">
        <v>56</v>
      </c>
      <c r="E119" s="43">
        <v>10</v>
      </c>
      <c r="F119" s="44">
        <v>269.12446998351072</v>
      </c>
      <c r="G119" s="44">
        <v>21.082058251367375</v>
      </c>
      <c r="H119" s="45">
        <v>200</v>
      </c>
      <c r="I119" s="46">
        <v>0.15</v>
      </c>
      <c r="J119" s="45">
        <v>8.611983039472344</v>
      </c>
      <c r="K119" s="45">
        <v>38.611983039472342</v>
      </c>
      <c r="L119" s="45">
        <v>170</v>
      </c>
      <c r="M119" s="45">
        <v>208.61198303947234</v>
      </c>
      <c r="N119" s="45">
        <v>160.31709610845178</v>
      </c>
      <c r="O119" s="47">
        <v>0.82</v>
      </c>
      <c r="P119" s="47">
        <v>0.76159265709188106</v>
      </c>
      <c r="Q119" s="310">
        <f t="shared" si="151"/>
        <v>0.76159265709188106</v>
      </c>
      <c r="R119" s="311">
        <f t="shared" si="132"/>
        <v>0</v>
      </c>
      <c r="S119" s="311">
        <f t="shared" si="152"/>
        <v>64.873801163643662</v>
      </c>
      <c r="T119" s="310">
        <f t="shared" si="153"/>
        <v>1.0697781956475849</v>
      </c>
      <c r="U119" s="316">
        <f t="shared" si="140"/>
        <v>0.40465928299847476</v>
      </c>
      <c r="V119" s="48">
        <v>0.14347258367787255</v>
      </c>
      <c r="W119" s="49">
        <v>1.8315091714049307</v>
      </c>
      <c r="X119" s="48" t="s">
        <v>74</v>
      </c>
      <c r="Y119" s="48" t="s">
        <v>527</v>
      </c>
      <c r="Z119" s="247">
        <f>0.027*Z3</f>
        <v>3.4020000000000002E-2</v>
      </c>
      <c r="AA119" s="247"/>
      <c r="AB119" s="386">
        <v>0</v>
      </c>
      <c r="AC119" s="387">
        <f t="shared" si="141"/>
        <v>9.1556144688390351</v>
      </c>
      <c r="AD119" s="361">
        <f t="shared" si="142"/>
        <v>0.45778072344195175</v>
      </c>
      <c r="AE119" s="361">
        <f t="shared" si="143"/>
        <v>0.26551281959633205</v>
      </c>
      <c r="AF119" s="361">
        <f t="shared" si="144"/>
        <v>3.6622457875356139E-2</v>
      </c>
      <c r="AG119" s="361">
        <f t="shared" si="145"/>
        <v>0</v>
      </c>
      <c r="AH119" s="361">
        <f t="shared" si="146"/>
        <v>0.66835985622524952</v>
      </c>
      <c r="AI119" s="361">
        <f t="shared" si="147"/>
        <v>6.7476878635343684</v>
      </c>
      <c r="AJ119" s="361" t="s">
        <v>40</v>
      </c>
      <c r="AK119" s="361">
        <f t="shared" si="139"/>
        <v>0</v>
      </c>
      <c r="AL119" s="361">
        <f t="shared" si="148"/>
        <v>0.75991600091363998</v>
      </c>
      <c r="AM119" s="361">
        <f t="shared" si="149"/>
        <v>0.21057913278329779</v>
      </c>
      <c r="AN119" s="361">
        <f t="shared" si="154"/>
        <v>9.146458854370195</v>
      </c>
      <c r="AO119" s="294" t="s">
        <v>617</v>
      </c>
      <c r="AP119" s="282" t="s">
        <v>420</v>
      </c>
      <c r="AQ119" s="136" t="s">
        <v>74</v>
      </c>
      <c r="AR119" s="294"/>
      <c r="AS119" s="142"/>
      <c r="AT119" s="142" t="s">
        <v>217</v>
      </c>
      <c r="AU119" s="146"/>
      <c r="AV119" s="48" t="s">
        <v>202</v>
      </c>
      <c r="AW119" s="131" t="s">
        <v>284</v>
      </c>
      <c r="AX119" s="131"/>
      <c r="AY119" s="131"/>
      <c r="AZ119" s="48"/>
      <c r="BA119" s="48"/>
      <c r="BB119" s="50"/>
      <c r="BC119" s="51" t="s">
        <v>87</v>
      </c>
      <c r="BD119" s="52">
        <v>2.3592440330702322</v>
      </c>
      <c r="BE119" s="53">
        <v>30.117092571860486</v>
      </c>
      <c r="BF119" s="54">
        <v>2.3592440330702322</v>
      </c>
      <c r="BG119" s="53">
        <v>30.117092571860486</v>
      </c>
      <c r="BH119" s="450">
        <v>17940.712803432281</v>
      </c>
      <c r="BI119" s="347">
        <f t="shared" si="155"/>
        <v>7259.8759795184606</v>
      </c>
      <c r="BJ119" s="347">
        <f t="shared" si="133"/>
        <v>25200.588782950741</v>
      </c>
      <c r="BK119" s="45">
        <v>23556.835319209033</v>
      </c>
      <c r="BL119" s="47">
        <v>136.472769180933</v>
      </c>
      <c r="BM119" s="45">
        <v>-5616.1225157767512</v>
      </c>
      <c r="BN119" s="55">
        <v>0.76159265709188129</v>
      </c>
      <c r="BO119" s="47">
        <f t="shared" si="134"/>
        <v>1.0697781956475849</v>
      </c>
      <c r="BP119" s="45">
        <v>5269.4842489640087</v>
      </c>
      <c r="BQ119" s="55">
        <v>3.4046430268691785</v>
      </c>
      <c r="BR119" s="54">
        <v>2.2404168313160278</v>
      </c>
      <c r="BS119" s="53">
        <v>28.600195724767779</v>
      </c>
      <c r="BT119" s="54">
        <v>4.5996608643862595</v>
      </c>
      <c r="BU119" s="53">
        <v>58.717288296628269</v>
      </c>
      <c r="BV119" s="450">
        <v>18028.023035718928</v>
      </c>
      <c r="BW119" s="347">
        <f t="shared" si="156"/>
        <v>6894.2203984779135</v>
      </c>
      <c r="BX119" s="347">
        <f t="shared" si="135"/>
        <v>24922.24343419684</v>
      </c>
      <c r="BY119" s="45">
        <v>22370.356606566726</v>
      </c>
      <c r="BZ119" s="47">
        <v>129.59909394848412</v>
      </c>
      <c r="CA119" s="45">
        <v>-4342.3335708477971</v>
      </c>
      <c r="CB119" s="55">
        <v>0.80588894279972623</v>
      </c>
      <c r="CC119" s="47">
        <f t="shared" si="136"/>
        <v>1.11407448135543</v>
      </c>
      <c r="CD119" s="45">
        <v>5004.0780174698521</v>
      </c>
      <c r="CE119" s="55">
        <v>3.6026662599545576</v>
      </c>
      <c r="CF119" s="52">
        <v>2.5621430007490749</v>
      </c>
      <c r="CG119" s="53">
        <v>32.707213350661974</v>
      </c>
      <c r="CH119" s="54">
        <v>7.1618038651353348</v>
      </c>
      <c r="CI119" s="53">
        <v>91.424501647290242</v>
      </c>
      <c r="CJ119" s="450">
        <v>21937.550612641382</v>
      </c>
      <c r="CK119" s="347">
        <f t="shared" si="157"/>
        <v>7884.2375635991848</v>
      </c>
      <c r="CL119" s="347">
        <f t="shared" si="137"/>
        <v>29821.788176240567</v>
      </c>
      <c r="CM119" s="45">
        <v>25582.76290493146</v>
      </c>
      <c r="CN119" s="47">
        <v>148.20965760576007</v>
      </c>
      <c r="CO119" s="45">
        <v>-3645.212292290078</v>
      </c>
      <c r="CP119" s="55">
        <v>0.85751295488153045</v>
      </c>
      <c r="CQ119" s="47">
        <f t="shared" si="138"/>
        <v>1.1656984934372343</v>
      </c>
      <c r="CR119" s="45">
        <v>5722.6687857596107</v>
      </c>
      <c r="CS119" s="55">
        <v>3.8334475458777497</v>
      </c>
    </row>
    <row r="120" spans="1:97" s="23" customFormat="1" ht="15" customHeight="1">
      <c r="A120" s="377" t="str">
        <f t="shared" si="150"/>
        <v>BNI - Efficient Product Rebates; Daylighting Controls; COM-Lighting; Retail</v>
      </c>
      <c r="B120" s="42" t="s">
        <v>87</v>
      </c>
      <c r="C120" s="15" t="s">
        <v>73</v>
      </c>
      <c r="D120" s="15" t="s">
        <v>30</v>
      </c>
      <c r="E120" s="43">
        <v>10</v>
      </c>
      <c r="F120" s="44">
        <v>272.18090078075244</v>
      </c>
      <c r="G120" s="44">
        <v>23.380653285677024</v>
      </c>
      <c r="H120" s="45">
        <v>200</v>
      </c>
      <c r="I120" s="46">
        <v>0.15</v>
      </c>
      <c r="J120" s="45">
        <v>8.7097888249840789</v>
      </c>
      <c r="K120" s="45">
        <v>38.709788824984081</v>
      </c>
      <c r="L120" s="45">
        <v>170</v>
      </c>
      <c r="M120" s="45">
        <v>208.70978882498409</v>
      </c>
      <c r="N120" s="45">
        <v>164.43930646267498</v>
      </c>
      <c r="O120" s="47">
        <v>0.82</v>
      </c>
      <c r="P120" s="47">
        <v>0.78073299849862121</v>
      </c>
      <c r="Q120" s="310">
        <f t="shared" si="151"/>
        <v>0.78073299849862121</v>
      </c>
      <c r="R120" s="311">
        <f t="shared" si="132"/>
        <v>0</v>
      </c>
      <c r="S120" s="311">
        <f t="shared" si="152"/>
        <v>65.610569112774584</v>
      </c>
      <c r="T120" s="310">
        <f t="shared" si="153"/>
        <v>1.0922420741480285</v>
      </c>
      <c r="U120" s="316">
        <f t="shared" si="140"/>
        <v>0.39899565696396971</v>
      </c>
      <c r="V120" s="48">
        <v>0.14222081238597137</v>
      </c>
      <c r="W120" s="49">
        <v>1.6556333286331941</v>
      </c>
      <c r="X120" s="48" t="s">
        <v>74</v>
      </c>
      <c r="Y120" s="48" t="s">
        <v>527</v>
      </c>
      <c r="Z120" s="247">
        <f>0.027*Z3</f>
        <v>3.4020000000000002E-2</v>
      </c>
      <c r="AA120" s="247"/>
      <c r="AB120" s="386">
        <v>0</v>
      </c>
      <c r="AC120" s="387">
        <f t="shared" si="141"/>
        <v>9.2595942445611978</v>
      </c>
      <c r="AD120" s="361">
        <f t="shared" si="142"/>
        <v>0.46297971222805989</v>
      </c>
      <c r="AE120" s="361">
        <f t="shared" si="143"/>
        <v>0.26852823309227475</v>
      </c>
      <c r="AF120" s="361">
        <f t="shared" si="144"/>
        <v>3.7038376978244796E-2</v>
      </c>
      <c r="AG120" s="361">
        <f t="shared" si="145"/>
        <v>0</v>
      </c>
      <c r="AH120" s="361">
        <f t="shared" si="146"/>
        <v>0.67595037985296735</v>
      </c>
      <c r="AI120" s="361">
        <f t="shared" si="147"/>
        <v>6.8243209582416027</v>
      </c>
      <c r="AJ120" s="361" t="s">
        <v>40</v>
      </c>
      <c r="AK120" s="361">
        <f t="shared" si="139"/>
        <v>0</v>
      </c>
      <c r="AL120" s="361">
        <f t="shared" si="148"/>
        <v>0.76854632229857944</v>
      </c>
      <c r="AM120" s="361">
        <f t="shared" si="149"/>
        <v>0.21297066762490754</v>
      </c>
      <c r="AN120" s="361">
        <f t="shared" si="154"/>
        <v>9.2503346503166366</v>
      </c>
      <c r="AO120" s="294" t="s">
        <v>617</v>
      </c>
      <c r="AP120" s="282" t="s">
        <v>420</v>
      </c>
      <c r="AQ120" s="136" t="s">
        <v>74</v>
      </c>
      <c r="AR120" s="294"/>
      <c r="AS120" s="142"/>
      <c r="AT120" s="142" t="s">
        <v>217</v>
      </c>
      <c r="AU120" s="146"/>
      <c r="AV120" s="48" t="s">
        <v>202</v>
      </c>
      <c r="AW120" s="131" t="s">
        <v>284</v>
      </c>
      <c r="AX120" s="131"/>
      <c r="AY120" s="131"/>
      <c r="AZ120" s="48"/>
      <c r="BA120" s="48"/>
      <c r="BB120" s="50"/>
      <c r="BC120" s="51" t="s">
        <v>87</v>
      </c>
      <c r="BD120" s="52">
        <v>3.795719015070361</v>
      </c>
      <c r="BE120" s="53">
        <v>44.187055340552497</v>
      </c>
      <c r="BF120" s="54">
        <v>3.795719015070361</v>
      </c>
      <c r="BG120" s="53">
        <v>44.187055340552497</v>
      </c>
      <c r="BH120" s="450">
        <v>26695.806774044304</v>
      </c>
      <c r="BI120" s="347">
        <f t="shared" si="155"/>
        <v>10651.510961993004</v>
      </c>
      <c r="BJ120" s="347">
        <f t="shared" si="133"/>
        <v>37347.317736037308</v>
      </c>
      <c r="BK120" s="45">
        <v>34193.260468535773</v>
      </c>
      <c r="BL120" s="47">
        <v>197.98102181217769</v>
      </c>
      <c r="BM120" s="45">
        <v>-7497.4536944914689</v>
      </c>
      <c r="BN120" s="55">
        <v>0.78073299849862121</v>
      </c>
      <c r="BO120" s="47">
        <f t="shared" si="134"/>
        <v>1.0922420741480288</v>
      </c>
      <c r="BP120" s="45">
        <v>7663.803545703965</v>
      </c>
      <c r="BQ120" s="55">
        <v>3.4833626168573897</v>
      </c>
      <c r="BR120" s="54">
        <v>3.6460955079855899</v>
      </c>
      <c r="BS120" s="53">
        <v>42.445245116573162</v>
      </c>
      <c r="BT120" s="54">
        <v>7.4418145230559514</v>
      </c>
      <c r="BU120" s="53">
        <v>86.632300457125666</v>
      </c>
      <c r="BV120" s="450">
        <v>27174.423541174485</v>
      </c>
      <c r="BW120" s="347">
        <f t="shared" si="156"/>
        <v>10231.63888517234</v>
      </c>
      <c r="BX120" s="347">
        <f t="shared" si="135"/>
        <v>37406.062426346827</v>
      </c>
      <c r="BY120" s="45">
        <v>32845.395800563099</v>
      </c>
      <c r="BZ120" s="47">
        <v>190.17680482399911</v>
      </c>
      <c r="CA120" s="45">
        <v>-5670.9722593886145</v>
      </c>
      <c r="CB120" s="55">
        <v>0.82734346409394188</v>
      </c>
      <c r="CC120" s="47">
        <f t="shared" si="136"/>
        <v>1.1388525397433493</v>
      </c>
      <c r="CD120" s="45">
        <v>7361.7039541472186</v>
      </c>
      <c r="CE120" s="55">
        <v>3.6913225131616119</v>
      </c>
      <c r="CF120" s="52">
        <v>4.2068135255904373</v>
      </c>
      <c r="CG120" s="53">
        <v>48.972724620714224</v>
      </c>
      <c r="CH120" s="54">
        <v>11.648628048646389</v>
      </c>
      <c r="CI120" s="53">
        <v>135.60502507783988</v>
      </c>
      <c r="CJ120" s="450">
        <v>33404.498384056191</v>
      </c>
      <c r="CK120" s="347">
        <f t="shared" si="157"/>
        <v>11805.120506807683</v>
      </c>
      <c r="CL120" s="347">
        <f t="shared" si="137"/>
        <v>45209.618890863872</v>
      </c>
      <c r="CM120" s="45">
        <v>37896.553999903146</v>
      </c>
      <c r="CN120" s="47">
        <v>219.42331270120258</v>
      </c>
      <c r="CO120" s="45">
        <v>-4492.0556158469553</v>
      </c>
      <c r="CP120" s="55">
        <v>0.88146532753720996</v>
      </c>
      <c r="CQ120" s="47">
        <f t="shared" si="138"/>
        <v>1.1929744031866174</v>
      </c>
      <c r="CR120" s="45">
        <v>8493.8300979419982</v>
      </c>
      <c r="CS120" s="55">
        <v>3.9327956880312325</v>
      </c>
    </row>
    <row r="121" spans="1:97" s="23" customFormat="1" ht="15" customHeight="1">
      <c r="A121" s="377" t="str">
        <f t="shared" si="150"/>
        <v>BNI - Efficient Product Rebates; Daylighting Controls; COM-Lighting; School</v>
      </c>
      <c r="B121" s="42" t="s">
        <v>87</v>
      </c>
      <c r="C121" s="15" t="s">
        <v>73</v>
      </c>
      <c r="D121" s="15" t="s">
        <v>59</v>
      </c>
      <c r="E121" s="43">
        <v>10</v>
      </c>
      <c r="F121" s="44">
        <v>291.07186363083144</v>
      </c>
      <c r="G121" s="44">
        <v>1.5288824859303927</v>
      </c>
      <c r="H121" s="45">
        <v>200</v>
      </c>
      <c r="I121" s="46">
        <v>0.15</v>
      </c>
      <c r="J121" s="45">
        <v>9.3142996361866057</v>
      </c>
      <c r="K121" s="45">
        <v>39.314299636186604</v>
      </c>
      <c r="L121" s="45">
        <v>170</v>
      </c>
      <c r="M121" s="45">
        <v>209.3142996361866</v>
      </c>
      <c r="N121" s="45">
        <v>149.61526214429819</v>
      </c>
      <c r="O121" s="47">
        <v>0.82</v>
      </c>
      <c r="P121" s="47">
        <v>0.70787300999316372</v>
      </c>
      <c r="Q121" s="310">
        <f t="shared" si="151"/>
        <v>0.70787300999316372</v>
      </c>
      <c r="R121" s="311">
        <f t="shared" si="132"/>
        <v>0</v>
      </c>
      <c r="S121" s="311">
        <f t="shared" si="152"/>
        <v>70.164330306622517</v>
      </c>
      <c r="T121" s="310">
        <f t="shared" si="153"/>
        <v>1.0398407182099974</v>
      </c>
      <c r="U121" s="316">
        <f t="shared" si="140"/>
        <v>0.46896505945330452</v>
      </c>
      <c r="V121" s="48">
        <v>0.13506733060962983</v>
      </c>
      <c r="W121" s="49">
        <v>25.714402511624112</v>
      </c>
      <c r="X121" s="48" t="s">
        <v>74</v>
      </c>
      <c r="Y121" s="48" t="s">
        <v>527</v>
      </c>
      <c r="Z121" s="247">
        <f>0.027*Z3</f>
        <v>3.4020000000000002E-2</v>
      </c>
      <c r="AA121" s="247"/>
      <c r="AB121" s="386">
        <v>0</v>
      </c>
      <c r="AC121" s="387">
        <f t="shared" si="141"/>
        <v>9.9022648007208858</v>
      </c>
      <c r="AD121" s="361">
        <f t="shared" si="142"/>
        <v>0.49511324003604429</v>
      </c>
      <c r="AE121" s="361">
        <f t="shared" si="143"/>
        <v>0.28716567922090569</v>
      </c>
      <c r="AF121" s="361">
        <f t="shared" si="144"/>
        <v>3.9609059202883545E-2</v>
      </c>
      <c r="AG121" s="361">
        <f t="shared" si="145"/>
        <v>0</v>
      </c>
      <c r="AH121" s="361">
        <f t="shared" si="146"/>
        <v>0.72286533045262458</v>
      </c>
      <c r="AI121" s="361">
        <f t="shared" si="147"/>
        <v>7.2979691581312931</v>
      </c>
      <c r="AJ121" s="361" t="s">
        <v>40</v>
      </c>
      <c r="AK121" s="361">
        <f t="shared" si="139"/>
        <v>0</v>
      </c>
      <c r="AL121" s="361">
        <f t="shared" si="148"/>
        <v>0.82188797845983352</v>
      </c>
      <c r="AM121" s="361">
        <f t="shared" si="149"/>
        <v>0.22775209041658037</v>
      </c>
      <c r="AN121" s="361">
        <f t="shared" si="154"/>
        <v>9.8923625359201655</v>
      </c>
      <c r="AO121" s="294" t="s">
        <v>617</v>
      </c>
      <c r="AP121" s="282" t="s">
        <v>420</v>
      </c>
      <c r="AQ121" s="136" t="s">
        <v>74</v>
      </c>
      <c r="AR121" s="294"/>
      <c r="AS121" s="142"/>
      <c r="AT121" s="142" t="s">
        <v>217</v>
      </c>
      <c r="AU121" s="146"/>
      <c r="AV121" s="48" t="s">
        <v>202</v>
      </c>
      <c r="AW121" s="131" t="s">
        <v>284</v>
      </c>
      <c r="AX121" s="131"/>
      <c r="AY121" s="131"/>
      <c r="AZ121" s="48"/>
      <c r="BA121" s="48"/>
      <c r="BB121" s="50"/>
      <c r="BC121" s="51" t="s">
        <v>87</v>
      </c>
      <c r="BD121" s="52">
        <v>0.26866429611700343</v>
      </c>
      <c r="BE121" s="53">
        <v>51.148873822210867</v>
      </c>
      <c r="BF121" s="54">
        <v>0.26866429611700343</v>
      </c>
      <c r="BG121" s="53">
        <v>51.148873822210867</v>
      </c>
      <c r="BH121" s="450">
        <v>26291.281025367756</v>
      </c>
      <c r="BI121" s="347">
        <f t="shared" si="155"/>
        <v>12329.692169165122</v>
      </c>
      <c r="BJ121" s="347">
        <f t="shared" si="133"/>
        <v>38620.973194532882</v>
      </c>
      <c r="BK121" s="45">
        <v>37141.239536201079</v>
      </c>
      <c r="BL121" s="47">
        <v>214.29991416845729</v>
      </c>
      <c r="BM121" s="45">
        <v>-10849.958510833323</v>
      </c>
      <c r="BN121" s="55">
        <v>0.70787300999316383</v>
      </c>
      <c r="BO121" s="47">
        <f t="shared" si="134"/>
        <v>1.0398407182099974</v>
      </c>
      <c r="BP121" s="45">
        <v>8425.0510376278016</v>
      </c>
      <c r="BQ121" s="55">
        <v>3.1206079236726447</v>
      </c>
      <c r="BR121" s="54">
        <v>0.27659655232508773</v>
      </c>
      <c r="BS121" s="53">
        <v>52.659033444373904</v>
      </c>
      <c r="BT121" s="54">
        <v>0.54526084844209122</v>
      </c>
      <c r="BU121" s="53">
        <v>103.80790726658478</v>
      </c>
      <c r="BV121" s="450">
        <v>28169.110993018989</v>
      </c>
      <c r="BW121" s="347">
        <f t="shared" si="156"/>
        <v>12693.723708398886</v>
      </c>
      <c r="BX121" s="347">
        <f t="shared" si="135"/>
        <v>40862.834701417873</v>
      </c>
      <c r="BY121" s="45">
        <v>38237.826734965558</v>
      </c>
      <c r="BZ121" s="47">
        <v>220.62707356076589</v>
      </c>
      <c r="CA121" s="45">
        <v>-10068.715741946569</v>
      </c>
      <c r="CB121" s="55">
        <v>0.7366817991060276</v>
      </c>
      <c r="CC121" s="47">
        <f t="shared" si="136"/>
        <v>1.0686495073228612</v>
      </c>
      <c r="CD121" s="45">
        <v>8673.7988778229337</v>
      </c>
      <c r="CE121" s="55">
        <v>3.2476094257893666</v>
      </c>
      <c r="CF121" s="52">
        <v>0.33707570915664048</v>
      </c>
      <c r="CG121" s="53">
        <v>64.173182538094935</v>
      </c>
      <c r="CH121" s="54">
        <v>0.88233655759873153</v>
      </c>
      <c r="CI121" s="53">
        <v>167.9810898046797</v>
      </c>
      <c r="CJ121" s="450">
        <v>35988.485768107028</v>
      </c>
      <c r="CK121" s="347">
        <f t="shared" si="157"/>
        <v>15469.267005968124</v>
      </c>
      <c r="CL121" s="347">
        <f t="shared" si="137"/>
        <v>51457.752774075154</v>
      </c>
      <c r="CM121" s="45">
        <v>46598.710124732854</v>
      </c>
      <c r="CN121" s="47">
        <v>268.8682366230064</v>
      </c>
      <c r="CO121" s="45">
        <v>-10610.224356625826</v>
      </c>
      <c r="CP121" s="55">
        <v>0.77230647955222442</v>
      </c>
      <c r="CQ121" s="47">
        <f t="shared" si="138"/>
        <v>1.1042741877690581</v>
      </c>
      <c r="CR121" s="45">
        <v>10570.366417249996</v>
      </c>
      <c r="CS121" s="55">
        <v>3.4046583010950959</v>
      </c>
    </row>
    <row r="122" spans="1:97" s="23" customFormat="1" ht="15" customHeight="1">
      <c r="A122" s="377" t="str">
        <f t="shared" si="150"/>
        <v xml:space="preserve">BNI - Efficient Product Rebates; Cycling Refrigerated Air Dryers (≤ 300 CFM capacity); IND; Industrial </v>
      </c>
      <c r="B122" s="42" t="s">
        <v>88</v>
      </c>
      <c r="C122" s="15" t="s">
        <v>69</v>
      </c>
      <c r="D122" s="15" t="s">
        <v>70</v>
      </c>
      <c r="E122" s="43">
        <v>10</v>
      </c>
      <c r="F122" s="44">
        <v>2179.7872141499997</v>
      </c>
      <c r="G122" s="44">
        <v>248.83415686643946</v>
      </c>
      <c r="H122" s="45">
        <v>200</v>
      </c>
      <c r="I122" s="46">
        <v>0.41666666666666663</v>
      </c>
      <c r="J122" s="45">
        <v>69.753190852799989</v>
      </c>
      <c r="K122" s="45">
        <v>153.08652418613332</v>
      </c>
      <c r="L122" s="45">
        <v>116.66666666666667</v>
      </c>
      <c r="M122" s="45">
        <v>269.7531908528</v>
      </c>
      <c r="N122" s="45">
        <v>1385.7640157772648</v>
      </c>
      <c r="O122" s="47">
        <v>0.82</v>
      </c>
      <c r="P122" s="47">
        <v>4.8612234502198906</v>
      </c>
      <c r="Q122" s="310">
        <f t="shared" si="151"/>
        <v>4.8612234502198906</v>
      </c>
      <c r="R122" s="311">
        <f t="shared" si="132"/>
        <v>0</v>
      </c>
      <c r="S122" s="311">
        <f t="shared" si="152"/>
        <v>0</v>
      </c>
      <c r="T122" s="310">
        <f t="shared" si="153"/>
        <v>4.8612234502198906</v>
      </c>
      <c r="U122" s="316">
        <f t="shared" si="140"/>
        <v>0</v>
      </c>
      <c r="V122" s="48">
        <v>7.0230031258270709E-2</v>
      </c>
      <c r="W122" s="49">
        <v>0.61521507382244867</v>
      </c>
      <c r="X122" s="48" t="s">
        <v>40</v>
      </c>
      <c r="Y122" s="48" t="s">
        <v>528</v>
      </c>
      <c r="Z122" s="246" t="s">
        <v>40</v>
      </c>
      <c r="AA122" s="246"/>
      <c r="AB122" s="386">
        <v>0</v>
      </c>
      <c r="AC122" s="388">
        <v>0</v>
      </c>
      <c r="AD122" s="337">
        <v>0</v>
      </c>
      <c r="AE122" s="337">
        <v>0</v>
      </c>
      <c r="AF122" s="337">
        <v>0</v>
      </c>
      <c r="AG122" s="337">
        <v>0</v>
      </c>
      <c r="AH122" s="337">
        <v>0</v>
      </c>
      <c r="AI122" s="337">
        <v>0</v>
      </c>
      <c r="AJ122" s="337" t="s">
        <v>40</v>
      </c>
      <c r="AK122" s="337">
        <v>0</v>
      </c>
      <c r="AL122" s="337">
        <v>0</v>
      </c>
      <c r="AM122" s="337">
        <v>0</v>
      </c>
      <c r="AN122" s="337">
        <f t="shared" si="154"/>
        <v>0</v>
      </c>
      <c r="AO122" s="294" t="s">
        <v>618</v>
      </c>
      <c r="AP122" s="282" t="s">
        <v>419</v>
      </c>
      <c r="AQ122" s="136" t="s">
        <v>40</v>
      </c>
      <c r="AR122" s="289"/>
      <c r="AS122" s="142"/>
      <c r="AT122" s="142"/>
      <c r="AU122" s="146"/>
      <c r="AV122" s="48"/>
      <c r="AW122" s="131" t="s">
        <v>284</v>
      </c>
      <c r="AX122" s="131"/>
      <c r="AY122" s="131"/>
      <c r="AZ122" s="48"/>
      <c r="BA122" s="48"/>
      <c r="BB122" s="50"/>
      <c r="BC122" s="51" t="s">
        <v>88</v>
      </c>
      <c r="BD122" s="52">
        <v>2.8476005669150743</v>
      </c>
      <c r="BE122" s="53">
        <v>24.944980966175937</v>
      </c>
      <c r="BF122" s="54">
        <v>2.8476005669150743</v>
      </c>
      <c r="BG122" s="53">
        <v>24.944980966175937</v>
      </c>
      <c r="BH122" s="450">
        <v>15858.363042401375</v>
      </c>
      <c r="BI122" s="347">
        <f t="shared" si="155"/>
        <v>0</v>
      </c>
      <c r="BJ122" s="347">
        <f t="shared" si="133"/>
        <v>15858.363042401375</v>
      </c>
      <c r="BK122" s="45">
        <v>3262.2164368280664</v>
      </c>
      <c r="BL122" s="47">
        <v>13.955815640105476</v>
      </c>
      <c r="BM122" s="45">
        <v>12596.146605573309</v>
      </c>
      <c r="BN122" s="55">
        <v>4.8612234502198923</v>
      </c>
      <c r="BO122" s="47">
        <f t="shared" si="134"/>
        <v>4.8612234502198923</v>
      </c>
      <c r="BP122" s="45">
        <v>2136.4473085262243</v>
      </c>
      <c r="BQ122" s="55">
        <v>7.4227728337193941</v>
      </c>
      <c r="BR122" s="54">
        <v>2.1511978576902191</v>
      </c>
      <c r="BS122" s="53">
        <v>18.844493233366233</v>
      </c>
      <c r="BT122" s="54">
        <v>4.998798424605293</v>
      </c>
      <c r="BU122" s="53">
        <v>43.78947419954217</v>
      </c>
      <c r="BV122" s="450">
        <v>12759.786383432249</v>
      </c>
      <c r="BW122" s="347">
        <f t="shared" si="156"/>
        <v>0</v>
      </c>
      <c r="BX122" s="347">
        <f t="shared" si="135"/>
        <v>12759.786383432249</v>
      </c>
      <c r="BY122" s="45">
        <v>2464.4162147463321</v>
      </c>
      <c r="BZ122" s="47">
        <v>10.542813151578471</v>
      </c>
      <c r="CA122" s="45">
        <v>10295.370168685917</v>
      </c>
      <c r="CB122" s="55">
        <v>5.1776101403170012</v>
      </c>
      <c r="CC122" s="47">
        <f t="shared" si="136"/>
        <v>5.1776101403170012</v>
      </c>
      <c r="CD122" s="45">
        <v>1613.962620519002</v>
      </c>
      <c r="CE122" s="55">
        <v>7.9058747837227381</v>
      </c>
      <c r="CF122" s="52">
        <v>2.168138731444087</v>
      </c>
      <c r="CG122" s="53">
        <v>18.992895287450114</v>
      </c>
      <c r="CH122" s="54">
        <v>7.1669371560493795</v>
      </c>
      <c r="CI122" s="53">
        <v>62.78236948699228</v>
      </c>
      <c r="CJ122" s="450">
        <v>13762.260619042256</v>
      </c>
      <c r="CK122" s="347">
        <f t="shared" si="157"/>
        <v>0</v>
      </c>
      <c r="CL122" s="347">
        <f t="shared" si="137"/>
        <v>13762.260619042256</v>
      </c>
      <c r="CM122" s="45">
        <v>2483.8237108173021</v>
      </c>
      <c r="CN122" s="47">
        <v>10.625838739379715</v>
      </c>
      <c r="CO122" s="45">
        <v>11278.436908224954</v>
      </c>
      <c r="CP122" s="55">
        <v>5.5407557948280415</v>
      </c>
      <c r="CQ122" s="47">
        <f t="shared" si="138"/>
        <v>5.5407557948280415</v>
      </c>
      <c r="CR122" s="45">
        <v>1626.6727191740051</v>
      </c>
      <c r="CS122" s="55">
        <v>8.4603746388704923</v>
      </c>
    </row>
    <row r="123" spans="1:97" s="23" customFormat="1" ht="15" customHeight="1">
      <c r="A123" s="377" t="str">
        <f t="shared" si="150"/>
        <v>BNI - Efficient Product Rebates; Cycling Refrigerated Air Dryers (≤ 300 CFM capacity); COM-Process; Other Commercial</v>
      </c>
      <c r="B123" s="42" t="s">
        <v>88</v>
      </c>
      <c r="C123" s="15" t="s">
        <v>89</v>
      </c>
      <c r="D123" s="15" t="s">
        <v>56</v>
      </c>
      <c r="E123" s="43">
        <v>10</v>
      </c>
      <c r="F123" s="44">
        <v>3583.8105575999994</v>
      </c>
      <c r="G123" s="44">
        <v>409.11118530410414</v>
      </c>
      <c r="H123" s="45">
        <v>200</v>
      </c>
      <c r="I123" s="46">
        <v>0.41666666666666663</v>
      </c>
      <c r="J123" s="45">
        <v>114.68193784319998</v>
      </c>
      <c r="K123" s="45">
        <v>198.0152711765333</v>
      </c>
      <c r="L123" s="45">
        <v>116.66666666666667</v>
      </c>
      <c r="M123" s="45">
        <v>314.68193784319999</v>
      </c>
      <c r="N123" s="45">
        <v>2278.3492950985287</v>
      </c>
      <c r="O123" s="47">
        <v>0.82</v>
      </c>
      <c r="P123" s="47">
        <v>6.7038661939833348</v>
      </c>
      <c r="Q123" s="310">
        <f t="shared" si="151"/>
        <v>6.7038661939833348</v>
      </c>
      <c r="R123" s="311">
        <f t="shared" si="132"/>
        <v>0</v>
      </c>
      <c r="S123" s="311">
        <f t="shared" si="152"/>
        <v>0</v>
      </c>
      <c r="T123" s="310">
        <f t="shared" si="153"/>
        <v>6.7038661939833348</v>
      </c>
      <c r="U123" s="316">
        <f t="shared" si="140"/>
        <v>0</v>
      </c>
      <c r="V123" s="48">
        <v>5.5252717183003071E-2</v>
      </c>
      <c r="W123" s="49">
        <v>0.48401333986833639</v>
      </c>
      <c r="X123" s="48" t="s">
        <v>40</v>
      </c>
      <c r="Y123" s="48" t="s">
        <v>528</v>
      </c>
      <c r="Z123" s="246" t="s">
        <v>40</v>
      </c>
      <c r="AA123" s="246"/>
      <c r="AB123" s="386">
        <v>0</v>
      </c>
      <c r="AC123" s="388">
        <v>0</v>
      </c>
      <c r="AD123" s="337">
        <v>0</v>
      </c>
      <c r="AE123" s="337">
        <v>0</v>
      </c>
      <c r="AF123" s="337">
        <v>0</v>
      </c>
      <c r="AG123" s="337">
        <v>0</v>
      </c>
      <c r="AH123" s="337">
        <v>0</v>
      </c>
      <c r="AI123" s="337">
        <v>0</v>
      </c>
      <c r="AJ123" s="337" t="s">
        <v>40</v>
      </c>
      <c r="AK123" s="337">
        <v>0</v>
      </c>
      <c r="AL123" s="337">
        <v>0</v>
      </c>
      <c r="AM123" s="337">
        <v>0</v>
      </c>
      <c r="AN123" s="337">
        <f t="shared" si="154"/>
        <v>0</v>
      </c>
      <c r="AO123" s="294" t="s">
        <v>618</v>
      </c>
      <c r="AP123" s="282" t="s">
        <v>419</v>
      </c>
      <c r="AQ123" s="136" t="s">
        <v>40</v>
      </c>
      <c r="AR123" s="289"/>
      <c r="AS123" s="142"/>
      <c r="AT123" s="142"/>
      <c r="AU123" s="146"/>
      <c r="AV123" s="48"/>
      <c r="AW123" s="131" t="s">
        <v>284</v>
      </c>
      <c r="AX123" s="131"/>
      <c r="AY123" s="131"/>
      <c r="AZ123" s="48"/>
      <c r="BA123" s="48"/>
      <c r="BB123" s="50"/>
      <c r="BC123" s="51" t="s">
        <v>88</v>
      </c>
      <c r="BD123" s="52">
        <v>4.9521699375684278</v>
      </c>
      <c r="BE123" s="53">
        <v>43.380967186450128</v>
      </c>
      <c r="BF123" s="54">
        <v>4.9521699375684278</v>
      </c>
      <c r="BG123" s="53">
        <v>43.380967186450128</v>
      </c>
      <c r="BH123" s="450">
        <v>27578.744585241151</v>
      </c>
      <c r="BI123" s="347">
        <f t="shared" si="155"/>
        <v>0</v>
      </c>
      <c r="BJ123" s="347">
        <f t="shared" si="133"/>
        <v>27578.744585241151</v>
      </c>
      <c r="BK123" s="45">
        <v>4113.856659309944</v>
      </c>
      <c r="BL123" s="47">
        <v>14.761834552853582</v>
      </c>
      <c r="BM123" s="45">
        <v>23464.887925931209</v>
      </c>
      <c r="BN123" s="55">
        <v>6.7038661939833348</v>
      </c>
      <c r="BO123" s="47">
        <f t="shared" si="134"/>
        <v>6.7038661939833348</v>
      </c>
      <c r="BP123" s="45">
        <v>2923.0686720464214</v>
      </c>
      <c r="BQ123" s="55">
        <v>9.4348603058762386</v>
      </c>
      <c r="BR123" s="54">
        <v>3.7399567065461383</v>
      </c>
      <c r="BS123" s="53">
        <v>32.761989433077751</v>
      </c>
      <c r="BT123" s="54">
        <v>8.6921266441145661</v>
      </c>
      <c r="BU123" s="53">
        <v>76.14295661952788</v>
      </c>
      <c r="BV123" s="450">
        <v>22183.460676581442</v>
      </c>
      <c r="BW123" s="347">
        <f t="shared" si="156"/>
        <v>0</v>
      </c>
      <c r="BX123" s="347">
        <f t="shared" si="135"/>
        <v>22183.460676581442</v>
      </c>
      <c r="BY123" s="45">
        <v>3106.8493199387754</v>
      </c>
      <c r="BZ123" s="47">
        <v>11.148369872778909</v>
      </c>
      <c r="CA123" s="45">
        <v>19076.611356642668</v>
      </c>
      <c r="CB123" s="55">
        <v>7.1401791307402691</v>
      </c>
      <c r="CC123" s="47">
        <f t="shared" si="136"/>
        <v>7.1401791307402691</v>
      </c>
      <c r="CD123" s="45">
        <v>2207.5474835346099</v>
      </c>
      <c r="CE123" s="55">
        <v>10.048916656171963</v>
      </c>
      <c r="CF123" s="52">
        <v>3.7841363202631086</v>
      </c>
      <c r="CG123" s="53">
        <v>33.149002479303498</v>
      </c>
      <c r="CH123" s="54">
        <v>12.476262964377673</v>
      </c>
      <c r="CI123" s="53">
        <v>109.29195909883137</v>
      </c>
      <c r="CJ123" s="450">
        <v>24019.787810500326</v>
      </c>
      <c r="CK123" s="347">
        <f t="shared" si="157"/>
        <v>0</v>
      </c>
      <c r="CL123" s="347">
        <f t="shared" si="137"/>
        <v>24019.787810500326</v>
      </c>
      <c r="CM123" s="45">
        <v>3143.5501198682177</v>
      </c>
      <c r="CN123" s="47">
        <v>11.280064090974321</v>
      </c>
      <c r="CO123" s="45">
        <v>20876.237690632108</v>
      </c>
      <c r="CP123" s="55">
        <v>7.6409749787947616</v>
      </c>
      <c r="CQ123" s="47">
        <f t="shared" si="138"/>
        <v>7.6409749787947616</v>
      </c>
      <c r="CR123" s="45">
        <v>2233.6249498629559</v>
      </c>
      <c r="CS123" s="55">
        <v>10.753724707442071</v>
      </c>
    </row>
    <row r="124" spans="1:97" s="23" customFormat="1" ht="15" customHeight="1">
      <c r="A124" s="377" t="str">
        <f t="shared" si="150"/>
        <v>BNI - Efficient Product Rebates; Cycling Refrigerated Air Dryers (≤ 300 CFM capacity); COM-Process; School</v>
      </c>
      <c r="B124" s="42" t="s">
        <v>88</v>
      </c>
      <c r="C124" s="15" t="s">
        <v>89</v>
      </c>
      <c r="D124" s="15" t="s">
        <v>59</v>
      </c>
      <c r="E124" s="43">
        <v>10</v>
      </c>
      <c r="F124" s="44">
        <v>851.15500742999996</v>
      </c>
      <c r="G124" s="44">
        <v>97.163813633562086</v>
      </c>
      <c r="H124" s="45">
        <v>200</v>
      </c>
      <c r="I124" s="46">
        <v>0.41666666666666663</v>
      </c>
      <c r="J124" s="45">
        <v>27.236960237759998</v>
      </c>
      <c r="K124" s="45">
        <v>110.57029357109333</v>
      </c>
      <c r="L124" s="45">
        <v>116.66666666666667</v>
      </c>
      <c r="M124" s="45">
        <v>227.23696023776</v>
      </c>
      <c r="N124" s="45">
        <v>541.10785377969398</v>
      </c>
      <c r="O124" s="47">
        <v>0.82</v>
      </c>
      <c r="P124" s="47">
        <v>2.3202023267243828</v>
      </c>
      <c r="Q124" s="310">
        <f t="shared" si="151"/>
        <v>2.3202023267243828</v>
      </c>
      <c r="R124" s="311">
        <f t="shared" si="132"/>
        <v>0</v>
      </c>
      <c r="S124" s="311">
        <f t="shared" si="152"/>
        <v>0</v>
      </c>
      <c r="T124" s="310">
        <f t="shared" si="153"/>
        <v>2.3202023267243828</v>
      </c>
      <c r="U124" s="316">
        <f t="shared" si="140"/>
        <v>0</v>
      </c>
      <c r="V124" s="48">
        <v>0.1299061776126445</v>
      </c>
      <c r="W124" s="49">
        <v>1.1379781158867606</v>
      </c>
      <c r="X124" s="48" t="s">
        <v>40</v>
      </c>
      <c r="Y124" s="48" t="s">
        <v>528</v>
      </c>
      <c r="Z124" s="246" t="s">
        <v>40</v>
      </c>
      <c r="AA124" s="246"/>
      <c r="AB124" s="386">
        <v>0</v>
      </c>
      <c r="AC124" s="388">
        <v>0</v>
      </c>
      <c r="AD124" s="337">
        <v>0</v>
      </c>
      <c r="AE124" s="337">
        <v>0</v>
      </c>
      <c r="AF124" s="337">
        <v>0</v>
      </c>
      <c r="AG124" s="337">
        <v>0</v>
      </c>
      <c r="AH124" s="337">
        <v>0</v>
      </c>
      <c r="AI124" s="337">
        <v>0</v>
      </c>
      <c r="AJ124" s="337" t="s">
        <v>40</v>
      </c>
      <c r="AK124" s="337">
        <v>0</v>
      </c>
      <c r="AL124" s="337">
        <v>0</v>
      </c>
      <c r="AM124" s="337">
        <v>0</v>
      </c>
      <c r="AN124" s="337">
        <f t="shared" si="154"/>
        <v>0</v>
      </c>
      <c r="AO124" s="294" t="s">
        <v>618</v>
      </c>
      <c r="AP124" s="282" t="s">
        <v>419</v>
      </c>
      <c r="AQ124" s="136" t="s">
        <v>40</v>
      </c>
      <c r="AR124" s="289"/>
      <c r="AS124" s="142"/>
      <c r="AT124" s="142"/>
      <c r="AU124" s="146"/>
      <c r="AV124" s="48"/>
      <c r="AW124" s="131" t="s">
        <v>284</v>
      </c>
      <c r="AX124" s="131"/>
      <c r="AY124" s="131"/>
      <c r="AZ124" s="48"/>
      <c r="BA124" s="48"/>
      <c r="BB124" s="50"/>
      <c r="BC124" s="51" t="s">
        <v>88</v>
      </c>
      <c r="BD124" s="52">
        <v>1.7624677826069644</v>
      </c>
      <c r="BE124" s="53">
        <v>15.439217775636937</v>
      </c>
      <c r="BF124" s="54">
        <v>1.7624677826069644</v>
      </c>
      <c r="BG124" s="53">
        <v>15.439217775636937</v>
      </c>
      <c r="BH124" s="450">
        <v>9815.2298014874468</v>
      </c>
      <c r="BI124" s="347">
        <f t="shared" si="155"/>
        <v>0</v>
      </c>
      <c r="BJ124" s="347">
        <f t="shared" si="133"/>
        <v>9815.2298014874468</v>
      </c>
      <c r="BK124" s="45">
        <v>4230.3335741173914</v>
      </c>
      <c r="BL124" s="47">
        <v>22.120899479148417</v>
      </c>
      <c r="BM124" s="45">
        <v>5584.8962273700554</v>
      </c>
      <c r="BN124" s="55">
        <v>2.3202023267243832</v>
      </c>
      <c r="BO124" s="47">
        <f t="shared" si="134"/>
        <v>2.3202023267243832</v>
      </c>
      <c r="BP124" s="45">
        <v>2445.9143494660862</v>
      </c>
      <c r="BQ124" s="55">
        <v>4.0129082212670264</v>
      </c>
      <c r="BR124" s="54">
        <v>1.359103490164252</v>
      </c>
      <c r="BS124" s="53">
        <v>11.905746573838794</v>
      </c>
      <c r="BT124" s="54">
        <v>3.1215712727712166</v>
      </c>
      <c r="BU124" s="53">
        <v>27.344964349475731</v>
      </c>
      <c r="BV124" s="450">
        <v>8061.4947367479026</v>
      </c>
      <c r="BW124" s="347">
        <f t="shared" si="156"/>
        <v>0</v>
      </c>
      <c r="BX124" s="347">
        <f t="shared" si="135"/>
        <v>8061.4947367479026</v>
      </c>
      <c r="BY124" s="45">
        <v>3262.1652332490376</v>
      </c>
      <c r="BZ124" s="47">
        <v>17.058236175649682</v>
      </c>
      <c r="CA124" s="45">
        <v>4799.3295034988651</v>
      </c>
      <c r="CB124" s="55">
        <v>2.4712098132193168</v>
      </c>
      <c r="CC124" s="47">
        <f t="shared" si="136"/>
        <v>2.4712098132193168</v>
      </c>
      <c r="CD124" s="45">
        <v>1886.1341817466296</v>
      </c>
      <c r="CE124" s="55">
        <v>4.2740833683861572</v>
      </c>
      <c r="CF124" s="52">
        <v>1.4280601986998289</v>
      </c>
      <c r="CG124" s="53">
        <v>12.509807340610445</v>
      </c>
      <c r="CH124" s="54">
        <v>4.5496314714710451</v>
      </c>
      <c r="CI124" s="53">
        <v>39.854771690086174</v>
      </c>
      <c r="CJ124" s="450">
        <v>9064.6121252113026</v>
      </c>
      <c r="CK124" s="347">
        <f t="shared" si="157"/>
        <v>0</v>
      </c>
      <c r="CL124" s="347">
        <f t="shared" si="137"/>
        <v>9064.6121252113026</v>
      </c>
      <c r="CM124" s="45">
        <v>3427.6774100714665</v>
      </c>
      <c r="CN124" s="47">
        <v>17.923718332533227</v>
      </c>
      <c r="CO124" s="45">
        <v>5636.934715139836</v>
      </c>
      <c r="CP124" s="55">
        <v>2.6445347798999284</v>
      </c>
      <c r="CQ124" s="47">
        <f t="shared" si="138"/>
        <v>2.6445347798999284</v>
      </c>
      <c r="CR124" s="45">
        <v>1981.8307979137862</v>
      </c>
      <c r="CS124" s="55">
        <v>4.5738577353593186</v>
      </c>
    </row>
    <row r="125" spans="1:97" s="23" customFormat="1" ht="15" customHeight="1">
      <c r="A125" s="377" t="str">
        <f t="shared" si="150"/>
        <v xml:space="preserve">BNI - Efficient Product Rebates; Variable Speed Drive Screw Compressors (10 - 40 hp); IND; Industrial </v>
      </c>
      <c r="B125" s="42" t="s">
        <v>90</v>
      </c>
      <c r="C125" s="15" t="s">
        <v>69</v>
      </c>
      <c r="D125" s="15" t="s">
        <v>70</v>
      </c>
      <c r="E125" s="43">
        <v>10</v>
      </c>
      <c r="F125" s="44">
        <v>21475.736099999995</v>
      </c>
      <c r="G125" s="44">
        <v>2451.5680479452162</v>
      </c>
      <c r="H125" s="45">
        <v>4409.3333333333339</v>
      </c>
      <c r="I125" s="46">
        <v>0.36286664650740846</v>
      </c>
      <c r="J125" s="45">
        <v>687.22355519999985</v>
      </c>
      <c r="K125" s="45">
        <v>2287.2235551999997</v>
      </c>
      <c r="L125" s="45">
        <v>2809.3333333333339</v>
      </c>
      <c r="M125" s="45">
        <v>5096.5568885333341</v>
      </c>
      <c r="N125" s="45">
        <v>13652.847446081427</v>
      </c>
      <c r="O125" s="47">
        <v>0.82</v>
      </c>
      <c r="P125" s="47">
        <v>2.6018255218086841</v>
      </c>
      <c r="Q125" s="310">
        <f t="shared" si="151"/>
        <v>2.6018255218086841</v>
      </c>
      <c r="R125" s="311">
        <f t="shared" si="132"/>
        <v>0</v>
      </c>
      <c r="S125" s="311">
        <f t="shared" si="152"/>
        <v>0</v>
      </c>
      <c r="T125" s="310">
        <f t="shared" si="153"/>
        <v>2.6018255218086841</v>
      </c>
      <c r="U125" s="316">
        <f t="shared" si="140"/>
        <v>0</v>
      </c>
      <c r="V125" s="48">
        <v>0.10650268491611797</v>
      </c>
      <c r="W125" s="49">
        <v>0.93296351986518911</v>
      </c>
      <c r="X125" s="48" t="s">
        <v>40</v>
      </c>
      <c r="Y125" s="48" t="s">
        <v>529</v>
      </c>
      <c r="Z125" s="246" t="s">
        <v>40</v>
      </c>
      <c r="AA125" s="246"/>
      <c r="AB125" s="386">
        <v>0</v>
      </c>
      <c r="AC125" s="388">
        <v>0</v>
      </c>
      <c r="AD125" s="337">
        <v>0</v>
      </c>
      <c r="AE125" s="337">
        <v>0</v>
      </c>
      <c r="AF125" s="337">
        <v>0</v>
      </c>
      <c r="AG125" s="337">
        <v>0</v>
      </c>
      <c r="AH125" s="337">
        <v>0</v>
      </c>
      <c r="AI125" s="337">
        <v>0</v>
      </c>
      <c r="AJ125" s="337" t="s">
        <v>40</v>
      </c>
      <c r="AK125" s="337">
        <v>0</v>
      </c>
      <c r="AL125" s="337">
        <v>0</v>
      </c>
      <c r="AM125" s="337">
        <v>0</v>
      </c>
      <c r="AN125" s="337">
        <f t="shared" si="154"/>
        <v>0</v>
      </c>
      <c r="AO125" s="294" t="s">
        <v>619</v>
      </c>
      <c r="AP125" s="282" t="s">
        <v>419</v>
      </c>
      <c r="AQ125" s="136" t="s">
        <v>40</v>
      </c>
      <c r="AR125" s="289"/>
      <c r="AS125" s="142"/>
      <c r="AT125" s="142"/>
      <c r="AU125" s="146"/>
      <c r="AV125" s="48"/>
      <c r="AW125" s="131" t="s">
        <v>284</v>
      </c>
      <c r="AX125" s="131"/>
      <c r="AY125" s="131"/>
      <c r="AZ125" s="48"/>
      <c r="BA125" s="48"/>
      <c r="BB125" s="50"/>
      <c r="BC125" s="51" t="s">
        <v>90</v>
      </c>
      <c r="BD125" s="52">
        <v>8.3474913613426462</v>
      </c>
      <c r="BE125" s="53">
        <v>73.124024325361248</v>
      </c>
      <c r="BF125" s="54">
        <v>8.3474913613426462</v>
      </c>
      <c r="BG125" s="53">
        <v>73.124024325361248</v>
      </c>
      <c r="BH125" s="450">
        <v>46487.400669712297</v>
      </c>
      <c r="BI125" s="347">
        <f t="shared" si="155"/>
        <v>0</v>
      </c>
      <c r="BJ125" s="347">
        <f t="shared" si="133"/>
        <v>46487.400669712297</v>
      </c>
      <c r="BK125" s="45">
        <v>17867.224485289902</v>
      </c>
      <c r="BL125" s="47">
        <v>4.1523903537430913</v>
      </c>
      <c r="BM125" s="45">
        <v>28620.176184422395</v>
      </c>
      <c r="BN125" s="55">
        <v>2.6018255218086841</v>
      </c>
      <c r="BO125" s="47">
        <f t="shared" si="134"/>
        <v>2.6018255218086841</v>
      </c>
      <c r="BP125" s="45">
        <v>9497.4450274664596</v>
      </c>
      <c r="BQ125" s="55">
        <v>4.894727006607722</v>
      </c>
      <c r="BR125" s="54">
        <v>6.8816890816375409</v>
      </c>
      <c r="BS125" s="53">
        <v>60.283596355144581</v>
      </c>
      <c r="BT125" s="54">
        <v>15.229180442980187</v>
      </c>
      <c r="BU125" s="53">
        <v>133.40762068050583</v>
      </c>
      <c r="BV125" s="450">
        <v>40818.598961034244</v>
      </c>
      <c r="BW125" s="347">
        <f t="shared" si="156"/>
        <v>0</v>
      </c>
      <c r="BX125" s="347">
        <f t="shared" si="135"/>
        <v>40818.598961034244</v>
      </c>
      <c r="BY125" s="45">
        <v>14729.776688239612</v>
      </c>
      <c r="BZ125" s="47">
        <v>3.4232391652879386</v>
      </c>
      <c r="CA125" s="45">
        <v>26088.822272794634</v>
      </c>
      <c r="CB125" s="55">
        <v>2.7711621041494938</v>
      </c>
      <c r="CC125" s="47">
        <f t="shared" si="136"/>
        <v>2.7711621041494938</v>
      </c>
      <c r="CD125" s="45">
        <v>7829.7132539297581</v>
      </c>
      <c r="CE125" s="55">
        <v>5.2132942340573276</v>
      </c>
      <c r="CF125" s="52">
        <v>7.2105492228486954</v>
      </c>
      <c r="CG125" s="53">
        <v>63.164411192154283</v>
      </c>
      <c r="CH125" s="54">
        <v>22.439729665828882</v>
      </c>
      <c r="CI125" s="53">
        <v>196.57203187266012</v>
      </c>
      <c r="CJ125" s="450">
        <v>45768.961262539691</v>
      </c>
      <c r="CK125" s="347">
        <f t="shared" si="157"/>
        <v>0</v>
      </c>
      <c r="CL125" s="347">
        <f t="shared" si="137"/>
        <v>45768.961262539691</v>
      </c>
      <c r="CM125" s="45">
        <v>15433.678940177821</v>
      </c>
      <c r="CN125" s="47">
        <v>3.5868279153667588</v>
      </c>
      <c r="CO125" s="45">
        <v>30335.282322361869</v>
      </c>
      <c r="CP125" s="55">
        <v>2.9655250339173094</v>
      </c>
      <c r="CQ125" s="47">
        <f t="shared" si="138"/>
        <v>2.9655250339173094</v>
      </c>
      <c r="CR125" s="45">
        <v>8203.8772964757627</v>
      </c>
      <c r="CS125" s="55">
        <v>5.5789426887456264</v>
      </c>
    </row>
    <row r="126" spans="1:97" s="23" customFormat="1" ht="15" customHeight="1">
      <c r="A126" s="377" t="str">
        <f t="shared" si="150"/>
        <v>BNI - Efficient Product Rebates; Variable Speed Drive Screw Compressors (10 - 40 hp); COM-Process; Other Commercial</v>
      </c>
      <c r="B126" s="42" t="s">
        <v>90</v>
      </c>
      <c r="C126" s="15" t="s">
        <v>89</v>
      </c>
      <c r="D126" s="15" t="s">
        <v>56</v>
      </c>
      <c r="E126" s="43">
        <v>10</v>
      </c>
      <c r="F126" s="44">
        <v>36169.660800000049</v>
      </c>
      <c r="G126" s="44">
        <v>4128.9606590826388</v>
      </c>
      <c r="H126" s="45">
        <v>4409.3333333333339</v>
      </c>
      <c r="I126" s="46">
        <v>0.36286664650740846</v>
      </c>
      <c r="J126" s="45">
        <v>1157.4291456000017</v>
      </c>
      <c r="K126" s="45">
        <v>2757.4291456000019</v>
      </c>
      <c r="L126" s="45">
        <v>2809.3333333333339</v>
      </c>
      <c r="M126" s="45">
        <v>5566.7624789333358</v>
      </c>
      <c r="N126" s="45">
        <v>22994.273794097884</v>
      </c>
      <c r="O126" s="47">
        <v>0.82</v>
      </c>
      <c r="P126" s="47">
        <v>3.9503412300920369</v>
      </c>
      <c r="Q126" s="310">
        <f t="shared" si="151"/>
        <v>3.9503412300920369</v>
      </c>
      <c r="R126" s="311">
        <f t="shared" si="132"/>
        <v>0</v>
      </c>
      <c r="S126" s="311">
        <f t="shared" si="152"/>
        <v>0</v>
      </c>
      <c r="T126" s="310">
        <f t="shared" si="153"/>
        <v>3.9503412300920369</v>
      </c>
      <c r="U126" s="316">
        <f t="shared" si="140"/>
        <v>0</v>
      </c>
      <c r="V126" s="48">
        <v>7.6235969168944984E-2</v>
      </c>
      <c r="W126" s="49">
        <v>0.66782645156339171</v>
      </c>
      <c r="X126" s="48" t="s">
        <v>40</v>
      </c>
      <c r="Y126" s="48" t="s">
        <v>529</v>
      </c>
      <c r="Z126" s="246" t="s">
        <v>40</v>
      </c>
      <c r="AA126" s="246"/>
      <c r="AB126" s="386">
        <v>0</v>
      </c>
      <c r="AC126" s="388">
        <v>0</v>
      </c>
      <c r="AD126" s="337">
        <v>0</v>
      </c>
      <c r="AE126" s="337">
        <v>0</v>
      </c>
      <c r="AF126" s="337">
        <v>0</v>
      </c>
      <c r="AG126" s="337">
        <v>0</v>
      </c>
      <c r="AH126" s="337">
        <v>0</v>
      </c>
      <c r="AI126" s="337">
        <v>0</v>
      </c>
      <c r="AJ126" s="337" t="s">
        <v>40</v>
      </c>
      <c r="AK126" s="337">
        <v>0</v>
      </c>
      <c r="AL126" s="337">
        <v>0</v>
      </c>
      <c r="AM126" s="337">
        <v>0</v>
      </c>
      <c r="AN126" s="337">
        <f t="shared" si="154"/>
        <v>0</v>
      </c>
      <c r="AO126" s="294" t="s">
        <v>619</v>
      </c>
      <c r="AP126" s="282" t="s">
        <v>419</v>
      </c>
      <c r="AQ126" s="136" t="s">
        <v>40</v>
      </c>
      <c r="AR126" s="289"/>
      <c r="AS126" s="142"/>
      <c r="AT126" s="142"/>
      <c r="AU126" s="146"/>
      <c r="AV126" s="48"/>
      <c r="AW126" s="131" t="s">
        <v>284</v>
      </c>
      <c r="AX126" s="131"/>
      <c r="AY126" s="131"/>
      <c r="AZ126" s="48"/>
      <c r="BA126" s="48"/>
      <c r="BB126" s="50"/>
      <c r="BC126" s="51" t="s">
        <v>90</v>
      </c>
      <c r="BD126" s="52">
        <v>15.151145554545224</v>
      </c>
      <c r="BE126" s="53">
        <v>132.72390819075645</v>
      </c>
      <c r="BF126" s="54">
        <v>15.151145554545224</v>
      </c>
      <c r="BG126" s="53">
        <v>132.72390819075645</v>
      </c>
      <c r="BH126" s="450">
        <v>84377.066758695189</v>
      </c>
      <c r="BI126" s="347">
        <f t="shared" si="155"/>
        <v>0</v>
      </c>
      <c r="BJ126" s="347">
        <f t="shared" si="133"/>
        <v>84377.066758695189</v>
      </c>
      <c r="BK126" s="45">
        <v>21359.437538191938</v>
      </c>
      <c r="BL126" s="47">
        <v>4.4749776758446549</v>
      </c>
      <c r="BM126" s="45">
        <v>63017.629220503251</v>
      </c>
      <c r="BN126" s="55">
        <v>3.9503412300920377</v>
      </c>
      <c r="BO126" s="47">
        <f t="shared" si="134"/>
        <v>3.9503412300920377</v>
      </c>
      <c r="BP126" s="45">
        <v>12339.433869283406</v>
      </c>
      <c r="BQ126" s="55">
        <v>6.8380014555396498</v>
      </c>
      <c r="BR126" s="54">
        <v>12.635166827048515</v>
      </c>
      <c r="BS126" s="53">
        <v>110.68395560525754</v>
      </c>
      <c r="BT126" s="54">
        <v>27.786312381593739</v>
      </c>
      <c r="BU126" s="53">
        <v>243.407863796014</v>
      </c>
      <c r="BV126" s="450">
        <v>74945.179434637699</v>
      </c>
      <c r="BW126" s="347">
        <f t="shared" si="156"/>
        <v>0</v>
      </c>
      <c r="BX126" s="347">
        <f t="shared" si="135"/>
        <v>74945.179434637699</v>
      </c>
      <c r="BY126" s="45">
        <v>17812.518245263353</v>
      </c>
      <c r="BZ126" s="47">
        <v>3.7318689387584199</v>
      </c>
      <c r="CA126" s="45">
        <v>57132.661189374347</v>
      </c>
      <c r="CB126" s="55">
        <v>4.2074443603484806</v>
      </c>
      <c r="CC126" s="47">
        <f t="shared" si="136"/>
        <v>4.2074443603484806</v>
      </c>
      <c r="CD126" s="45">
        <v>10290.364179291813</v>
      </c>
      <c r="CE126" s="55">
        <v>7.283044421834588</v>
      </c>
      <c r="CF126" s="52">
        <v>13.486650101586603</v>
      </c>
      <c r="CG126" s="53">
        <v>118.14294196037542</v>
      </c>
      <c r="CH126" s="54">
        <v>41.272962483180343</v>
      </c>
      <c r="CI126" s="53">
        <v>361.55080575638942</v>
      </c>
      <c r="CJ126" s="450">
        <v>85606.449212709413</v>
      </c>
      <c r="CK126" s="347">
        <f t="shared" si="157"/>
        <v>0</v>
      </c>
      <c r="CL126" s="347">
        <f t="shared" si="137"/>
        <v>85606.449212709413</v>
      </c>
      <c r="CM126" s="45">
        <v>19012.902978670885</v>
      </c>
      <c r="CN126" s="47">
        <v>3.9833594040302009</v>
      </c>
      <c r="CO126" s="45">
        <v>66593.546234038527</v>
      </c>
      <c r="CP126" s="55">
        <v>4.5025448932624705</v>
      </c>
      <c r="CQ126" s="47">
        <f t="shared" si="138"/>
        <v>4.5025448932624705</v>
      </c>
      <c r="CR126" s="45">
        <v>10983.831318072729</v>
      </c>
      <c r="CS126" s="55">
        <v>7.7938605149419109</v>
      </c>
    </row>
    <row r="127" spans="1:97" s="23" customFormat="1" ht="15" customHeight="1">
      <c r="A127" s="377" t="str">
        <f t="shared" si="150"/>
        <v>BNI - Efficient Product Rebates; Variable Speed Drive Screw Compressors (10 - 40 hp); COM-Process; School</v>
      </c>
      <c r="B127" s="42" t="s">
        <v>90</v>
      </c>
      <c r="C127" s="15" t="s">
        <v>89</v>
      </c>
      <c r="D127" s="15" t="s">
        <v>59</v>
      </c>
      <c r="E127" s="43">
        <v>10</v>
      </c>
      <c r="F127" s="44">
        <v>8590.2944400000015</v>
      </c>
      <c r="G127" s="44">
        <v>980.62721917808688</v>
      </c>
      <c r="H127" s="45">
        <v>4409.3333333333339</v>
      </c>
      <c r="I127" s="46">
        <v>0.36286664650740846</v>
      </c>
      <c r="J127" s="45">
        <v>274.88942208000003</v>
      </c>
      <c r="K127" s="45">
        <v>1874.88942208</v>
      </c>
      <c r="L127" s="45">
        <v>2809.3333333333339</v>
      </c>
      <c r="M127" s="45">
        <v>4684.2227554133342</v>
      </c>
      <c r="N127" s="45">
        <v>5461.1389784325729</v>
      </c>
      <c r="O127" s="47">
        <v>0.82</v>
      </c>
      <c r="P127" s="47">
        <v>1.151030651464708</v>
      </c>
      <c r="Q127" s="310">
        <f t="shared" si="151"/>
        <v>1.151030651464708</v>
      </c>
      <c r="R127" s="311">
        <f t="shared" si="132"/>
        <v>0</v>
      </c>
      <c r="S127" s="311">
        <f t="shared" si="152"/>
        <v>0</v>
      </c>
      <c r="T127" s="310">
        <f t="shared" si="153"/>
        <v>1.151030651464708</v>
      </c>
      <c r="U127" s="316">
        <f t="shared" si="140"/>
        <v>0</v>
      </c>
      <c r="V127" s="48">
        <v>0.21825671229029486</v>
      </c>
      <c r="W127" s="49">
        <v>1.9119287996629744</v>
      </c>
      <c r="X127" s="48" t="s">
        <v>40</v>
      </c>
      <c r="Y127" s="48" t="s">
        <v>529</v>
      </c>
      <c r="Z127" s="246" t="s">
        <v>40</v>
      </c>
      <c r="AA127" s="246"/>
      <c r="AB127" s="386">
        <v>0</v>
      </c>
      <c r="AC127" s="388">
        <v>0</v>
      </c>
      <c r="AD127" s="337">
        <v>0</v>
      </c>
      <c r="AE127" s="337">
        <v>0</v>
      </c>
      <c r="AF127" s="337">
        <v>0</v>
      </c>
      <c r="AG127" s="337">
        <v>0</v>
      </c>
      <c r="AH127" s="337">
        <v>0</v>
      </c>
      <c r="AI127" s="337">
        <v>0</v>
      </c>
      <c r="AJ127" s="337" t="s">
        <v>40</v>
      </c>
      <c r="AK127" s="337">
        <v>0</v>
      </c>
      <c r="AL127" s="337">
        <v>0</v>
      </c>
      <c r="AM127" s="337">
        <v>0</v>
      </c>
      <c r="AN127" s="337">
        <f t="shared" si="154"/>
        <v>0</v>
      </c>
      <c r="AO127" s="294" t="s">
        <v>619</v>
      </c>
      <c r="AP127" s="282" t="s">
        <v>419</v>
      </c>
      <c r="AQ127" s="136" t="s">
        <v>40</v>
      </c>
      <c r="AR127" s="289"/>
      <c r="AS127" s="142"/>
      <c r="AT127" s="142"/>
      <c r="AU127" s="146"/>
      <c r="AV127" s="48"/>
      <c r="AW127" s="131" t="s">
        <v>284</v>
      </c>
      <c r="AX127" s="131"/>
      <c r="AY127" s="131"/>
      <c r="AZ127" s="48"/>
      <c r="BA127" s="48"/>
      <c r="BB127" s="50"/>
      <c r="BC127" s="51" t="s">
        <v>90</v>
      </c>
      <c r="BD127" s="52">
        <v>5.3362709913586404</v>
      </c>
      <c r="BE127" s="53">
        <v>46.745733884301472</v>
      </c>
      <c r="BF127" s="54">
        <v>5.3362709913586404</v>
      </c>
      <c r="BG127" s="53">
        <v>46.745733884301472</v>
      </c>
      <c r="BH127" s="450">
        <v>29717.83460672565</v>
      </c>
      <c r="BI127" s="347">
        <f t="shared" si="155"/>
        <v>0</v>
      </c>
      <c r="BJ127" s="347">
        <f t="shared" si="133"/>
        <v>29717.83460672565</v>
      </c>
      <c r="BK127" s="45">
        <v>25818.456327734762</v>
      </c>
      <c r="BL127" s="47">
        <v>6.6362093802492588</v>
      </c>
      <c r="BM127" s="45">
        <v>3899.3782789908873</v>
      </c>
      <c r="BN127" s="55">
        <v>1.1510306514647077</v>
      </c>
      <c r="BO127" s="47">
        <f t="shared" si="134"/>
        <v>1.1510306514647077</v>
      </c>
      <c r="BP127" s="45">
        <v>12442.158769737409</v>
      </c>
      <c r="BQ127" s="55">
        <v>2.3884789735208343</v>
      </c>
      <c r="BR127" s="54">
        <v>4.5570570731620688</v>
      </c>
      <c r="BS127" s="53">
        <v>39.919819960899538</v>
      </c>
      <c r="BT127" s="54">
        <v>9.8933280645207073</v>
      </c>
      <c r="BU127" s="53">
        <v>86.665553845201003</v>
      </c>
      <c r="BV127" s="450">
        <v>27030.09143616875</v>
      </c>
      <c r="BW127" s="347">
        <f t="shared" si="156"/>
        <v>0</v>
      </c>
      <c r="BX127" s="347">
        <f t="shared" si="135"/>
        <v>27030.09143616875</v>
      </c>
      <c r="BY127" s="45">
        <v>22048.38907487227</v>
      </c>
      <c r="BZ127" s="47">
        <v>5.6671756258670998</v>
      </c>
      <c r="CA127" s="45">
        <v>4981.7023612964804</v>
      </c>
      <c r="CB127" s="55">
        <v>1.2259440517118749</v>
      </c>
      <c r="CC127" s="47">
        <f t="shared" si="136"/>
        <v>1.2259440517118749</v>
      </c>
      <c r="CD127" s="45">
        <v>10625.32763400783</v>
      </c>
      <c r="CE127" s="55">
        <v>2.5439301607656035</v>
      </c>
      <c r="CF127" s="52">
        <v>5.0199541594270336</v>
      </c>
      <c r="CG127" s="53">
        <v>43.974798436580613</v>
      </c>
      <c r="CH127" s="54">
        <v>14.913282223947741</v>
      </c>
      <c r="CI127" s="53">
        <v>130.64035228178162</v>
      </c>
      <c r="CJ127" s="450">
        <v>31864.159076050186</v>
      </c>
      <c r="CK127" s="347">
        <f t="shared" si="157"/>
        <v>0</v>
      </c>
      <c r="CL127" s="347">
        <f t="shared" si="137"/>
        <v>31864.159076050186</v>
      </c>
      <c r="CM127" s="45">
        <v>24288.021999309796</v>
      </c>
      <c r="CN127" s="47">
        <v>6.2428364180075491</v>
      </c>
      <c r="CO127" s="45">
        <v>7576.1370767403896</v>
      </c>
      <c r="CP127" s="55">
        <v>1.3119289449324314</v>
      </c>
      <c r="CQ127" s="47">
        <f t="shared" si="138"/>
        <v>1.3119289449324314</v>
      </c>
      <c r="CR127" s="45">
        <v>11704.627963898152</v>
      </c>
      <c r="CS127" s="55">
        <v>2.7223555651945754</v>
      </c>
    </row>
    <row r="128" spans="1:97" s="23" customFormat="1" ht="15" customHeight="1">
      <c r="A128" s="377" t="str">
        <f t="shared" si="150"/>
        <v>BNI - Efficient Product Rebates; Air-Entraining Air Nozzles (up to 14CFM at 100 psi); COM-Process; School</v>
      </c>
      <c r="B128" s="42" t="s">
        <v>91</v>
      </c>
      <c r="C128" s="15" t="s">
        <v>89</v>
      </c>
      <c r="D128" s="15" t="s">
        <v>59</v>
      </c>
      <c r="E128" s="43">
        <v>10</v>
      </c>
      <c r="F128" s="44">
        <v>982.09706399999993</v>
      </c>
      <c r="G128" s="44">
        <v>165.47872590534209</v>
      </c>
      <c r="H128" s="45">
        <v>125</v>
      </c>
      <c r="I128" s="46">
        <v>0.8</v>
      </c>
      <c r="J128" s="45">
        <v>31.427106047999999</v>
      </c>
      <c r="K128" s="45">
        <v>131.42710604799998</v>
      </c>
      <c r="L128" s="45">
        <v>25</v>
      </c>
      <c r="M128" s="45">
        <v>156.42710604799998</v>
      </c>
      <c r="N128" s="45">
        <v>683.99977778332425</v>
      </c>
      <c r="O128" s="47">
        <v>0.82</v>
      </c>
      <c r="P128" s="47">
        <v>4.1879484619140834</v>
      </c>
      <c r="Q128" s="310">
        <f t="shared" si="151"/>
        <v>4.1879484619140834</v>
      </c>
      <c r="R128" s="311">
        <f t="shared" si="132"/>
        <v>0</v>
      </c>
      <c r="S128" s="311">
        <f t="shared" si="152"/>
        <v>0</v>
      </c>
      <c r="T128" s="310">
        <f t="shared" si="153"/>
        <v>4.1879484619140834</v>
      </c>
      <c r="U128" s="316">
        <f t="shared" si="140"/>
        <v>0</v>
      </c>
      <c r="V128" s="48">
        <v>0.13382292938816889</v>
      </c>
      <c r="W128" s="49">
        <v>0.79422357967138046</v>
      </c>
      <c r="X128" s="48" t="s">
        <v>40</v>
      </c>
      <c r="Y128" s="48" t="s">
        <v>562</v>
      </c>
      <c r="Z128" s="246" t="s">
        <v>40</v>
      </c>
      <c r="AA128" s="246"/>
      <c r="AB128" s="386">
        <v>0</v>
      </c>
      <c r="AC128" s="388">
        <v>0</v>
      </c>
      <c r="AD128" s="337">
        <v>0</v>
      </c>
      <c r="AE128" s="337">
        <v>0</v>
      </c>
      <c r="AF128" s="337">
        <v>0</v>
      </c>
      <c r="AG128" s="337">
        <v>0</v>
      </c>
      <c r="AH128" s="337">
        <v>0</v>
      </c>
      <c r="AI128" s="337">
        <v>0</v>
      </c>
      <c r="AJ128" s="337" t="s">
        <v>40</v>
      </c>
      <c r="AK128" s="337">
        <v>0</v>
      </c>
      <c r="AL128" s="337">
        <v>0</v>
      </c>
      <c r="AM128" s="337">
        <v>0</v>
      </c>
      <c r="AN128" s="337">
        <f t="shared" si="154"/>
        <v>0</v>
      </c>
      <c r="AO128" s="294" t="s">
        <v>619</v>
      </c>
      <c r="AP128" s="282" t="s">
        <v>373</v>
      </c>
      <c r="AQ128" s="136"/>
      <c r="AR128" s="289" t="s">
        <v>589</v>
      </c>
      <c r="AS128" s="142"/>
      <c r="AT128" s="142"/>
      <c r="AU128" s="146"/>
      <c r="AV128" s="48"/>
      <c r="AW128" s="131" t="s">
        <v>284</v>
      </c>
      <c r="AX128" s="131"/>
      <c r="AY128" s="131"/>
      <c r="AZ128" s="48"/>
      <c r="BA128" s="48"/>
      <c r="BB128" s="50"/>
      <c r="BC128" s="51" t="s">
        <v>91</v>
      </c>
      <c r="BD128" s="52">
        <v>4.6154293388797942</v>
      </c>
      <c r="BE128" s="53">
        <v>27.392038330088305</v>
      </c>
      <c r="BF128" s="54">
        <v>4.6154293388797942</v>
      </c>
      <c r="BG128" s="53">
        <v>27.392038330088305</v>
      </c>
      <c r="BH128" s="450">
        <v>19077.694881300144</v>
      </c>
      <c r="BI128" s="347">
        <f t="shared" si="155"/>
        <v>0</v>
      </c>
      <c r="BJ128" s="347">
        <f t="shared" si="133"/>
        <v>19077.694881300144</v>
      </c>
      <c r="BK128" s="45">
        <v>4555.3795742225475</v>
      </c>
      <c r="BL128" s="47">
        <v>34.013872983934121</v>
      </c>
      <c r="BM128" s="45">
        <v>14522.315307077595</v>
      </c>
      <c r="BN128" s="55">
        <v>4.1879484619140817</v>
      </c>
      <c r="BO128" s="47">
        <f t="shared" si="134"/>
        <v>4.1879484619140817</v>
      </c>
      <c r="BP128" s="45">
        <v>4470.344891762712</v>
      </c>
      <c r="BQ128" s="55">
        <v>4.2676114132611307</v>
      </c>
      <c r="BR128" s="54">
        <v>4.3764517284060043</v>
      </c>
      <c r="BS128" s="53">
        <v>25.973733902591693</v>
      </c>
      <c r="BT128" s="54">
        <v>8.9918810672857994</v>
      </c>
      <c r="BU128" s="53">
        <v>53.365772232680001</v>
      </c>
      <c r="BV128" s="450">
        <v>19429.703552693329</v>
      </c>
      <c r="BW128" s="347">
        <f t="shared" si="156"/>
        <v>0</v>
      </c>
      <c r="BX128" s="347">
        <f t="shared" si="135"/>
        <v>19429.703552693329</v>
      </c>
      <c r="BY128" s="45">
        <v>4319.5112192943707</v>
      </c>
      <c r="BZ128" s="47">
        <v>32.252703330618083</v>
      </c>
      <c r="CA128" s="45">
        <v>15110.192333398958</v>
      </c>
      <c r="CB128" s="55">
        <v>4.4981254976037164</v>
      </c>
      <c r="CC128" s="47">
        <f t="shared" si="136"/>
        <v>4.4981254976037164</v>
      </c>
      <c r="CD128" s="45">
        <v>4238.8794609678253</v>
      </c>
      <c r="CE128" s="55">
        <v>4.5836886213926729</v>
      </c>
      <c r="CF128" s="52">
        <v>4.7369926041594148</v>
      </c>
      <c r="CG128" s="53">
        <v>28.113502223819641</v>
      </c>
      <c r="CH128" s="54">
        <v>13.728873671445212</v>
      </c>
      <c r="CI128" s="53">
        <v>81.479274456499638</v>
      </c>
      <c r="CJ128" s="450">
        <v>22668.816687803657</v>
      </c>
      <c r="CK128" s="347">
        <f t="shared" si="157"/>
        <v>0</v>
      </c>
      <c r="CL128" s="347">
        <f t="shared" si="137"/>
        <v>22668.816687803657</v>
      </c>
      <c r="CM128" s="45">
        <v>4675.3612216428028</v>
      </c>
      <c r="CN128" s="47">
        <v>34.909745753538012</v>
      </c>
      <c r="CO128" s="45">
        <v>17993.455466160856</v>
      </c>
      <c r="CP128" s="55">
        <v>4.8485701132282593</v>
      </c>
      <c r="CQ128" s="47">
        <f t="shared" si="138"/>
        <v>4.8485701132282593</v>
      </c>
      <c r="CR128" s="45">
        <v>4588.0868572589579</v>
      </c>
      <c r="CS128" s="55">
        <v>4.9407993774003218</v>
      </c>
    </row>
    <row r="129" spans="1:97" s="23" customFormat="1" ht="15" customHeight="1">
      <c r="A129" s="377" t="str">
        <f t="shared" si="150"/>
        <v>BNI - Efficient Product Rebates; No-Loss Drains (Timed drains are not eligible); COM-Process; School</v>
      </c>
      <c r="B129" s="42" t="s">
        <v>92</v>
      </c>
      <c r="C129" s="15" t="s">
        <v>89</v>
      </c>
      <c r="D129" s="15" t="s">
        <v>59</v>
      </c>
      <c r="E129" s="43">
        <v>10</v>
      </c>
      <c r="F129" s="44">
        <v>2868.2919684000003</v>
      </c>
      <c r="G129" s="44">
        <v>327.43059000000153</v>
      </c>
      <c r="H129" s="45">
        <v>270</v>
      </c>
      <c r="I129" s="46">
        <v>0.44444444444444442</v>
      </c>
      <c r="J129" s="45">
        <v>91.785342988800011</v>
      </c>
      <c r="K129" s="45">
        <v>211.78534298880001</v>
      </c>
      <c r="L129" s="45">
        <v>150</v>
      </c>
      <c r="M129" s="45">
        <v>361.78534298880004</v>
      </c>
      <c r="N129" s="45">
        <v>1823.4696353614545</v>
      </c>
      <c r="O129" s="47">
        <v>0.82</v>
      </c>
      <c r="P129" s="47">
        <v>4.7743137872511001</v>
      </c>
      <c r="Q129" s="310">
        <f t="shared" si="151"/>
        <v>4.7743137872511001</v>
      </c>
      <c r="R129" s="311">
        <f t="shared" si="132"/>
        <v>0</v>
      </c>
      <c r="S129" s="311">
        <f t="shared" si="152"/>
        <v>0</v>
      </c>
      <c r="T129" s="310">
        <f t="shared" si="153"/>
        <v>4.7743137872511001</v>
      </c>
      <c r="U129" s="316">
        <f t="shared" si="140"/>
        <v>0</v>
      </c>
      <c r="V129" s="48">
        <v>7.3836745115923044E-2</v>
      </c>
      <c r="W129" s="49">
        <v>0.64680988721548294</v>
      </c>
      <c r="X129" s="48" t="s">
        <v>40</v>
      </c>
      <c r="Y129" s="48" t="s">
        <v>530</v>
      </c>
      <c r="Z129" s="246" t="s">
        <v>40</v>
      </c>
      <c r="AA129" s="246"/>
      <c r="AB129" s="386">
        <v>0</v>
      </c>
      <c r="AC129" s="388">
        <v>0</v>
      </c>
      <c r="AD129" s="337">
        <v>0</v>
      </c>
      <c r="AE129" s="337">
        <v>0</v>
      </c>
      <c r="AF129" s="337">
        <v>0</v>
      </c>
      <c r="AG129" s="337">
        <v>0</v>
      </c>
      <c r="AH129" s="337">
        <v>0</v>
      </c>
      <c r="AI129" s="337">
        <v>0</v>
      </c>
      <c r="AJ129" s="337" t="s">
        <v>40</v>
      </c>
      <c r="AK129" s="337">
        <v>0</v>
      </c>
      <c r="AL129" s="337">
        <v>0</v>
      </c>
      <c r="AM129" s="337">
        <v>0</v>
      </c>
      <c r="AN129" s="337">
        <f t="shared" si="154"/>
        <v>0</v>
      </c>
      <c r="AO129" s="294" t="s">
        <v>620</v>
      </c>
      <c r="AP129" s="282" t="s">
        <v>419</v>
      </c>
      <c r="AQ129" s="136" t="s">
        <v>40</v>
      </c>
      <c r="AR129" s="289"/>
      <c r="AS129" s="142"/>
      <c r="AT129" s="142"/>
      <c r="AU129" s="146"/>
      <c r="AV129" s="48"/>
      <c r="AW129" s="131" t="s">
        <v>284</v>
      </c>
      <c r="AX129" s="131"/>
      <c r="AY129" s="131"/>
      <c r="AZ129" s="48"/>
      <c r="BA129" s="48"/>
      <c r="BB129" s="50"/>
      <c r="BC129" s="51" t="s">
        <v>92</v>
      </c>
      <c r="BD129" s="52">
        <v>2.663669512384089</v>
      </c>
      <c r="BE129" s="53">
        <v>23.333744928484514</v>
      </c>
      <c r="BF129" s="54">
        <v>2.663669512384089</v>
      </c>
      <c r="BG129" s="53">
        <v>23.333744928484514</v>
      </c>
      <c r="BH129" s="450">
        <v>14834.046124005747</v>
      </c>
      <c r="BI129" s="347">
        <f t="shared" si="155"/>
        <v>0</v>
      </c>
      <c r="BJ129" s="347">
        <f t="shared" si="133"/>
        <v>14834.046124005747</v>
      </c>
      <c r="BK129" s="45">
        <v>3107.0530310800382</v>
      </c>
      <c r="BL129" s="47">
        <v>9.9208123899691927</v>
      </c>
      <c r="BM129" s="45">
        <v>11726.993092925708</v>
      </c>
      <c r="BN129" s="55">
        <v>4.7743137872511001</v>
      </c>
      <c r="BO129" s="47">
        <f t="shared" si="134"/>
        <v>4.7743137872511001</v>
      </c>
      <c r="BP129" s="45">
        <v>2101.0826547371621</v>
      </c>
      <c r="BQ129" s="55">
        <v>7.060191606722598</v>
      </c>
      <c r="BR129" s="54">
        <v>2.5485215508494896</v>
      </c>
      <c r="BS129" s="53">
        <v>22.325048785441428</v>
      </c>
      <c r="BT129" s="54">
        <v>5.2121910632335791</v>
      </c>
      <c r="BU129" s="53">
        <v>45.658793713925945</v>
      </c>
      <c r="BV129" s="450">
        <v>15116.503796321536</v>
      </c>
      <c r="BW129" s="347">
        <f t="shared" si="156"/>
        <v>0</v>
      </c>
      <c r="BX129" s="347">
        <f t="shared" si="135"/>
        <v>15116.503796321536</v>
      </c>
      <c r="BY129" s="45">
        <v>2972.7380114256121</v>
      </c>
      <c r="BZ129" s="47">
        <v>9.49194487537663</v>
      </c>
      <c r="CA129" s="45">
        <v>12143.765784895924</v>
      </c>
      <c r="CB129" s="55">
        <v>5.0850440698849999</v>
      </c>
      <c r="CC129" s="47">
        <f t="shared" si="136"/>
        <v>5.0850440698849999</v>
      </c>
      <c r="CD129" s="45">
        <v>2010.2548010624223</v>
      </c>
      <c r="CE129" s="55">
        <v>7.5196954079315939</v>
      </c>
      <c r="CF129" s="52">
        <v>2.7825015745523647</v>
      </c>
      <c r="CG129" s="53">
        <v>24.374713793078602</v>
      </c>
      <c r="CH129" s="54">
        <v>7.9946926377859429</v>
      </c>
      <c r="CI129" s="53">
        <v>70.033507507004543</v>
      </c>
      <c r="CJ129" s="450">
        <v>17661.92877167953</v>
      </c>
      <c r="CK129" s="347">
        <f t="shared" si="157"/>
        <v>0</v>
      </c>
      <c r="CL129" s="347">
        <f t="shared" si="137"/>
        <v>17661.92877167953</v>
      </c>
      <c r="CM129" s="45">
        <v>3245.6653916723881</v>
      </c>
      <c r="CN129" s="47">
        <v>10.363401303197188</v>
      </c>
      <c r="CO129" s="45">
        <v>14416.263380007142</v>
      </c>
      <c r="CP129" s="55">
        <v>5.4416973533365063</v>
      </c>
      <c r="CQ129" s="47">
        <f t="shared" si="138"/>
        <v>5.4416973533365063</v>
      </c>
      <c r="CR129" s="45">
        <v>2194.8164995281936</v>
      </c>
      <c r="CS129" s="55">
        <v>8.0471095307859262</v>
      </c>
    </row>
    <row r="130" spans="1:97" s="23" customFormat="1" ht="15" customHeight="1">
      <c r="A130" s="377" t="str">
        <f t="shared" si="150"/>
        <v xml:space="preserve">BNI - Efficient Product Rebates; Air Tanks for Load / No-Load Screw Compressors (10 – 40 hp); IND; Industrial </v>
      </c>
      <c r="B130" s="42" t="s">
        <v>93</v>
      </c>
      <c r="C130" s="15" t="s">
        <v>69</v>
      </c>
      <c r="D130" s="15" t="s">
        <v>70</v>
      </c>
      <c r="E130" s="43">
        <v>10</v>
      </c>
      <c r="F130" s="44">
        <v>9054.6346799999847</v>
      </c>
      <c r="G130" s="44">
        <v>1525.663262124081</v>
      </c>
      <c r="H130" s="45">
        <v>2000</v>
      </c>
      <c r="I130" s="46">
        <v>0.26666666666666666</v>
      </c>
      <c r="J130" s="45">
        <v>289.74830975999953</v>
      </c>
      <c r="K130" s="45">
        <v>823.0816430933329</v>
      </c>
      <c r="L130" s="45">
        <v>1466.6666666666665</v>
      </c>
      <c r="M130" s="45">
        <v>2289.7483097599993</v>
      </c>
      <c r="N130" s="45">
        <v>6306.2688364061451</v>
      </c>
      <c r="O130" s="47">
        <v>0.82</v>
      </c>
      <c r="P130" s="47">
        <v>2.6796968390640368</v>
      </c>
      <c r="Q130" s="310">
        <f t="shared" si="151"/>
        <v>2.6796968390640368</v>
      </c>
      <c r="R130" s="311">
        <f t="shared" si="132"/>
        <v>0</v>
      </c>
      <c r="S130" s="311">
        <f t="shared" si="152"/>
        <v>0</v>
      </c>
      <c r="T130" s="310">
        <f t="shared" si="153"/>
        <v>2.6796968390640368</v>
      </c>
      <c r="U130" s="316">
        <f t="shared" si="140"/>
        <v>0</v>
      </c>
      <c r="V130" s="48">
        <v>9.0901695339666022E-2</v>
      </c>
      <c r="W130" s="49">
        <v>0.53949102893610368</v>
      </c>
      <c r="X130" s="48" t="s">
        <v>40</v>
      </c>
      <c r="Y130" s="48" t="s">
        <v>563</v>
      </c>
      <c r="Z130" s="246" t="s">
        <v>40</v>
      </c>
      <c r="AA130" s="246"/>
      <c r="AB130" s="386">
        <v>0</v>
      </c>
      <c r="AC130" s="388">
        <v>0</v>
      </c>
      <c r="AD130" s="337">
        <v>0</v>
      </c>
      <c r="AE130" s="337">
        <v>0</v>
      </c>
      <c r="AF130" s="337">
        <v>0</v>
      </c>
      <c r="AG130" s="337">
        <v>0</v>
      </c>
      <c r="AH130" s="337">
        <v>0</v>
      </c>
      <c r="AI130" s="337">
        <v>0</v>
      </c>
      <c r="AJ130" s="337" t="s">
        <v>40</v>
      </c>
      <c r="AK130" s="337">
        <v>0</v>
      </c>
      <c r="AL130" s="337">
        <v>0</v>
      </c>
      <c r="AM130" s="337">
        <v>0</v>
      </c>
      <c r="AN130" s="337">
        <f t="shared" si="154"/>
        <v>0</v>
      </c>
      <c r="AO130" s="294" t="s">
        <v>619</v>
      </c>
      <c r="AP130" s="282" t="s">
        <v>373</v>
      </c>
      <c r="AQ130" s="136"/>
      <c r="AR130" s="289" t="s">
        <v>589</v>
      </c>
      <c r="AS130" s="142"/>
      <c r="AT130" s="142"/>
      <c r="AU130" s="146"/>
      <c r="AV130" s="48"/>
      <c r="AW130" s="131" t="s">
        <v>284</v>
      </c>
      <c r="AX130" s="131"/>
      <c r="AY130" s="131"/>
      <c r="AZ130" s="48"/>
      <c r="BA130" s="48"/>
      <c r="BB130" s="50"/>
      <c r="BC130" s="51" t="s">
        <v>93</v>
      </c>
      <c r="BD130" s="52">
        <v>41.073522216254268</v>
      </c>
      <c r="BE130" s="53">
        <v>243.7665951077997</v>
      </c>
      <c r="BF130" s="54">
        <v>41.073522216254268</v>
      </c>
      <c r="BG130" s="53">
        <v>243.7665951077997</v>
      </c>
      <c r="BH130" s="450">
        <v>169775.78184138896</v>
      </c>
      <c r="BI130" s="347">
        <f t="shared" si="155"/>
        <v>0</v>
      </c>
      <c r="BJ130" s="347">
        <f t="shared" si="133"/>
        <v>169775.78184138896</v>
      </c>
      <c r="BK130" s="45">
        <v>63356.339182266653</v>
      </c>
      <c r="BL130" s="47">
        <v>32.831400272166171</v>
      </c>
      <c r="BM130" s="45">
        <v>106419.44265912232</v>
      </c>
      <c r="BN130" s="55">
        <v>2.6796968390640372</v>
      </c>
      <c r="BO130" s="47">
        <f t="shared" si="134"/>
        <v>2.6796968390640372</v>
      </c>
      <c r="BP130" s="45">
        <v>27022.922881069426</v>
      </c>
      <c r="BQ130" s="55">
        <v>6.2826579711080512</v>
      </c>
      <c r="BR130" s="54">
        <v>39.970853025125756</v>
      </c>
      <c r="BS130" s="53">
        <v>237.222381226252</v>
      </c>
      <c r="BT130" s="54">
        <v>81.044375241380024</v>
      </c>
      <c r="BU130" s="53">
        <v>480.9889763340517</v>
      </c>
      <c r="BV130" s="450">
        <v>177454.67635017898</v>
      </c>
      <c r="BW130" s="347">
        <f t="shared" si="156"/>
        <v>0</v>
      </c>
      <c r="BX130" s="347">
        <f t="shared" si="135"/>
        <v>177454.67635017898</v>
      </c>
      <c r="BY130" s="45">
        <v>61655.460379831566</v>
      </c>
      <c r="BZ130" s="47">
        <v>31.950000975774699</v>
      </c>
      <c r="CA130" s="45">
        <v>115799.21597034742</v>
      </c>
      <c r="CB130" s="55">
        <v>2.8781664309529198</v>
      </c>
      <c r="CC130" s="47">
        <f t="shared" si="136"/>
        <v>2.8781664309529198</v>
      </c>
      <c r="CD130" s="45">
        <v>26297.459299974227</v>
      </c>
      <c r="CE130" s="55">
        <v>6.747977982433949</v>
      </c>
      <c r="CF130" s="52">
        <v>44.030130174932651</v>
      </c>
      <c r="CG130" s="53">
        <v>261.31372075631384</v>
      </c>
      <c r="CH130" s="54">
        <v>125.07450541631268</v>
      </c>
      <c r="CI130" s="53">
        <v>742.30269709036554</v>
      </c>
      <c r="CJ130" s="450">
        <v>210705.61706160751</v>
      </c>
      <c r="CK130" s="347">
        <f t="shared" si="157"/>
        <v>0</v>
      </c>
      <c r="CL130" s="347">
        <f t="shared" si="137"/>
        <v>210705.61706160751</v>
      </c>
      <c r="CM130" s="45">
        <v>67916.937995116619</v>
      </c>
      <c r="CN130" s="47">
        <v>35.194713036729318</v>
      </c>
      <c r="CO130" s="45">
        <v>142788.67906649091</v>
      </c>
      <c r="CP130" s="55">
        <v>3.1024015993883252</v>
      </c>
      <c r="CQ130" s="47">
        <f t="shared" si="138"/>
        <v>3.1024015993883252</v>
      </c>
      <c r="CR130" s="45">
        <v>28968.122234469512</v>
      </c>
      <c r="CS130" s="55">
        <v>7.2737064334424275</v>
      </c>
    </row>
    <row r="131" spans="1:97" s="23" customFormat="1" ht="15" customHeight="1">
      <c r="A131" s="377" t="str">
        <f t="shared" si="150"/>
        <v>BNI - Efficient Product Rebates; Air Tanks for Load / No-Load Screw Compressors (10 – 40 hp); COM-Process; Other Commercial</v>
      </c>
      <c r="B131" s="42" t="s">
        <v>93</v>
      </c>
      <c r="C131" s="15" t="s">
        <v>89</v>
      </c>
      <c r="D131" s="15" t="s">
        <v>56</v>
      </c>
      <c r="E131" s="43">
        <v>10</v>
      </c>
      <c r="F131" s="44">
        <v>15249.911040000005</v>
      </c>
      <c r="G131" s="44">
        <v>2569.5381256826677</v>
      </c>
      <c r="H131" s="45">
        <v>2000</v>
      </c>
      <c r="I131" s="46">
        <v>0.26666666666666666</v>
      </c>
      <c r="J131" s="45">
        <v>487.99715328000013</v>
      </c>
      <c r="K131" s="45">
        <v>1021.3304866133335</v>
      </c>
      <c r="L131" s="45">
        <v>1466.6666666666665</v>
      </c>
      <c r="M131" s="45">
        <v>2487.99715328</v>
      </c>
      <c r="N131" s="45">
        <v>10621.084356052475</v>
      </c>
      <c r="O131" s="47">
        <v>0.82</v>
      </c>
      <c r="P131" s="47">
        <v>4.0927165520587838</v>
      </c>
      <c r="Q131" s="310">
        <f t="shared" si="151"/>
        <v>4.0927165520587838</v>
      </c>
      <c r="R131" s="311">
        <f t="shared" si="132"/>
        <v>0</v>
      </c>
      <c r="S131" s="311">
        <f t="shared" si="152"/>
        <v>0</v>
      </c>
      <c r="T131" s="310">
        <f t="shared" si="153"/>
        <v>4.0927165520587838</v>
      </c>
      <c r="U131" s="316">
        <f t="shared" si="140"/>
        <v>0</v>
      </c>
      <c r="V131" s="48">
        <v>6.6972881607926624E-2</v>
      </c>
      <c r="W131" s="49">
        <v>0.39747629210288105</v>
      </c>
      <c r="X131" s="48" t="s">
        <v>40</v>
      </c>
      <c r="Y131" s="48" t="s">
        <v>563</v>
      </c>
      <c r="Z131" s="246" t="s">
        <v>40</v>
      </c>
      <c r="AA131" s="246"/>
      <c r="AB131" s="386">
        <v>0</v>
      </c>
      <c r="AC131" s="388">
        <v>0</v>
      </c>
      <c r="AD131" s="337">
        <v>0</v>
      </c>
      <c r="AE131" s="337">
        <v>0</v>
      </c>
      <c r="AF131" s="337">
        <v>0</v>
      </c>
      <c r="AG131" s="337">
        <v>0</v>
      </c>
      <c r="AH131" s="337">
        <v>0</v>
      </c>
      <c r="AI131" s="337">
        <v>0</v>
      </c>
      <c r="AJ131" s="337" t="s">
        <v>40</v>
      </c>
      <c r="AK131" s="337">
        <v>0</v>
      </c>
      <c r="AL131" s="337">
        <v>0</v>
      </c>
      <c r="AM131" s="337">
        <v>0</v>
      </c>
      <c r="AN131" s="337">
        <f t="shared" si="154"/>
        <v>0</v>
      </c>
      <c r="AO131" s="294" t="s">
        <v>619</v>
      </c>
      <c r="AP131" s="282" t="s">
        <v>373</v>
      </c>
      <c r="AQ131" s="136"/>
      <c r="AR131" s="289" t="s">
        <v>589</v>
      </c>
      <c r="AS131" s="142"/>
      <c r="AT131" s="142"/>
      <c r="AU131" s="146"/>
      <c r="AV131" s="48"/>
      <c r="AW131" s="131" t="s">
        <v>284</v>
      </c>
      <c r="AX131" s="131"/>
      <c r="AY131" s="131"/>
      <c r="AZ131" s="48"/>
      <c r="BA131" s="48"/>
      <c r="BB131" s="50"/>
      <c r="BC131" s="51" t="s">
        <v>93</v>
      </c>
      <c r="BD131" s="52">
        <v>74.024966691086178</v>
      </c>
      <c r="BE131" s="53">
        <v>439.32959993660785</v>
      </c>
      <c r="BF131" s="54">
        <v>74.024966691086178</v>
      </c>
      <c r="BG131" s="53">
        <v>439.32959993660785</v>
      </c>
      <c r="BH131" s="450">
        <v>305979.27612812474</v>
      </c>
      <c r="BI131" s="347">
        <f t="shared" si="155"/>
        <v>0</v>
      </c>
      <c r="BJ131" s="347">
        <f t="shared" si="133"/>
        <v>305979.27612812474</v>
      </c>
      <c r="BK131" s="45">
        <v>74761.902574026564</v>
      </c>
      <c r="BL131" s="47">
        <v>35.132520012440757</v>
      </c>
      <c r="BM131" s="45">
        <v>231217.37355409819</v>
      </c>
      <c r="BN131" s="55">
        <v>4.0927165520587838</v>
      </c>
      <c r="BO131" s="47">
        <f t="shared" si="134"/>
        <v>4.0927165520587838</v>
      </c>
      <c r="BP131" s="45">
        <v>35881.913760258794</v>
      </c>
      <c r="BQ131" s="55">
        <v>8.5273956727194893</v>
      </c>
      <c r="BR131" s="54">
        <v>72.725501103429949</v>
      </c>
      <c r="BS131" s="53">
        <v>431.61742224473807</v>
      </c>
      <c r="BT131" s="54">
        <v>146.75046779451611</v>
      </c>
      <c r="BU131" s="53">
        <v>870.94702218134591</v>
      </c>
      <c r="BV131" s="450">
        <v>322872.27527021588</v>
      </c>
      <c r="BW131" s="347">
        <f t="shared" si="156"/>
        <v>0</v>
      </c>
      <c r="BX131" s="347">
        <f t="shared" si="135"/>
        <v>322872.27527021588</v>
      </c>
      <c r="BY131" s="45">
        <v>73449.50050205976</v>
      </c>
      <c r="BZ131" s="47">
        <v>34.515788890435296</v>
      </c>
      <c r="CA131" s="45">
        <v>249422.77476815612</v>
      </c>
      <c r="CB131" s="55">
        <v>4.3958403129121555</v>
      </c>
      <c r="CC131" s="47">
        <f t="shared" si="136"/>
        <v>4.3958403129121555</v>
      </c>
      <c r="CD131" s="45">
        <v>35252.027463311373</v>
      </c>
      <c r="CE131" s="55">
        <v>9.1589703771292559</v>
      </c>
      <c r="CF131" s="52">
        <v>81.615991250362157</v>
      </c>
      <c r="CG131" s="53">
        <v>484.38145111342533</v>
      </c>
      <c r="CH131" s="54">
        <v>228.3664590448783</v>
      </c>
      <c r="CI131" s="53">
        <v>1355.3284732947714</v>
      </c>
      <c r="CJ131" s="450">
        <v>390572.26790333068</v>
      </c>
      <c r="CK131" s="347">
        <f t="shared" si="157"/>
        <v>0</v>
      </c>
      <c r="CL131" s="347">
        <f t="shared" si="137"/>
        <v>390572.26790333068</v>
      </c>
      <c r="CM131" s="45">
        <v>82428.497560903779</v>
      </c>
      <c r="CN131" s="47">
        <v>38.735248040088848</v>
      </c>
      <c r="CO131" s="45">
        <v>308143.7703424269</v>
      </c>
      <c r="CP131" s="55">
        <v>4.73831598852993</v>
      </c>
      <c r="CQ131" s="47">
        <f t="shared" si="138"/>
        <v>4.73831598852993</v>
      </c>
      <c r="CR131" s="45">
        <v>39561.489729872119</v>
      </c>
      <c r="CS131" s="55">
        <v>9.8725369183561629</v>
      </c>
    </row>
    <row r="132" spans="1:97" s="23" customFormat="1" ht="15" customHeight="1">
      <c r="A132" s="377" t="str">
        <f t="shared" si="150"/>
        <v>BNI - Efficient Product Rebates; Air Tanks for Load / No-Load Screw Compressors (10 – 40 hp); COM-Process; School</v>
      </c>
      <c r="B132" s="42" t="s">
        <v>93</v>
      </c>
      <c r="C132" s="15" t="s">
        <v>89</v>
      </c>
      <c r="D132" s="15" t="s">
        <v>59</v>
      </c>
      <c r="E132" s="43">
        <v>10</v>
      </c>
      <c r="F132" s="44">
        <v>3621.853872000002</v>
      </c>
      <c r="G132" s="44">
        <v>610.26530484963371</v>
      </c>
      <c r="H132" s="45">
        <v>2000</v>
      </c>
      <c r="I132" s="46">
        <v>0.26666666666666666</v>
      </c>
      <c r="J132" s="45">
        <v>115.89932390400007</v>
      </c>
      <c r="K132" s="45">
        <v>649.23265723733346</v>
      </c>
      <c r="L132" s="45">
        <v>1466.6666666666665</v>
      </c>
      <c r="M132" s="45">
        <v>2115.8993239040001</v>
      </c>
      <c r="N132" s="45">
        <v>2522.5075345624637</v>
      </c>
      <c r="O132" s="47">
        <v>0.82</v>
      </c>
      <c r="P132" s="47">
        <v>1.1780038582976915</v>
      </c>
      <c r="Q132" s="310">
        <f t="shared" si="151"/>
        <v>1.1780038582976915</v>
      </c>
      <c r="R132" s="311">
        <f t="shared" si="132"/>
        <v>0</v>
      </c>
      <c r="S132" s="311">
        <f t="shared" si="152"/>
        <v>0</v>
      </c>
      <c r="T132" s="310">
        <f t="shared" si="153"/>
        <v>1.1780038582976915</v>
      </c>
      <c r="U132" s="316">
        <f t="shared" si="140"/>
        <v>0</v>
      </c>
      <c r="V132" s="48">
        <v>0.17925423834916471</v>
      </c>
      <c r="W132" s="49">
        <v>1.0638531341664608</v>
      </c>
      <c r="X132" s="48" t="s">
        <v>40</v>
      </c>
      <c r="Y132" s="48" t="s">
        <v>563</v>
      </c>
      <c r="Z132" s="246" t="s">
        <v>40</v>
      </c>
      <c r="AA132" s="246"/>
      <c r="AB132" s="386">
        <v>0</v>
      </c>
      <c r="AC132" s="388">
        <v>0</v>
      </c>
      <c r="AD132" s="337">
        <v>0</v>
      </c>
      <c r="AE132" s="337">
        <v>0</v>
      </c>
      <c r="AF132" s="337">
        <v>0</v>
      </c>
      <c r="AG132" s="337">
        <v>0</v>
      </c>
      <c r="AH132" s="337">
        <v>0</v>
      </c>
      <c r="AI132" s="337">
        <v>0</v>
      </c>
      <c r="AJ132" s="337" t="s">
        <v>40</v>
      </c>
      <c r="AK132" s="337">
        <v>0</v>
      </c>
      <c r="AL132" s="337">
        <v>0</v>
      </c>
      <c r="AM132" s="337">
        <v>0</v>
      </c>
      <c r="AN132" s="337">
        <f t="shared" si="154"/>
        <v>0</v>
      </c>
      <c r="AO132" s="294" t="s">
        <v>619</v>
      </c>
      <c r="AP132" s="282" t="s">
        <v>373</v>
      </c>
      <c r="AQ132" s="136"/>
      <c r="AR132" s="289" t="s">
        <v>589</v>
      </c>
      <c r="AS132" s="142"/>
      <c r="AT132" s="142"/>
      <c r="AU132" s="146"/>
      <c r="AV132" s="48"/>
      <c r="AW132" s="131" t="s">
        <v>284</v>
      </c>
      <c r="AX132" s="131"/>
      <c r="AY132" s="131"/>
      <c r="AZ132" s="48"/>
      <c r="BA132" s="48"/>
      <c r="BB132" s="50"/>
      <c r="BC132" s="51" t="s">
        <v>93</v>
      </c>
      <c r="BD132" s="52">
        <v>26.449658337560663</v>
      </c>
      <c r="BE132" s="53">
        <v>156.97565747503057</v>
      </c>
      <c r="BF132" s="54">
        <v>26.449658337560663</v>
      </c>
      <c r="BG132" s="53">
        <v>156.97565747503057</v>
      </c>
      <c r="BH132" s="450">
        <v>109328.61808281725</v>
      </c>
      <c r="BI132" s="347">
        <f t="shared" si="155"/>
        <v>0</v>
      </c>
      <c r="BJ132" s="347">
        <f t="shared" si="133"/>
        <v>109328.61808281725</v>
      </c>
      <c r="BK132" s="45">
        <v>92808.370119267463</v>
      </c>
      <c r="BL132" s="47">
        <v>52.855177319005314</v>
      </c>
      <c r="BM132" s="45">
        <v>16520.247963549788</v>
      </c>
      <c r="BN132" s="55">
        <v>1.1780038582976915</v>
      </c>
      <c r="BO132" s="47">
        <f t="shared" si="134"/>
        <v>1.1780038582976915</v>
      </c>
      <c r="BP132" s="45">
        <v>34315.307219568262</v>
      </c>
      <c r="BQ132" s="55">
        <v>3.1860014361308919</v>
      </c>
      <c r="BR132" s="54">
        <v>27.780815534927147</v>
      </c>
      <c r="BS132" s="53">
        <v>164.87592119838021</v>
      </c>
      <c r="BT132" s="54">
        <v>54.230473872487813</v>
      </c>
      <c r="BU132" s="53">
        <v>321.85157867341081</v>
      </c>
      <c r="BV132" s="450">
        <v>123335.76234651828</v>
      </c>
      <c r="BW132" s="347">
        <f t="shared" si="156"/>
        <v>0</v>
      </c>
      <c r="BX132" s="347">
        <f t="shared" si="135"/>
        <v>123335.76234651828</v>
      </c>
      <c r="BY132" s="45">
        <v>97479.225533859921</v>
      </c>
      <c r="BZ132" s="47">
        <v>55.515270270238673</v>
      </c>
      <c r="CA132" s="45">
        <v>25856.536812658363</v>
      </c>
      <c r="CB132" s="55">
        <v>1.2652517669385561</v>
      </c>
      <c r="CC132" s="47">
        <f t="shared" si="136"/>
        <v>1.2652517669385561</v>
      </c>
      <c r="CD132" s="45">
        <v>36042.326434795788</v>
      </c>
      <c r="CE132" s="55">
        <v>3.4219700709288325</v>
      </c>
      <c r="CF132" s="52">
        <v>33.598833020428714</v>
      </c>
      <c r="CG132" s="53">
        <v>199.40518083312153</v>
      </c>
      <c r="CH132" s="54">
        <v>87.829306892916534</v>
      </c>
      <c r="CI132" s="53">
        <v>521.25675950653238</v>
      </c>
      <c r="CJ132" s="450">
        <v>160786.77977994818</v>
      </c>
      <c r="CK132" s="347">
        <f t="shared" si="157"/>
        <v>0</v>
      </c>
      <c r="CL132" s="347">
        <f t="shared" si="137"/>
        <v>160786.77977994818</v>
      </c>
      <c r="CM132" s="45">
        <v>117893.88319270806</v>
      </c>
      <c r="CN132" s="47">
        <v>67.141596097085596</v>
      </c>
      <c r="CO132" s="45">
        <v>42892.896587240117</v>
      </c>
      <c r="CP132" s="55">
        <v>1.3638263107944952</v>
      </c>
      <c r="CQ132" s="47">
        <f t="shared" si="138"/>
        <v>1.3638263107944952</v>
      </c>
      <c r="CR132" s="45">
        <v>43590.516845266655</v>
      </c>
      <c r="CS132" s="55">
        <v>3.6885724560388522</v>
      </c>
    </row>
    <row r="133" spans="1:97" s="23" customFormat="1" ht="15" customHeight="1">
      <c r="A133" s="377" t="str">
        <f t="shared" ref="A133:A143" si="158">CONCATENATE($B$4,"; ",B133,"; ",C133,"; ",D133)</f>
        <v>BNI - Efficient Product Rebates; Integrated Dual Enthalpy Economizer Controls; COM-HVAC; Office</v>
      </c>
      <c r="B133" s="42" t="s">
        <v>94</v>
      </c>
      <c r="C133" s="15" t="s">
        <v>95</v>
      </c>
      <c r="D133" s="15" t="s">
        <v>66</v>
      </c>
      <c r="E133" s="43">
        <v>7</v>
      </c>
      <c r="F133" s="44">
        <v>2667.9757500000001</v>
      </c>
      <c r="G133" s="44">
        <v>1819.0642310059482</v>
      </c>
      <c r="H133" s="45">
        <v>800</v>
      </c>
      <c r="I133" s="46">
        <v>0.3125</v>
      </c>
      <c r="J133" s="45">
        <v>85.375224000000003</v>
      </c>
      <c r="K133" s="45">
        <v>335.375224</v>
      </c>
      <c r="L133" s="45">
        <v>550</v>
      </c>
      <c r="M133" s="45">
        <v>885.375224</v>
      </c>
      <c r="N133" s="45">
        <v>2314.6606751422537</v>
      </c>
      <c r="O133" s="47">
        <v>0.82</v>
      </c>
      <c r="P133" s="47">
        <v>2.5601364763393386</v>
      </c>
      <c r="Q133" s="310">
        <f t="shared" ref="Q133:Q143" si="159">N133*O133/(O133*H133+J133)</f>
        <v>2.5601364763393386</v>
      </c>
      <c r="R133" s="311">
        <f t="shared" si="132"/>
        <v>0</v>
      </c>
      <c r="S133" s="311">
        <f t="shared" ref="S133:S143" si="160">-PV(RDR,E133,AC133)</f>
        <v>0</v>
      </c>
      <c r="T133" s="310">
        <f t="shared" ref="T133:T143" si="161">(N133+SUM(R133:S133))*O133/(O133*H133+J133)</f>
        <v>2.5601364763393386</v>
      </c>
      <c r="U133" s="316">
        <f t="shared" si="140"/>
        <v>0</v>
      </c>
      <c r="V133" s="48">
        <v>0.12570400012069075</v>
      </c>
      <c r="W133" s="49">
        <v>0.18436689495814915</v>
      </c>
      <c r="X133" s="48" t="s">
        <v>40</v>
      </c>
      <c r="Y133" s="48" t="s">
        <v>531</v>
      </c>
      <c r="Z133" s="246" t="s">
        <v>40</v>
      </c>
      <c r="AA133" s="246"/>
      <c r="AB133" s="386">
        <v>0</v>
      </c>
      <c r="AC133" s="388">
        <v>0</v>
      </c>
      <c r="AD133" s="365">
        <f>AC133*0.082</f>
        <v>0</v>
      </c>
      <c r="AE133" s="365">
        <f t="shared" ref="AE133:AE143" si="162">AC133*0</f>
        <v>0</v>
      </c>
      <c r="AF133" s="365">
        <f>AC133*0</f>
        <v>0</v>
      </c>
      <c r="AG133" s="365">
        <f>-AC133*0.034</f>
        <v>0</v>
      </c>
      <c r="AH133" s="365">
        <f>AC133*-0.003</f>
        <v>0</v>
      </c>
      <c r="AI133" s="365">
        <f>AC133*0.698</f>
        <v>0</v>
      </c>
      <c r="AJ133" s="365" t="s">
        <v>40</v>
      </c>
      <c r="AK133" s="365">
        <f>AC133*0.189</f>
        <v>0</v>
      </c>
      <c r="AL133" s="365">
        <f>AC133*0</f>
        <v>0</v>
      </c>
      <c r="AM133" s="365">
        <f>AC133*0</f>
        <v>0</v>
      </c>
      <c r="AN133" s="365">
        <f t="shared" ref="AN133:AN143" si="163">SUM(AD133:AM133)</f>
        <v>0</v>
      </c>
      <c r="AO133" s="294" t="s">
        <v>621</v>
      </c>
      <c r="AP133" s="282" t="s">
        <v>419</v>
      </c>
      <c r="AQ133" s="136" t="s">
        <v>40</v>
      </c>
      <c r="AR133" s="289"/>
      <c r="AS133" s="142"/>
      <c r="AT133" s="142" t="s">
        <v>216</v>
      </c>
      <c r="AU133" s="146"/>
      <c r="AV133" s="48"/>
      <c r="AW133" s="131" t="s">
        <v>284</v>
      </c>
      <c r="AX133" s="131"/>
      <c r="AY133" s="131"/>
      <c r="AZ133" s="48"/>
      <c r="BA133" s="48"/>
      <c r="BB133" s="50"/>
      <c r="BC133" s="56" t="s">
        <v>94</v>
      </c>
      <c r="BD133" s="52">
        <v>296.37075047339749</v>
      </c>
      <c r="BE133" s="53">
        <v>434.67952466695493</v>
      </c>
      <c r="BF133" s="54">
        <v>296.37075047339749</v>
      </c>
      <c r="BG133" s="53">
        <v>434.67952466695493</v>
      </c>
      <c r="BH133" s="450">
        <v>377115.72229849838</v>
      </c>
      <c r="BI133" s="347">
        <f t="shared" ref="BI133:BI143" si="164">SUM(R133:S133)*O133*BL133</f>
        <v>0</v>
      </c>
      <c r="BJ133" s="347">
        <f t="shared" si="133"/>
        <v>377115.72229849838</v>
      </c>
      <c r="BK133" s="45">
        <v>147302.97614357053</v>
      </c>
      <c r="BL133" s="47">
        <v>198.68883039928852</v>
      </c>
      <c r="BM133" s="45">
        <v>229812.74615492785</v>
      </c>
      <c r="BN133" s="55">
        <v>2.5601364763393391</v>
      </c>
      <c r="BO133" s="47">
        <f t="shared" si="134"/>
        <v>2.5601364763393391</v>
      </c>
      <c r="BP133" s="45">
        <v>66635.311001459399</v>
      </c>
      <c r="BQ133" s="55">
        <v>5.6593976471459566</v>
      </c>
      <c r="BR133" s="54">
        <v>299.17068799130271</v>
      </c>
      <c r="BS133" s="53">
        <v>438.78612259349183</v>
      </c>
      <c r="BT133" s="54">
        <v>595.54143846470015</v>
      </c>
      <c r="BU133" s="53">
        <v>873.46564726044676</v>
      </c>
      <c r="BV133" s="450">
        <v>445293.64619513712</v>
      </c>
      <c r="BW133" s="347">
        <f t="shared" ref="BW133:BW143" si="165">SUM(R133:S133)*O133*BZ133</f>
        <v>0</v>
      </c>
      <c r="BX133" s="347">
        <f t="shared" si="135"/>
        <v>445293.64619513712</v>
      </c>
      <c r="BY133" s="45">
        <v>148694.60851196278</v>
      </c>
      <c r="BZ133" s="47">
        <v>200.5659262656487</v>
      </c>
      <c r="CA133" s="45">
        <v>296599.03768317436</v>
      </c>
      <c r="CB133" s="55">
        <v>2.9946858911115957</v>
      </c>
      <c r="CC133" s="47">
        <f t="shared" si="136"/>
        <v>2.9946858911115957</v>
      </c>
      <c r="CD133" s="45">
        <v>67264.842448109412</v>
      </c>
      <c r="CE133" s="55">
        <v>6.6200057859148798</v>
      </c>
      <c r="CF133" s="52">
        <v>345.77438141039352</v>
      </c>
      <c r="CG133" s="53">
        <v>507.13858743955706</v>
      </c>
      <c r="CH133" s="54">
        <v>941.31581987509378</v>
      </c>
      <c r="CI133" s="53">
        <v>1380.6042347000039</v>
      </c>
      <c r="CJ133" s="450">
        <v>594092.33372965548</v>
      </c>
      <c r="CK133" s="347">
        <f t="shared" ref="CK133:CK143" si="166">SUM(R133:S133)*O133*CN133</f>
        <v>0</v>
      </c>
      <c r="CL133" s="347">
        <f t="shared" si="137"/>
        <v>594092.33372965548</v>
      </c>
      <c r="CM133" s="45">
        <v>171857.69977164094</v>
      </c>
      <c r="CN133" s="47">
        <v>231.80933784703998</v>
      </c>
      <c r="CO133" s="45">
        <v>422234.63395801454</v>
      </c>
      <c r="CP133" s="55">
        <v>3.456885170225521</v>
      </c>
      <c r="CQ133" s="47">
        <f t="shared" si="138"/>
        <v>3.456885170225521</v>
      </c>
      <c r="CR133" s="45">
        <v>77743.108605742716</v>
      </c>
      <c r="CS133" s="55">
        <v>7.6417362822789308</v>
      </c>
    </row>
    <row r="134" spans="1:97" s="23" customFormat="1" ht="15" customHeight="1">
      <c r="A134" s="377" t="str">
        <f t="shared" si="158"/>
        <v>BNI - Efficient Product Rebates; Integrated Dual Enthalpy Economizer Controls; COM-HVAC; Other Commercial</v>
      </c>
      <c r="B134" s="42" t="s">
        <v>94</v>
      </c>
      <c r="C134" s="15" t="s">
        <v>95</v>
      </c>
      <c r="D134" s="15" t="s">
        <v>56</v>
      </c>
      <c r="E134" s="43">
        <v>7</v>
      </c>
      <c r="F134" s="44">
        <v>2667.9757500000001</v>
      </c>
      <c r="G134" s="44">
        <v>1819.0642310059482</v>
      </c>
      <c r="H134" s="45">
        <v>800</v>
      </c>
      <c r="I134" s="46">
        <v>0.3125</v>
      </c>
      <c r="J134" s="45">
        <v>85.375224000000003</v>
      </c>
      <c r="K134" s="45">
        <v>335.375224</v>
      </c>
      <c r="L134" s="45">
        <v>550</v>
      </c>
      <c r="M134" s="45">
        <v>885.375224</v>
      </c>
      <c r="N134" s="45">
        <v>2314.6606751422537</v>
      </c>
      <c r="O134" s="47">
        <v>0.82</v>
      </c>
      <c r="P134" s="47">
        <v>2.5601364763393386</v>
      </c>
      <c r="Q134" s="310">
        <f t="shared" si="159"/>
        <v>2.5601364763393386</v>
      </c>
      <c r="R134" s="311">
        <f t="shared" ref="R134:R143" si="167">AB134</f>
        <v>0</v>
      </c>
      <c r="S134" s="311">
        <f t="shared" si="160"/>
        <v>0</v>
      </c>
      <c r="T134" s="310">
        <f t="shared" si="161"/>
        <v>2.5601364763393386</v>
      </c>
      <c r="U134" s="316">
        <f t="shared" si="140"/>
        <v>0</v>
      </c>
      <c r="V134" s="48">
        <v>0.12570400012069075</v>
      </c>
      <c r="W134" s="49">
        <v>0.18436689495814915</v>
      </c>
      <c r="X134" s="48" t="s">
        <v>40</v>
      </c>
      <c r="Y134" s="48" t="s">
        <v>531</v>
      </c>
      <c r="Z134" s="246" t="s">
        <v>40</v>
      </c>
      <c r="AA134" s="246"/>
      <c r="AB134" s="386">
        <v>0</v>
      </c>
      <c r="AC134" s="388">
        <v>0</v>
      </c>
      <c r="AD134" s="365">
        <f>AC134*0.082</f>
        <v>0</v>
      </c>
      <c r="AE134" s="365">
        <f t="shared" si="162"/>
        <v>0</v>
      </c>
      <c r="AF134" s="365">
        <f>AC134*0</f>
        <v>0</v>
      </c>
      <c r="AG134" s="365">
        <f>-AC134*0.034</f>
        <v>0</v>
      </c>
      <c r="AH134" s="365">
        <f>AC134*-0.003</f>
        <v>0</v>
      </c>
      <c r="AI134" s="365">
        <f>AC134*0.698</f>
        <v>0</v>
      </c>
      <c r="AJ134" s="365" t="s">
        <v>40</v>
      </c>
      <c r="AK134" s="365">
        <f>AC134*0.189</f>
        <v>0</v>
      </c>
      <c r="AL134" s="365">
        <f>AC134*0</f>
        <v>0</v>
      </c>
      <c r="AM134" s="365">
        <f>AC134*0</f>
        <v>0</v>
      </c>
      <c r="AN134" s="365">
        <f t="shared" si="163"/>
        <v>0</v>
      </c>
      <c r="AO134" s="294" t="s">
        <v>621</v>
      </c>
      <c r="AP134" s="282" t="s">
        <v>419</v>
      </c>
      <c r="AQ134" s="136" t="s">
        <v>40</v>
      </c>
      <c r="AR134" s="289"/>
      <c r="AS134" s="142"/>
      <c r="AT134" s="142" t="s">
        <v>216</v>
      </c>
      <c r="AU134" s="146"/>
      <c r="AV134" s="48"/>
      <c r="AW134" s="131" t="s">
        <v>284</v>
      </c>
      <c r="AX134" s="131"/>
      <c r="AY134" s="131"/>
      <c r="AZ134" s="48"/>
      <c r="BA134" s="48"/>
      <c r="BB134" s="50"/>
      <c r="BC134" s="51" t="s">
        <v>94</v>
      </c>
      <c r="BD134" s="52">
        <v>402.03786098468493</v>
      </c>
      <c r="BE134" s="53">
        <v>589.65881765254892</v>
      </c>
      <c r="BF134" s="54">
        <v>402.03786098468493</v>
      </c>
      <c r="BG134" s="53">
        <v>589.65881765254892</v>
      </c>
      <c r="BH134" s="450">
        <v>511571.39526895317</v>
      </c>
      <c r="BI134" s="347">
        <f t="shared" si="164"/>
        <v>0</v>
      </c>
      <c r="BJ134" s="347">
        <f t="shared" ref="BJ134:BJ192" si="168">BH134+BI134</f>
        <v>511571.39526895317</v>
      </c>
      <c r="BK134" s="45">
        <v>199821.92355636976</v>
      </c>
      <c r="BL134" s="47">
        <v>269.52873131941857</v>
      </c>
      <c r="BM134" s="45">
        <v>311749.47171258344</v>
      </c>
      <c r="BN134" s="55">
        <v>2.5601364763393386</v>
      </c>
      <c r="BO134" s="47">
        <f t="shared" ref="BO134:BO143" si="169">SUM(BH134:BI134)/BK134</f>
        <v>2.5601364763393386</v>
      </c>
      <c r="BP134" s="45">
        <v>90393.258640685817</v>
      </c>
      <c r="BQ134" s="55">
        <v>5.6593976471459557</v>
      </c>
      <c r="BR134" s="54">
        <v>405.83607956324346</v>
      </c>
      <c r="BS134" s="53">
        <v>595.22956929950408</v>
      </c>
      <c r="BT134" s="54">
        <v>807.87394054792844</v>
      </c>
      <c r="BU134" s="53">
        <v>1184.888386952053</v>
      </c>
      <c r="BV134" s="450">
        <v>604057.26523418666</v>
      </c>
      <c r="BW134" s="347">
        <f t="shared" si="165"/>
        <v>0</v>
      </c>
      <c r="BX134" s="347">
        <f t="shared" ref="BX134:BX144" si="170">BV134+BW134</f>
        <v>604057.26523418666</v>
      </c>
      <c r="BY134" s="45">
        <v>201709.72422418802</v>
      </c>
      <c r="BZ134" s="47">
        <v>272.07508113892408</v>
      </c>
      <c r="CA134" s="45">
        <v>402347.54100999865</v>
      </c>
      <c r="CB134" s="55">
        <v>2.9946858911115957</v>
      </c>
      <c r="CC134" s="47">
        <f t="shared" ref="CC134:CC191" si="171">SUM(BV134:BW134)/BY134</f>
        <v>2.9946858911115957</v>
      </c>
      <c r="CD134" s="45">
        <v>91247.241281784838</v>
      </c>
      <c r="CE134" s="55">
        <v>6.6200057859148798</v>
      </c>
      <c r="CF134" s="52">
        <v>469.0557096592272</v>
      </c>
      <c r="CG134" s="53">
        <v>687.95221050430678</v>
      </c>
      <c r="CH134" s="54">
        <v>1276.9296502071556</v>
      </c>
      <c r="CI134" s="53">
        <v>1872.8405974563598</v>
      </c>
      <c r="CJ134" s="450">
        <v>805908.17649364984</v>
      </c>
      <c r="CK134" s="347">
        <f t="shared" si="166"/>
        <v>0</v>
      </c>
      <c r="CL134" s="347">
        <f t="shared" ref="CL134:CL144" si="172">CJ134+CK134</f>
        <v>805908.17649364984</v>
      </c>
      <c r="CM134" s="45">
        <v>233131.31238347554</v>
      </c>
      <c r="CN134" s="47">
        <v>314.45792202987826</v>
      </c>
      <c r="CO134" s="45">
        <v>572776.86411017436</v>
      </c>
      <c r="CP134" s="55">
        <v>3.4568851702255206</v>
      </c>
      <c r="CQ134" s="47">
        <f t="shared" ref="CQ134:CQ143" si="173">SUM(CJ134:CK134)/CM134</f>
        <v>3.4568851702255206</v>
      </c>
      <c r="CR134" s="45">
        <v>105461.39603934495</v>
      </c>
      <c r="CS134" s="55">
        <v>7.6417362822789308</v>
      </c>
    </row>
    <row r="135" spans="1:97" s="23" customFormat="1" ht="15" customHeight="1">
      <c r="A135" s="377" t="str">
        <f t="shared" si="158"/>
        <v>BNI - Efficient Product Rebates; Integrated Dual Enthalpy Economizer Controls; COM-HVAC; Retail</v>
      </c>
      <c r="B135" s="42" t="s">
        <v>94</v>
      </c>
      <c r="C135" s="15" t="s">
        <v>95</v>
      </c>
      <c r="D135" s="15" t="s">
        <v>30</v>
      </c>
      <c r="E135" s="43">
        <v>7</v>
      </c>
      <c r="F135" s="44">
        <v>2667.9757500000001</v>
      </c>
      <c r="G135" s="44">
        <v>312.13552939794562</v>
      </c>
      <c r="H135" s="45">
        <v>800</v>
      </c>
      <c r="I135" s="46">
        <v>0.3125</v>
      </c>
      <c r="J135" s="45">
        <v>85.375224000000003</v>
      </c>
      <c r="K135" s="45">
        <v>335.375224</v>
      </c>
      <c r="L135" s="45">
        <v>550</v>
      </c>
      <c r="M135" s="45">
        <v>885.375224</v>
      </c>
      <c r="N135" s="45">
        <v>1184.580224973555</v>
      </c>
      <c r="O135" s="47">
        <v>0.82</v>
      </c>
      <c r="P135" s="47">
        <v>1.3102080471983981</v>
      </c>
      <c r="Q135" s="310">
        <f t="shared" si="159"/>
        <v>1.3102080471983981</v>
      </c>
      <c r="R135" s="311">
        <f t="shared" si="167"/>
        <v>0</v>
      </c>
      <c r="S135" s="311">
        <f t="shared" si="160"/>
        <v>0</v>
      </c>
      <c r="T135" s="310">
        <f t="shared" si="161"/>
        <v>1.3102080471983981</v>
      </c>
      <c r="U135" s="316">
        <f t="shared" si="140"/>
        <v>0</v>
      </c>
      <c r="V135" s="48">
        <v>0.12570400012069075</v>
      </c>
      <c r="W135" s="49">
        <v>1.074453858703236</v>
      </c>
      <c r="X135" s="48" t="s">
        <v>40</v>
      </c>
      <c r="Y135" s="48" t="s">
        <v>531</v>
      </c>
      <c r="Z135" s="246" t="s">
        <v>40</v>
      </c>
      <c r="AA135" s="246"/>
      <c r="AB135" s="386">
        <v>0</v>
      </c>
      <c r="AC135" s="388">
        <v>0</v>
      </c>
      <c r="AD135" s="365">
        <f>AC135*0.082</f>
        <v>0</v>
      </c>
      <c r="AE135" s="365">
        <f t="shared" si="162"/>
        <v>0</v>
      </c>
      <c r="AF135" s="365">
        <f>AC135*0</f>
        <v>0</v>
      </c>
      <c r="AG135" s="365">
        <f>-AC135*0.034</f>
        <v>0</v>
      </c>
      <c r="AH135" s="365">
        <f>AC135*-0.003</f>
        <v>0</v>
      </c>
      <c r="AI135" s="365">
        <f>AC135*0.698</f>
        <v>0</v>
      </c>
      <c r="AJ135" s="365" t="s">
        <v>40</v>
      </c>
      <c r="AK135" s="365">
        <f>AC135*0.189</f>
        <v>0</v>
      </c>
      <c r="AL135" s="365">
        <f>AC135*0</f>
        <v>0</v>
      </c>
      <c r="AM135" s="365">
        <f>AC135*0</f>
        <v>0</v>
      </c>
      <c r="AN135" s="365">
        <f t="shared" si="163"/>
        <v>0</v>
      </c>
      <c r="AO135" s="294" t="s">
        <v>621</v>
      </c>
      <c r="AP135" s="282" t="s">
        <v>419</v>
      </c>
      <c r="AQ135" s="136" t="s">
        <v>40</v>
      </c>
      <c r="AR135" s="289"/>
      <c r="AS135" s="142"/>
      <c r="AT135" s="142" t="s">
        <v>216</v>
      </c>
      <c r="AU135" s="146"/>
      <c r="AV135" s="48"/>
      <c r="AW135" s="131" t="s">
        <v>284</v>
      </c>
      <c r="AX135" s="131"/>
      <c r="AY135" s="131"/>
      <c r="AZ135" s="48"/>
      <c r="BA135" s="48"/>
      <c r="BB135" s="50"/>
      <c r="BC135" s="51" t="s">
        <v>94</v>
      </c>
      <c r="BD135" s="52">
        <v>98.701449179965479</v>
      </c>
      <c r="BE135" s="53">
        <v>843.64978703298641</v>
      </c>
      <c r="BF135" s="54">
        <v>98.701449179965479</v>
      </c>
      <c r="BG135" s="53">
        <v>843.64978703298641</v>
      </c>
      <c r="BH135" s="450">
        <v>374580.18669113721</v>
      </c>
      <c r="BI135" s="347">
        <f t="shared" si="164"/>
        <v>0</v>
      </c>
      <c r="BJ135" s="347">
        <f t="shared" si="168"/>
        <v>374580.18669113721</v>
      </c>
      <c r="BK135" s="45">
        <v>285893.66970543144</v>
      </c>
      <c r="BL135" s="47">
        <v>385.62614510224239</v>
      </c>
      <c r="BM135" s="45">
        <v>88686.516985705763</v>
      </c>
      <c r="BN135" s="55">
        <v>1.3102080471983983</v>
      </c>
      <c r="BO135" s="47">
        <f t="shared" si="169"/>
        <v>1.3102080471983983</v>
      </c>
      <c r="BP135" s="45">
        <v>129329.45479392106</v>
      </c>
      <c r="BQ135" s="55">
        <v>2.8963254139438606</v>
      </c>
      <c r="BR135" s="54">
        <v>99.63392274623061</v>
      </c>
      <c r="BS135" s="53">
        <v>851.62009681191466</v>
      </c>
      <c r="BT135" s="54">
        <v>198.33537192619607</v>
      </c>
      <c r="BU135" s="53">
        <v>1695.269883844901</v>
      </c>
      <c r="BV135" s="450">
        <v>411947.86505545949</v>
      </c>
      <c r="BW135" s="347">
        <f t="shared" si="165"/>
        <v>0</v>
      </c>
      <c r="BX135" s="347">
        <f t="shared" si="170"/>
        <v>411947.86505545949</v>
      </c>
      <c r="BY135" s="45">
        <v>288594.62589176639</v>
      </c>
      <c r="BZ135" s="47">
        <v>389.26931538754309</v>
      </c>
      <c r="CA135" s="45">
        <v>123353.2391636931</v>
      </c>
      <c r="CB135" s="55">
        <v>1.4274273603762639</v>
      </c>
      <c r="CC135" s="47">
        <f t="shared" si="171"/>
        <v>1.4274273603762639</v>
      </c>
      <c r="CD135" s="45">
        <v>130551.28384442392</v>
      </c>
      <c r="CE135" s="55">
        <v>3.155448594028166</v>
      </c>
      <c r="CF135" s="52">
        <v>115.15452344739856</v>
      </c>
      <c r="CG135" s="53">
        <v>984.28229767068569</v>
      </c>
      <c r="CH135" s="54">
        <v>313.48989537359461</v>
      </c>
      <c r="CI135" s="53">
        <v>2679.5521815155867</v>
      </c>
      <c r="CJ135" s="450">
        <v>519590.81009928492</v>
      </c>
      <c r="CK135" s="347">
        <f t="shared" si="166"/>
        <v>0</v>
      </c>
      <c r="CL135" s="347">
        <f t="shared" si="172"/>
        <v>519590.81009928492</v>
      </c>
      <c r="CM135" s="45">
        <v>333550.8198215944</v>
      </c>
      <c r="CN135" s="47">
        <v>449.90823677915949</v>
      </c>
      <c r="CO135" s="45">
        <v>186039.99027769052</v>
      </c>
      <c r="CP135" s="55">
        <v>1.5577560576142411</v>
      </c>
      <c r="CQ135" s="47">
        <f t="shared" si="173"/>
        <v>1.5577560576142411</v>
      </c>
      <c r="CR135" s="45">
        <v>150888.07568925567</v>
      </c>
      <c r="CS135" s="55">
        <v>3.4435511734495767</v>
      </c>
    </row>
    <row r="136" spans="1:97" s="23" customFormat="1" ht="15" customHeight="1">
      <c r="A136" s="377" t="str">
        <f t="shared" si="158"/>
        <v>BNI - Efficient Product Rebates; Integrated Dual Enthalpy Economizer Controls; COM-HVAC; School</v>
      </c>
      <c r="B136" s="42" t="s">
        <v>94</v>
      </c>
      <c r="C136" s="15" t="s">
        <v>95</v>
      </c>
      <c r="D136" s="15" t="s">
        <v>59</v>
      </c>
      <c r="E136" s="43">
        <v>7</v>
      </c>
      <c r="F136" s="44">
        <v>2667.9757500000001</v>
      </c>
      <c r="G136" s="44">
        <v>233.89192675250649</v>
      </c>
      <c r="H136" s="45">
        <v>800</v>
      </c>
      <c r="I136" s="46">
        <v>0.3125</v>
      </c>
      <c r="J136" s="45">
        <v>85.375224000000003</v>
      </c>
      <c r="K136" s="45">
        <v>335.375224</v>
      </c>
      <c r="L136" s="45">
        <v>550</v>
      </c>
      <c r="M136" s="45">
        <v>885.375224</v>
      </c>
      <c r="N136" s="45">
        <v>1125.9035499550048</v>
      </c>
      <c r="O136" s="47">
        <v>0.82</v>
      </c>
      <c r="P136" s="47">
        <v>1.245308557766295</v>
      </c>
      <c r="Q136" s="310">
        <f t="shared" si="159"/>
        <v>1.245308557766295</v>
      </c>
      <c r="R136" s="311">
        <f t="shared" si="167"/>
        <v>0</v>
      </c>
      <c r="S136" s="311">
        <f t="shared" si="160"/>
        <v>0</v>
      </c>
      <c r="T136" s="310">
        <f t="shared" si="161"/>
        <v>1.245308557766295</v>
      </c>
      <c r="U136" s="316">
        <f t="shared" si="140"/>
        <v>0</v>
      </c>
      <c r="V136" s="48">
        <v>0.12570400012069075</v>
      </c>
      <c r="W136" s="49">
        <v>1.433889697077396</v>
      </c>
      <c r="X136" s="48" t="s">
        <v>40</v>
      </c>
      <c r="Y136" s="48" t="s">
        <v>531</v>
      </c>
      <c r="Z136" s="246" t="s">
        <v>40</v>
      </c>
      <c r="AA136" s="246"/>
      <c r="AB136" s="386">
        <v>0</v>
      </c>
      <c r="AC136" s="388">
        <v>0</v>
      </c>
      <c r="AD136" s="365">
        <f>AC136*0.082</f>
        <v>0</v>
      </c>
      <c r="AE136" s="365">
        <f t="shared" si="162"/>
        <v>0</v>
      </c>
      <c r="AF136" s="365">
        <f>AC136*0</f>
        <v>0</v>
      </c>
      <c r="AG136" s="365">
        <f>-AC136*0.034</f>
        <v>0</v>
      </c>
      <c r="AH136" s="365">
        <f>AC136*-0.003</f>
        <v>0</v>
      </c>
      <c r="AI136" s="365">
        <f>AC136*0.698</f>
        <v>0</v>
      </c>
      <c r="AJ136" s="365" t="s">
        <v>40</v>
      </c>
      <c r="AK136" s="365">
        <f>AC136*0.189</f>
        <v>0</v>
      </c>
      <c r="AL136" s="365">
        <f>AC136*0</f>
        <v>0</v>
      </c>
      <c r="AM136" s="365">
        <f>AC136*0</f>
        <v>0</v>
      </c>
      <c r="AN136" s="365">
        <f t="shared" si="163"/>
        <v>0</v>
      </c>
      <c r="AO136" s="294" t="s">
        <v>621</v>
      </c>
      <c r="AP136" s="282" t="s">
        <v>419</v>
      </c>
      <c r="AQ136" s="136" t="s">
        <v>40</v>
      </c>
      <c r="AR136" s="289"/>
      <c r="AS136" s="142"/>
      <c r="AT136" s="142" t="s">
        <v>216</v>
      </c>
      <c r="AU136" s="146"/>
      <c r="AV136" s="48"/>
      <c r="AW136" s="131" t="s">
        <v>284</v>
      </c>
      <c r="AX136" s="131"/>
      <c r="AY136" s="131"/>
      <c r="AZ136" s="48"/>
      <c r="BA136" s="48"/>
      <c r="BB136" s="50"/>
      <c r="BC136" s="51" t="s">
        <v>94</v>
      </c>
      <c r="BD136" s="52">
        <v>73.718071912531641</v>
      </c>
      <c r="BE136" s="53">
        <v>840.892761585166</v>
      </c>
      <c r="BF136" s="54">
        <v>73.718071912531641</v>
      </c>
      <c r="BG136" s="53">
        <v>840.892761585166</v>
      </c>
      <c r="BH136" s="450">
        <v>354862.35037938622</v>
      </c>
      <c r="BI136" s="347">
        <f t="shared" si="164"/>
        <v>0</v>
      </c>
      <c r="BJ136" s="347">
        <f t="shared" si="168"/>
        <v>354862.35037938622</v>
      </c>
      <c r="BK136" s="45">
        <v>284959.37666717835</v>
      </c>
      <c r="BL136" s="47">
        <v>384.36592894177744</v>
      </c>
      <c r="BM136" s="45">
        <v>69902.973712207866</v>
      </c>
      <c r="BN136" s="55">
        <v>1.2453085577662948</v>
      </c>
      <c r="BO136" s="47">
        <f t="shared" si="169"/>
        <v>1.2453085577662948</v>
      </c>
      <c r="BP136" s="45">
        <v>128906.80951681669</v>
      </c>
      <c r="BQ136" s="55">
        <v>2.7528596178085705</v>
      </c>
      <c r="BR136" s="54">
        <v>74.414517141913535</v>
      </c>
      <c r="BS136" s="53">
        <v>848.83702460011068</v>
      </c>
      <c r="BT136" s="54">
        <v>148.13258905444519</v>
      </c>
      <c r="BU136" s="53">
        <v>1689.7297861852767</v>
      </c>
      <c r="BV136" s="450">
        <v>387193.67762137047</v>
      </c>
      <c r="BW136" s="347">
        <f t="shared" si="165"/>
        <v>0</v>
      </c>
      <c r="BX136" s="347">
        <f t="shared" si="170"/>
        <v>387193.67762137047</v>
      </c>
      <c r="BY136" s="45">
        <v>287651.50619930949</v>
      </c>
      <c r="BZ136" s="47">
        <v>387.99719344183194</v>
      </c>
      <c r="CA136" s="45">
        <v>99542.171422060987</v>
      </c>
      <c r="CB136" s="55">
        <v>1.3460512782891172</v>
      </c>
      <c r="CC136" s="47">
        <f t="shared" si="171"/>
        <v>1.3460512782891172</v>
      </c>
      <c r="CD136" s="45">
        <v>130124.64566192572</v>
      </c>
      <c r="CE136" s="55">
        <v>2.9755598999080521</v>
      </c>
      <c r="CF136" s="52">
        <v>86.006532944318053</v>
      </c>
      <c r="CG136" s="53">
        <v>981.06568885476781</v>
      </c>
      <c r="CH136" s="54">
        <v>234.13912199876324</v>
      </c>
      <c r="CI136" s="53">
        <v>2670.7954750400445</v>
      </c>
      <c r="CJ136" s="450">
        <v>485109.62299058918</v>
      </c>
      <c r="CK136" s="347">
        <f t="shared" si="166"/>
        <v>0</v>
      </c>
      <c r="CL136" s="347">
        <f t="shared" si="172"/>
        <v>485109.62299058918</v>
      </c>
      <c r="CM136" s="45">
        <v>332460.78446270013</v>
      </c>
      <c r="CN136" s="47">
        <v>448.43794842367186</v>
      </c>
      <c r="CO136" s="45">
        <v>152648.83852788905</v>
      </c>
      <c r="CP136" s="55">
        <v>1.4591484038473572</v>
      </c>
      <c r="CQ136" s="47">
        <f t="shared" si="173"/>
        <v>1.4591484038473572</v>
      </c>
      <c r="CR136" s="45">
        <v>150394.9774026894</v>
      </c>
      <c r="CS136" s="55">
        <v>3.225570636522562</v>
      </c>
    </row>
    <row r="137" spans="1:97" s="23" customFormat="1" ht="15" customHeight="1">
      <c r="A137" s="377" t="str">
        <f t="shared" si="158"/>
        <v>BNI - Efficient Product Rebates; HVAC Hotel Occupancy Sensor; COM-HVAC; Other Commercial</v>
      </c>
      <c r="B137" s="42" t="s">
        <v>96</v>
      </c>
      <c r="C137" s="15" t="s">
        <v>95</v>
      </c>
      <c r="D137" s="15" t="s">
        <v>56</v>
      </c>
      <c r="E137" s="43">
        <v>10</v>
      </c>
      <c r="F137" s="44">
        <v>490.12200000000001</v>
      </c>
      <c r="G137" s="44">
        <v>334.17222740090398</v>
      </c>
      <c r="H137" s="45">
        <v>320.99999999999994</v>
      </c>
      <c r="I137" s="46">
        <v>0.23364485981308417</v>
      </c>
      <c r="J137" s="45">
        <v>15.683904</v>
      </c>
      <c r="K137" s="45">
        <v>90.683903999999998</v>
      </c>
      <c r="L137" s="45">
        <v>245.99999999999994</v>
      </c>
      <c r="M137" s="45">
        <v>336.68390399999993</v>
      </c>
      <c r="N137" s="45">
        <v>622.55158200661276</v>
      </c>
      <c r="O137" s="47">
        <v>0.82</v>
      </c>
      <c r="P137" s="47">
        <v>1.830351923813238</v>
      </c>
      <c r="Q137" s="310">
        <f t="shared" si="159"/>
        <v>1.830351923813238</v>
      </c>
      <c r="R137" s="311">
        <f t="shared" si="167"/>
        <v>0</v>
      </c>
      <c r="S137" s="311">
        <f t="shared" si="160"/>
        <v>0</v>
      </c>
      <c r="T137" s="310">
        <f t="shared" si="161"/>
        <v>1.830351923813238</v>
      </c>
      <c r="U137" s="316">
        <f t="shared" si="140"/>
        <v>0</v>
      </c>
      <c r="V137" s="48">
        <v>0.18502312485462802</v>
      </c>
      <c r="W137" s="49">
        <v>0.27136876306362584</v>
      </c>
      <c r="X137" s="48" t="s">
        <v>40</v>
      </c>
      <c r="Y137" s="48" t="s">
        <v>532</v>
      </c>
      <c r="Z137" s="246" t="s">
        <v>40</v>
      </c>
      <c r="AA137" s="246"/>
      <c r="AB137" s="386">
        <v>0</v>
      </c>
      <c r="AC137" s="388">
        <v>0</v>
      </c>
      <c r="AD137" s="365">
        <f>AC137*0.082</f>
        <v>0</v>
      </c>
      <c r="AE137" s="365">
        <f t="shared" si="162"/>
        <v>0</v>
      </c>
      <c r="AF137" s="365">
        <f>AC137*0</f>
        <v>0</v>
      </c>
      <c r="AG137" s="365">
        <f>-AC137*0.034</f>
        <v>0</v>
      </c>
      <c r="AH137" s="365">
        <f>AC137*-0.003</f>
        <v>0</v>
      </c>
      <c r="AI137" s="365">
        <f>AC137*0.698</f>
        <v>0</v>
      </c>
      <c r="AJ137" s="365" t="s">
        <v>40</v>
      </c>
      <c r="AK137" s="365">
        <f>AC137*0.189</f>
        <v>0</v>
      </c>
      <c r="AL137" s="365">
        <f>AC137*0</f>
        <v>0</v>
      </c>
      <c r="AM137" s="365">
        <f>AC137*0</f>
        <v>0</v>
      </c>
      <c r="AN137" s="365">
        <f t="shared" si="163"/>
        <v>0</v>
      </c>
      <c r="AO137" s="294" t="s">
        <v>622</v>
      </c>
      <c r="AP137" s="282" t="s">
        <v>419</v>
      </c>
      <c r="AQ137" s="136" t="s">
        <v>40</v>
      </c>
      <c r="AR137" s="289"/>
      <c r="AS137" s="142"/>
      <c r="AT137" s="142" t="s">
        <v>216</v>
      </c>
      <c r="AU137" s="146"/>
      <c r="AV137" s="48"/>
      <c r="AW137" s="131" t="s">
        <v>284</v>
      </c>
      <c r="AX137" s="131"/>
      <c r="AY137" s="131"/>
      <c r="AZ137" s="48"/>
      <c r="BA137" s="48"/>
      <c r="BB137" s="50"/>
      <c r="BC137" s="51" t="s">
        <v>96</v>
      </c>
      <c r="BD137" s="52">
        <v>14.422225147666193</v>
      </c>
      <c r="BE137" s="53">
        <v>21.152714840495236</v>
      </c>
      <c r="BF137" s="54">
        <v>14.422225147666193</v>
      </c>
      <c r="BG137" s="53">
        <v>21.152714840495236</v>
      </c>
      <c r="BH137" s="450">
        <v>26868.118728979854</v>
      </c>
      <c r="BI137" s="347">
        <f t="shared" si="164"/>
        <v>0</v>
      </c>
      <c r="BJ137" s="347">
        <f t="shared" si="168"/>
        <v>26868.118728979854</v>
      </c>
      <c r="BK137" s="45">
        <v>14679.209161593657</v>
      </c>
      <c r="BL137" s="47">
        <v>52.631780878885301</v>
      </c>
      <c r="BM137" s="45">
        <v>12188.909567386198</v>
      </c>
      <c r="BN137" s="55">
        <v>1.8303519238132377</v>
      </c>
      <c r="BO137" s="47">
        <f t="shared" si="169"/>
        <v>1.8303519238132377</v>
      </c>
      <c r="BP137" s="45">
        <v>4772.8553645698703</v>
      </c>
      <c r="BQ137" s="55">
        <v>5.6293595084461998</v>
      </c>
      <c r="BR137" s="54">
        <v>15.228049078331034</v>
      </c>
      <c r="BS137" s="53">
        <v>22.334596529518699</v>
      </c>
      <c r="BT137" s="54">
        <v>29.650274225997229</v>
      </c>
      <c r="BU137" s="53">
        <v>43.487311370013934</v>
      </c>
      <c r="BV137" s="450">
        <v>31675.025920797951</v>
      </c>
      <c r="BW137" s="347">
        <f t="shared" si="165"/>
        <v>0</v>
      </c>
      <c r="BX137" s="347">
        <f t="shared" si="170"/>
        <v>31675.025920797951</v>
      </c>
      <c r="BY137" s="45">
        <v>15499.391755093167</v>
      </c>
      <c r="BZ137" s="47">
        <v>55.57251631405336</v>
      </c>
      <c r="CA137" s="45">
        <v>16175.634165704783</v>
      </c>
      <c r="CB137" s="55">
        <v>2.0436302547414096</v>
      </c>
      <c r="CC137" s="47">
        <f t="shared" si="171"/>
        <v>2.0436302547414096</v>
      </c>
      <c r="CD137" s="45">
        <v>5039.5327344620482</v>
      </c>
      <c r="CE137" s="55">
        <v>6.2853100852373256</v>
      </c>
      <c r="CF137" s="52">
        <v>18.600900625939008</v>
      </c>
      <c r="CG137" s="53">
        <v>27.28147305206554</v>
      </c>
      <c r="CH137" s="54">
        <v>48.251174851936241</v>
      </c>
      <c r="CI137" s="53">
        <v>70.768784422079477</v>
      </c>
      <c r="CJ137" s="450">
        <v>43061.159032091309</v>
      </c>
      <c r="CK137" s="347">
        <f t="shared" si="166"/>
        <v>0</v>
      </c>
      <c r="CL137" s="347">
        <f t="shared" si="172"/>
        <v>43061.159032091309</v>
      </c>
      <c r="CM137" s="45">
        <v>18932.342831047921</v>
      </c>
      <c r="CN137" s="47">
        <v>67.881239952266597</v>
      </c>
      <c r="CO137" s="45">
        <v>24128.816201043388</v>
      </c>
      <c r="CP137" s="55">
        <v>2.2744759809374231</v>
      </c>
      <c r="CQ137" s="47">
        <f t="shared" si="173"/>
        <v>2.2744759809374231</v>
      </c>
      <c r="CR137" s="45">
        <v>6155.7358472323085</v>
      </c>
      <c r="CS137" s="55">
        <v>6.9952902627314844</v>
      </c>
    </row>
    <row r="138" spans="1:97" s="23" customFormat="1" ht="15" customHeight="1">
      <c r="A138" s="377" t="str">
        <f t="shared" si="158"/>
        <v>BNI - Efficient Product Rebates; Zero-Energy Livestock Waterers; COM-Other; Other Commercial</v>
      </c>
      <c r="B138" s="42" t="s">
        <v>97</v>
      </c>
      <c r="C138" s="15" t="s">
        <v>29</v>
      </c>
      <c r="D138" s="15" t="s">
        <v>56</v>
      </c>
      <c r="E138" s="43">
        <v>15</v>
      </c>
      <c r="F138" s="44">
        <v>805.68</v>
      </c>
      <c r="G138" s="44">
        <v>91.972690653756302</v>
      </c>
      <c r="H138" s="45">
        <v>150</v>
      </c>
      <c r="I138" s="46">
        <v>0.66666666666666663</v>
      </c>
      <c r="J138" s="45">
        <v>25.781759999999998</v>
      </c>
      <c r="K138" s="45">
        <v>125.78175999999999</v>
      </c>
      <c r="L138" s="45">
        <v>50</v>
      </c>
      <c r="M138" s="45">
        <v>175.78175999999999</v>
      </c>
      <c r="N138" s="45">
        <v>732.23585751533005</v>
      </c>
      <c r="O138" s="47">
        <v>0.82</v>
      </c>
      <c r="P138" s="47">
        <v>4.0356654146487489</v>
      </c>
      <c r="Q138" s="310">
        <f t="shared" si="159"/>
        <v>4.0356654146487489</v>
      </c>
      <c r="R138" s="311">
        <f t="shared" si="167"/>
        <v>0</v>
      </c>
      <c r="S138" s="311">
        <f t="shared" si="160"/>
        <v>0</v>
      </c>
      <c r="T138" s="310">
        <f t="shared" si="161"/>
        <v>4.0356654146487489</v>
      </c>
      <c r="U138" s="316">
        <f t="shared" si="140"/>
        <v>0</v>
      </c>
      <c r="V138" s="48">
        <v>0.15611875682653162</v>
      </c>
      <c r="W138" s="49">
        <v>1.3675990025509042</v>
      </c>
      <c r="X138" s="224" t="s">
        <v>397</v>
      </c>
      <c r="Y138" s="224" t="s">
        <v>515</v>
      </c>
      <c r="Z138" s="246" t="s">
        <v>380</v>
      </c>
      <c r="AA138" s="246"/>
      <c r="AB138" s="386">
        <v>0</v>
      </c>
      <c r="AC138" s="387">
        <v>0</v>
      </c>
      <c r="AD138" s="337">
        <f t="shared" ref="AD138:AD143" si="174">AC138*0.01</f>
        <v>0</v>
      </c>
      <c r="AE138" s="337">
        <f t="shared" si="162"/>
        <v>0</v>
      </c>
      <c r="AF138" s="337">
        <f t="shared" ref="AF138:AF143" si="175">AD138*0</f>
        <v>0</v>
      </c>
      <c r="AG138" s="337">
        <f t="shared" ref="AG138:AG143" si="176">AE138*0</f>
        <v>0</v>
      </c>
      <c r="AH138" s="337">
        <f t="shared" ref="AH138:AH143" si="177">AF138*0</f>
        <v>0</v>
      </c>
      <c r="AI138" s="337">
        <f t="shared" ref="AI138:AI143" si="178">AC138*0.99</f>
        <v>0</v>
      </c>
      <c r="AJ138" s="337" t="s">
        <v>40</v>
      </c>
      <c r="AK138" s="337">
        <f t="shared" ref="AK138:AK143" si="179">AH138*0</f>
        <v>0</v>
      </c>
      <c r="AL138" s="337">
        <f t="shared" ref="AL138:AL143" si="180">AI138*0</f>
        <v>0</v>
      </c>
      <c r="AM138" s="337">
        <f t="shared" ref="AM138:AM143" si="181">AK138*0</f>
        <v>0</v>
      </c>
      <c r="AN138" s="337">
        <f t="shared" si="163"/>
        <v>0</v>
      </c>
      <c r="AO138" s="294" t="s">
        <v>610</v>
      </c>
      <c r="AP138" s="282" t="s">
        <v>454</v>
      </c>
      <c r="AQ138" s="136"/>
      <c r="AR138" s="294" t="s">
        <v>596</v>
      </c>
      <c r="AS138" s="142"/>
      <c r="AT138" s="142"/>
      <c r="AU138" s="146"/>
      <c r="AV138" s="48"/>
      <c r="AW138" s="131" t="s">
        <v>284</v>
      </c>
      <c r="AX138" s="131"/>
      <c r="AY138" s="131"/>
      <c r="AZ138" s="48"/>
      <c r="BA138" s="48"/>
      <c r="BB138" s="50"/>
      <c r="BC138" s="51" t="s">
        <v>97</v>
      </c>
      <c r="BD138" s="52">
        <v>0.53093962024280705</v>
      </c>
      <c r="BE138" s="53">
        <v>4.6510266275411407</v>
      </c>
      <c r="BF138" s="54">
        <v>0.53093962024280705</v>
      </c>
      <c r="BG138" s="53">
        <v>4.6510266275411407</v>
      </c>
      <c r="BH138" s="450">
        <v>4227.048544017749</v>
      </c>
      <c r="BI138" s="347">
        <f t="shared" si="164"/>
        <v>0</v>
      </c>
      <c r="BJ138" s="347">
        <f t="shared" si="168"/>
        <v>4227.048544017749</v>
      </c>
      <c r="BK138" s="45">
        <v>1047.4229426142003</v>
      </c>
      <c r="BL138" s="47">
        <v>7.0399956460671014</v>
      </c>
      <c r="BM138" s="45">
        <v>3179.6256014035489</v>
      </c>
      <c r="BN138" s="55">
        <v>4.0356654146487481</v>
      </c>
      <c r="BO138" s="47">
        <f t="shared" si="169"/>
        <v>4.0356654146487481</v>
      </c>
      <c r="BP138" s="45">
        <v>885.50304275465714</v>
      </c>
      <c r="BQ138" s="55">
        <v>4.7736126697747787</v>
      </c>
      <c r="BR138" s="54">
        <v>0.50828803416715573</v>
      </c>
      <c r="BS138" s="53">
        <v>4.4525989231899104</v>
      </c>
      <c r="BT138" s="54">
        <v>1.0392276544099628</v>
      </c>
      <c r="BU138" s="53">
        <v>9.1036255507310511</v>
      </c>
      <c r="BV138" s="450">
        <v>4276.7135636734301</v>
      </c>
      <c r="BW138" s="347">
        <f t="shared" si="165"/>
        <v>0</v>
      </c>
      <c r="BX138" s="347">
        <f t="shared" si="170"/>
        <v>4276.7135636734301</v>
      </c>
      <c r="BY138" s="45">
        <v>1002.7365224683704</v>
      </c>
      <c r="BZ138" s="47">
        <v>6.7396468657742092</v>
      </c>
      <c r="CA138" s="45">
        <v>3273.9770412050598</v>
      </c>
      <c r="CB138" s="55">
        <v>4.2650421799195328</v>
      </c>
      <c r="CC138" s="47">
        <f t="shared" si="171"/>
        <v>4.2650421799195328</v>
      </c>
      <c r="CD138" s="45">
        <v>847.72464455556383</v>
      </c>
      <c r="CE138" s="55">
        <v>5.0449324449162152</v>
      </c>
      <c r="CF138" s="52">
        <v>0.55566570933769965</v>
      </c>
      <c r="CG138" s="53">
        <v>4.8676269609702194</v>
      </c>
      <c r="CH138" s="54">
        <v>1.5948933637476623</v>
      </c>
      <c r="CI138" s="53">
        <v>13.97125251170127</v>
      </c>
      <c r="CJ138" s="450">
        <v>4963.4790758865256</v>
      </c>
      <c r="CK138" s="347">
        <f t="shared" si="166"/>
        <v>0</v>
      </c>
      <c r="CL138" s="347">
        <f t="shared" si="172"/>
        <v>4963.4790758865256</v>
      </c>
      <c r="CM138" s="45">
        <v>1096.2018847230402</v>
      </c>
      <c r="CN138" s="47">
        <v>7.3678513059869735</v>
      </c>
      <c r="CO138" s="45">
        <v>3867.2771911634854</v>
      </c>
      <c r="CP138" s="55">
        <v>4.5278877413539282</v>
      </c>
      <c r="CQ138" s="47">
        <f t="shared" si="173"/>
        <v>4.5278877413539282</v>
      </c>
      <c r="CR138" s="45">
        <v>926.74130468534008</v>
      </c>
      <c r="CS138" s="55">
        <v>5.3558409998481658</v>
      </c>
    </row>
    <row r="139" spans="1:97" s="23" customFormat="1" ht="15" customHeight="1">
      <c r="A139" s="377" t="str">
        <f t="shared" si="158"/>
        <v>BNI - Efficient Product Rebates; Single Heat Pad; COM-Other; Other Commercial</v>
      </c>
      <c r="B139" s="42" t="s">
        <v>98</v>
      </c>
      <c r="C139" s="15" t="s">
        <v>29</v>
      </c>
      <c r="D139" s="15" t="s">
        <v>56</v>
      </c>
      <c r="E139" s="43">
        <v>15</v>
      </c>
      <c r="F139" s="44">
        <v>733.50450000000001</v>
      </c>
      <c r="G139" s="44">
        <v>83.733470449357299</v>
      </c>
      <c r="H139" s="45">
        <v>100</v>
      </c>
      <c r="I139" s="46">
        <v>0.6</v>
      </c>
      <c r="J139" s="45">
        <v>23.472144</v>
      </c>
      <c r="K139" s="45">
        <v>83.472144</v>
      </c>
      <c r="L139" s="45">
        <v>40</v>
      </c>
      <c r="M139" s="45">
        <v>123.472144</v>
      </c>
      <c r="N139" s="45">
        <v>666.63972861291506</v>
      </c>
      <c r="O139" s="47">
        <v>0.82</v>
      </c>
      <c r="P139" s="47">
        <v>5.1828336538090118</v>
      </c>
      <c r="Q139" s="310">
        <f t="shared" si="159"/>
        <v>5.1828336538090118</v>
      </c>
      <c r="R139" s="311">
        <f t="shared" si="167"/>
        <v>0</v>
      </c>
      <c r="S139" s="311">
        <f t="shared" si="160"/>
        <v>0</v>
      </c>
      <c r="T139" s="310">
        <f t="shared" si="161"/>
        <v>5.1828336538090118</v>
      </c>
      <c r="U139" s="316">
        <f t="shared" si="140"/>
        <v>0</v>
      </c>
      <c r="V139" s="48">
        <v>0.11379908916714213</v>
      </c>
      <c r="W139" s="49">
        <v>0.99687906821543537</v>
      </c>
      <c r="X139" s="224" t="s">
        <v>397</v>
      </c>
      <c r="Y139" s="224" t="s">
        <v>515</v>
      </c>
      <c r="Z139" s="246" t="s">
        <v>380</v>
      </c>
      <c r="AA139" s="246"/>
      <c r="AB139" s="386">
        <v>0</v>
      </c>
      <c r="AC139" s="387">
        <v>0</v>
      </c>
      <c r="AD139" s="337">
        <f t="shared" si="174"/>
        <v>0</v>
      </c>
      <c r="AE139" s="337">
        <f t="shared" si="162"/>
        <v>0</v>
      </c>
      <c r="AF139" s="337">
        <f t="shared" si="175"/>
        <v>0</v>
      </c>
      <c r="AG139" s="337">
        <f t="shared" si="176"/>
        <v>0</v>
      </c>
      <c r="AH139" s="337">
        <f t="shared" si="177"/>
        <v>0</v>
      </c>
      <c r="AI139" s="337">
        <f t="shared" si="178"/>
        <v>0</v>
      </c>
      <c r="AJ139" s="337" t="s">
        <v>40</v>
      </c>
      <c r="AK139" s="337">
        <f t="shared" si="179"/>
        <v>0</v>
      </c>
      <c r="AL139" s="337">
        <f t="shared" si="180"/>
        <v>0</v>
      </c>
      <c r="AM139" s="337">
        <f t="shared" si="181"/>
        <v>0</v>
      </c>
      <c r="AN139" s="337">
        <f t="shared" si="163"/>
        <v>0</v>
      </c>
      <c r="AO139" s="294" t="s">
        <v>610</v>
      </c>
      <c r="AP139" s="282" t="s">
        <v>453</v>
      </c>
      <c r="AQ139" s="136"/>
      <c r="AR139" s="294" t="s">
        <v>596</v>
      </c>
      <c r="AS139" s="142"/>
      <c r="AT139" s="142"/>
      <c r="AU139" s="146"/>
      <c r="AV139" s="48"/>
      <c r="AW139" s="131" t="s">
        <v>284</v>
      </c>
      <c r="AX139" s="131"/>
      <c r="AY139" s="131"/>
      <c r="AZ139" s="48"/>
      <c r="BA139" s="48"/>
      <c r="BB139" s="50"/>
      <c r="BC139" s="51" t="s">
        <v>98</v>
      </c>
      <c r="BD139" s="52">
        <v>0.48280740836616731</v>
      </c>
      <c r="BE139" s="53">
        <v>4.229388854533493</v>
      </c>
      <c r="BF139" s="54">
        <v>0.48280740836616731</v>
      </c>
      <c r="BG139" s="53">
        <v>4.229388854533493</v>
      </c>
      <c r="BH139" s="450">
        <v>3843.846408828706</v>
      </c>
      <c r="BI139" s="347">
        <f t="shared" si="164"/>
        <v>0</v>
      </c>
      <c r="BJ139" s="347">
        <f t="shared" si="168"/>
        <v>3843.846408828706</v>
      </c>
      <c r="BK139" s="45">
        <v>741.64958121003042</v>
      </c>
      <c r="BL139" s="47">
        <v>7.0317104885061443</v>
      </c>
      <c r="BM139" s="45">
        <v>3102.1968276186753</v>
      </c>
      <c r="BN139" s="55">
        <v>5.1828336538090127</v>
      </c>
      <c r="BO139" s="47">
        <f t="shared" si="169"/>
        <v>5.1828336538090127</v>
      </c>
      <c r="BP139" s="45">
        <v>586.95195046289518</v>
      </c>
      <c r="BQ139" s="55">
        <v>6.5488263661059234</v>
      </c>
      <c r="BR139" s="54">
        <v>0.46141330303918815</v>
      </c>
      <c r="BS139" s="53">
        <v>4.0419766710112031</v>
      </c>
      <c r="BT139" s="54">
        <v>0.94422071140535535</v>
      </c>
      <c r="BU139" s="53">
        <v>8.2713655255446952</v>
      </c>
      <c r="BV139" s="450">
        <v>3882.3116007450681</v>
      </c>
      <c r="BW139" s="347">
        <f t="shared" si="165"/>
        <v>0</v>
      </c>
      <c r="BX139" s="347">
        <f t="shared" si="170"/>
        <v>3882.3116007450681</v>
      </c>
      <c r="BY139" s="45">
        <v>708.78569183888033</v>
      </c>
      <c r="BZ139" s="47">
        <v>6.7201221569827982</v>
      </c>
      <c r="CA139" s="45">
        <v>3173.5259089061879</v>
      </c>
      <c r="CB139" s="55">
        <v>5.4774124893418232</v>
      </c>
      <c r="CC139" s="47">
        <f t="shared" si="171"/>
        <v>5.4774124893418232</v>
      </c>
      <c r="CD139" s="45">
        <v>560.94300438525875</v>
      </c>
      <c r="CE139" s="55">
        <v>6.9210446879531364</v>
      </c>
      <c r="CF139" s="52">
        <v>0.50332086595242098</v>
      </c>
      <c r="CG139" s="53">
        <v>4.4090865712210698</v>
      </c>
      <c r="CH139" s="54">
        <v>1.4475415773577764</v>
      </c>
      <c r="CI139" s="53">
        <v>12.680452096765766</v>
      </c>
      <c r="CJ139" s="450">
        <v>4495.9092213726308</v>
      </c>
      <c r="CK139" s="347">
        <f t="shared" si="166"/>
        <v>0</v>
      </c>
      <c r="CL139" s="347">
        <f t="shared" si="172"/>
        <v>4495.9092213726308</v>
      </c>
      <c r="CM139" s="45">
        <v>773.16069094941622</v>
      </c>
      <c r="CN139" s="47">
        <v>7.3304728777431141</v>
      </c>
      <c r="CO139" s="45">
        <v>3722.7485304232146</v>
      </c>
      <c r="CP139" s="55">
        <v>5.8149738780069127</v>
      </c>
      <c r="CQ139" s="47">
        <f t="shared" si="173"/>
        <v>5.8149738780069127</v>
      </c>
      <c r="CR139" s="45">
        <v>611.89028763906754</v>
      </c>
      <c r="CS139" s="55">
        <v>7.3475740867202797</v>
      </c>
    </row>
    <row r="140" spans="1:97" s="23" customFormat="1" ht="15" customHeight="1">
      <c r="A140" s="377" t="str">
        <f t="shared" si="158"/>
        <v>BNI - Efficient Product Rebates; Double Heat Pad; COM-Other; Other Commercial</v>
      </c>
      <c r="B140" s="42" t="s">
        <v>99</v>
      </c>
      <c r="C140" s="15" t="s">
        <v>29</v>
      </c>
      <c r="D140" s="15" t="s">
        <v>56</v>
      </c>
      <c r="E140" s="43">
        <v>15</v>
      </c>
      <c r="F140" s="44">
        <v>764.38890000000004</v>
      </c>
      <c r="G140" s="44">
        <v>87.259090257751296</v>
      </c>
      <c r="H140" s="45">
        <v>150</v>
      </c>
      <c r="I140" s="46">
        <v>0.8</v>
      </c>
      <c r="J140" s="45">
        <v>24.460444800000001</v>
      </c>
      <c r="K140" s="45">
        <v>144.4604448</v>
      </c>
      <c r="L140" s="45">
        <v>30</v>
      </c>
      <c r="M140" s="45">
        <v>174.4604448</v>
      </c>
      <c r="N140" s="45">
        <v>694.70876981766946</v>
      </c>
      <c r="O140" s="47">
        <v>0.82</v>
      </c>
      <c r="P140" s="47">
        <v>3.8631457542605285</v>
      </c>
      <c r="Q140" s="310">
        <f t="shared" si="159"/>
        <v>3.8631457542605285</v>
      </c>
      <c r="R140" s="311">
        <f t="shared" si="167"/>
        <v>0</v>
      </c>
      <c r="S140" s="311">
        <f t="shared" si="160"/>
        <v>0</v>
      </c>
      <c r="T140" s="310">
        <f t="shared" si="161"/>
        <v>3.8631457542605285</v>
      </c>
      <c r="U140" s="316">
        <f t="shared" si="140"/>
        <v>0</v>
      </c>
      <c r="V140" s="48">
        <v>0.18898815092683841</v>
      </c>
      <c r="W140" s="49">
        <v>1.6555346196400147</v>
      </c>
      <c r="X140" s="224" t="s">
        <v>397</v>
      </c>
      <c r="Y140" s="224" t="s">
        <v>515</v>
      </c>
      <c r="Z140" s="246" t="s">
        <v>380</v>
      </c>
      <c r="AA140" s="246"/>
      <c r="AB140" s="386">
        <v>0</v>
      </c>
      <c r="AC140" s="387">
        <v>0</v>
      </c>
      <c r="AD140" s="337">
        <f t="shared" si="174"/>
        <v>0</v>
      </c>
      <c r="AE140" s="337">
        <f t="shared" si="162"/>
        <v>0</v>
      </c>
      <c r="AF140" s="337">
        <f t="shared" si="175"/>
        <v>0</v>
      </c>
      <c r="AG140" s="337">
        <f t="shared" si="176"/>
        <v>0</v>
      </c>
      <c r="AH140" s="337">
        <f t="shared" si="177"/>
        <v>0</v>
      </c>
      <c r="AI140" s="337">
        <f t="shared" si="178"/>
        <v>0</v>
      </c>
      <c r="AJ140" s="337" t="s">
        <v>40</v>
      </c>
      <c r="AK140" s="337">
        <f t="shared" si="179"/>
        <v>0</v>
      </c>
      <c r="AL140" s="337">
        <f t="shared" si="180"/>
        <v>0</v>
      </c>
      <c r="AM140" s="337">
        <f t="shared" si="181"/>
        <v>0</v>
      </c>
      <c r="AN140" s="337">
        <f t="shared" si="163"/>
        <v>0</v>
      </c>
      <c r="AO140" s="294" t="s">
        <v>610</v>
      </c>
      <c r="AP140" s="282" t="s">
        <v>453</v>
      </c>
      <c r="AQ140" s="136"/>
      <c r="AR140" s="294" t="s">
        <v>596</v>
      </c>
      <c r="AS140" s="142"/>
      <c r="AT140" s="142"/>
      <c r="AU140" s="146"/>
      <c r="AV140" s="48"/>
      <c r="AW140" s="131" t="s">
        <v>284</v>
      </c>
      <c r="AX140" s="131"/>
      <c r="AY140" s="131"/>
      <c r="AZ140" s="48"/>
      <c r="BA140" s="48"/>
      <c r="BB140" s="50"/>
      <c r="BC140" s="51" t="s">
        <v>99</v>
      </c>
      <c r="BD140" s="52">
        <v>0.50059263799843701</v>
      </c>
      <c r="BE140" s="53">
        <v>4.3851873171887972</v>
      </c>
      <c r="BF140" s="54">
        <v>0.50059263799843701</v>
      </c>
      <c r="BG140" s="53">
        <v>4.3851873171887972</v>
      </c>
      <c r="BH140" s="450">
        <v>3985.4426019847688</v>
      </c>
      <c r="BI140" s="347">
        <f t="shared" si="164"/>
        <v>0</v>
      </c>
      <c r="BJ140" s="347">
        <f t="shared" si="168"/>
        <v>3985.4426019847688</v>
      </c>
      <c r="BK140" s="45">
        <v>1031.6573216502027</v>
      </c>
      <c r="BL140" s="47">
        <v>6.9961630934277697</v>
      </c>
      <c r="BM140" s="45">
        <v>2953.7852803345659</v>
      </c>
      <c r="BN140" s="55">
        <v>3.8631457542605285</v>
      </c>
      <c r="BO140" s="47">
        <f t="shared" si="169"/>
        <v>3.8631457542605285</v>
      </c>
      <c r="BP140" s="45">
        <v>1010.6688323699196</v>
      </c>
      <c r="BQ140" s="55">
        <v>3.9433714331917167</v>
      </c>
      <c r="BR140" s="54">
        <v>0.47577484904758144</v>
      </c>
      <c r="BS140" s="53">
        <v>4.1677836937893256</v>
      </c>
      <c r="BT140" s="54">
        <v>0.9763674870460185</v>
      </c>
      <c r="BU140" s="53">
        <v>8.5529710109781227</v>
      </c>
      <c r="BV140" s="450">
        <v>4003.1490285040254</v>
      </c>
      <c r="BW140" s="347">
        <f t="shared" si="165"/>
        <v>0</v>
      </c>
      <c r="BX140" s="347">
        <f t="shared" si="170"/>
        <v>4003.1490285040254</v>
      </c>
      <c r="BY140" s="45">
        <v>980.51103675737613</v>
      </c>
      <c r="BZ140" s="47">
        <v>6.6493156051932392</v>
      </c>
      <c r="CA140" s="45">
        <v>3022.6379917466493</v>
      </c>
      <c r="CB140" s="55">
        <v>4.0827169490541797</v>
      </c>
      <c r="CC140" s="47">
        <f t="shared" si="171"/>
        <v>4.0827169490541797</v>
      </c>
      <c r="CD140" s="45">
        <v>960.56308994179653</v>
      </c>
      <c r="CE140" s="55">
        <v>4.1675024477013674</v>
      </c>
      <c r="CF140" s="52">
        <v>0.51629742540102541</v>
      </c>
      <c r="CG140" s="53">
        <v>4.52276112333253</v>
      </c>
      <c r="CH140" s="54">
        <v>1.4926649124470439</v>
      </c>
      <c r="CI140" s="53">
        <v>13.075732134310652</v>
      </c>
      <c r="CJ140" s="450">
        <v>4611.8222248525735</v>
      </c>
      <c r="CK140" s="347">
        <f t="shared" si="166"/>
        <v>0</v>
      </c>
      <c r="CL140" s="347">
        <f t="shared" si="172"/>
        <v>4611.8222248525735</v>
      </c>
      <c r="CM140" s="45">
        <v>1064.0228773515846</v>
      </c>
      <c r="CN140" s="47">
        <v>7.2156494495504511</v>
      </c>
      <c r="CO140" s="45">
        <v>3547.7993475009889</v>
      </c>
      <c r="CP140" s="55">
        <v>4.3343261907410016</v>
      </c>
      <c r="CQ140" s="47">
        <f t="shared" si="173"/>
        <v>4.3343261907410016</v>
      </c>
      <c r="CR140" s="45">
        <v>1042.3759290029334</v>
      </c>
      <c r="CS140" s="55">
        <v>4.4243368409935675</v>
      </c>
    </row>
    <row r="141" spans="1:97" s="23" customFormat="1" ht="15" customHeight="1">
      <c r="A141" s="377" t="str">
        <f t="shared" si="158"/>
        <v>BNI - Efficient Product Rebates; Dairy Scroll Compressor; COM-Other; Other Commercial</v>
      </c>
      <c r="B141" s="42" t="s">
        <v>100</v>
      </c>
      <c r="C141" s="15" t="s">
        <v>29</v>
      </c>
      <c r="D141" s="15" t="s">
        <v>56</v>
      </c>
      <c r="E141" s="43">
        <v>15</v>
      </c>
      <c r="F141" s="44">
        <v>406.197</v>
      </c>
      <c r="G141" s="44">
        <v>46.369564871268807</v>
      </c>
      <c r="H141" s="45">
        <v>350</v>
      </c>
      <c r="I141" s="46">
        <v>0.14285714285714285</v>
      </c>
      <c r="J141" s="45">
        <v>12.998304000000001</v>
      </c>
      <c r="K141" s="45">
        <v>62.998304000000005</v>
      </c>
      <c r="L141" s="45">
        <v>300</v>
      </c>
      <c r="M141" s="45">
        <v>362.99830400000002</v>
      </c>
      <c r="N141" s="45">
        <v>369.16891149731225</v>
      </c>
      <c r="O141" s="47">
        <v>0.82</v>
      </c>
      <c r="P141" s="47">
        <v>1.0090673960203322</v>
      </c>
      <c r="Q141" s="310">
        <f t="shared" si="159"/>
        <v>1.0090673960203322</v>
      </c>
      <c r="R141" s="311">
        <f t="shared" si="167"/>
        <v>0</v>
      </c>
      <c r="S141" s="311">
        <f t="shared" si="160"/>
        <v>0</v>
      </c>
      <c r="T141" s="310">
        <f t="shared" si="161"/>
        <v>1.0090673960203322</v>
      </c>
      <c r="U141" s="316">
        <f t="shared" si="140"/>
        <v>0</v>
      </c>
      <c r="V141" s="48">
        <v>0.15509298197672558</v>
      </c>
      <c r="W141" s="49">
        <v>1.3586132234558574</v>
      </c>
      <c r="X141" s="224" t="s">
        <v>397</v>
      </c>
      <c r="Y141" s="224" t="s">
        <v>515</v>
      </c>
      <c r="Z141" s="246" t="s">
        <v>380</v>
      </c>
      <c r="AA141" s="246"/>
      <c r="AB141" s="386">
        <v>0</v>
      </c>
      <c r="AC141" s="387">
        <v>0</v>
      </c>
      <c r="AD141" s="337">
        <f t="shared" si="174"/>
        <v>0</v>
      </c>
      <c r="AE141" s="337">
        <f t="shared" si="162"/>
        <v>0</v>
      </c>
      <c r="AF141" s="337">
        <f t="shared" si="175"/>
        <v>0</v>
      </c>
      <c r="AG141" s="337">
        <f t="shared" si="176"/>
        <v>0</v>
      </c>
      <c r="AH141" s="337">
        <f t="shared" si="177"/>
        <v>0</v>
      </c>
      <c r="AI141" s="337">
        <f t="shared" si="178"/>
        <v>0</v>
      </c>
      <c r="AJ141" s="337" t="s">
        <v>40</v>
      </c>
      <c r="AK141" s="337">
        <f t="shared" si="179"/>
        <v>0</v>
      </c>
      <c r="AL141" s="337">
        <f t="shared" si="180"/>
        <v>0</v>
      </c>
      <c r="AM141" s="337">
        <f t="shared" si="181"/>
        <v>0</v>
      </c>
      <c r="AN141" s="337">
        <f t="shared" si="163"/>
        <v>0</v>
      </c>
      <c r="AO141" s="294" t="s">
        <v>610</v>
      </c>
      <c r="AP141" s="282" t="s">
        <v>453</v>
      </c>
      <c r="AQ141" s="136"/>
      <c r="AR141" s="294" t="s">
        <v>596</v>
      </c>
      <c r="AS141" s="142"/>
      <c r="AT141" s="142"/>
      <c r="AU141" s="146"/>
      <c r="AV141" s="48"/>
      <c r="AW141" s="131" t="s">
        <v>284</v>
      </c>
      <c r="AX141" s="131"/>
      <c r="AY141" s="131"/>
      <c r="AZ141" s="48"/>
      <c r="BA141" s="48"/>
      <c r="BB141" s="50"/>
      <c r="BC141" s="51" t="s">
        <v>100</v>
      </c>
      <c r="BD141" s="52">
        <v>0.47279682185799282</v>
      </c>
      <c r="BE141" s="53">
        <v>4.1416962005448319</v>
      </c>
      <c r="BF141" s="54">
        <v>0.47279682185799282</v>
      </c>
      <c r="BG141" s="53">
        <v>4.1416962005448319</v>
      </c>
      <c r="BH141" s="450">
        <v>3764.147637987699</v>
      </c>
      <c r="BI141" s="347">
        <f t="shared" si="164"/>
        <v>0</v>
      </c>
      <c r="BJ141" s="347">
        <f t="shared" si="168"/>
        <v>3764.147637987699</v>
      </c>
      <c r="BK141" s="45">
        <v>3730.3233191689146</v>
      </c>
      <c r="BL141" s="47">
        <v>12.434481360164337</v>
      </c>
      <c r="BM141" s="45">
        <v>33.824318818784377</v>
      </c>
      <c r="BN141" s="55">
        <v>1.0090673960203322</v>
      </c>
      <c r="BO141" s="47">
        <f t="shared" si="169"/>
        <v>1.0090673960203322</v>
      </c>
      <c r="BP141" s="45">
        <v>783.35123680996639</v>
      </c>
      <c r="BQ141" s="55">
        <v>4.8051850320890548</v>
      </c>
      <c r="BR141" s="54">
        <v>0.43266521962267568</v>
      </c>
      <c r="BS141" s="53">
        <v>3.7901437010026235</v>
      </c>
      <c r="BT141" s="54">
        <v>0.90546204148066844</v>
      </c>
      <c r="BU141" s="53">
        <v>7.9318399015474554</v>
      </c>
      <c r="BV141" s="450">
        <v>3640.4264686693814</v>
      </c>
      <c r="BW141" s="347">
        <f t="shared" si="165"/>
        <v>0</v>
      </c>
      <c r="BX141" s="347">
        <f t="shared" si="170"/>
        <v>3640.4264686693814</v>
      </c>
      <c r="BY141" s="45">
        <v>3413.6886788054062</v>
      </c>
      <c r="BZ141" s="47">
        <v>11.379026592115022</v>
      </c>
      <c r="CA141" s="45">
        <v>226.73778986397519</v>
      </c>
      <c r="CB141" s="55">
        <v>1.0664201721942963</v>
      </c>
      <c r="CC141" s="47">
        <f t="shared" si="171"/>
        <v>1.0664201721942963</v>
      </c>
      <c r="CD141" s="45">
        <v>716.85937647414619</v>
      </c>
      <c r="CE141" s="55">
        <v>5.0782992984966207</v>
      </c>
      <c r="CF141" s="52">
        <v>0.48416793024945842</v>
      </c>
      <c r="CG141" s="53">
        <v>4.2413070148388883</v>
      </c>
      <c r="CH141" s="54">
        <v>1.3896299717301268</v>
      </c>
      <c r="CI141" s="53">
        <v>12.173146916386344</v>
      </c>
      <c r="CJ141" s="450">
        <v>4324.8257911628325</v>
      </c>
      <c r="CK141" s="347">
        <f t="shared" si="166"/>
        <v>0</v>
      </c>
      <c r="CL141" s="347">
        <f t="shared" si="172"/>
        <v>4324.8257911628325</v>
      </c>
      <c r="CM141" s="45">
        <v>3820.0403156385346</v>
      </c>
      <c r="CN141" s="47">
        <v>12.733539705739584</v>
      </c>
      <c r="CO141" s="45">
        <v>504.78547552429791</v>
      </c>
      <c r="CP141" s="55">
        <v>1.132141400041722</v>
      </c>
      <c r="CQ141" s="47">
        <f t="shared" si="173"/>
        <v>1.132141400041722</v>
      </c>
      <c r="CR141" s="45">
        <v>802.19140537825285</v>
      </c>
      <c r="CS141" s="55">
        <v>5.3912641822977045</v>
      </c>
    </row>
    <row r="142" spans="1:97" s="23" customFormat="1" ht="15" customHeight="1">
      <c r="A142" s="377" t="str">
        <f t="shared" si="158"/>
        <v>BNI - Efficient Product Rebates; Heat Reclaimer Unit; COM-Other; Other Commercial</v>
      </c>
      <c r="B142" s="42" t="s">
        <v>101</v>
      </c>
      <c r="C142" s="15" t="s">
        <v>29</v>
      </c>
      <c r="D142" s="15" t="s">
        <v>56</v>
      </c>
      <c r="E142" s="43">
        <v>15</v>
      </c>
      <c r="F142" s="44">
        <v>158.22660000000002</v>
      </c>
      <c r="G142" s="44">
        <v>18.062414525612699</v>
      </c>
      <c r="H142" s="45">
        <v>35</v>
      </c>
      <c r="I142" s="46">
        <v>0.42857142857142855</v>
      </c>
      <c r="J142" s="45">
        <v>5.0632512000000007</v>
      </c>
      <c r="K142" s="45">
        <v>20.0632512</v>
      </c>
      <c r="L142" s="45">
        <v>20</v>
      </c>
      <c r="M142" s="45">
        <v>40.063251199999996</v>
      </c>
      <c r="N142" s="45">
        <v>143.80298646203846</v>
      </c>
      <c r="O142" s="47">
        <v>0.82</v>
      </c>
      <c r="P142" s="47">
        <v>3.4925087101467152</v>
      </c>
      <c r="Q142" s="310">
        <f t="shared" si="159"/>
        <v>3.4925087101467152</v>
      </c>
      <c r="R142" s="311">
        <f t="shared" si="167"/>
        <v>0</v>
      </c>
      <c r="S142" s="311">
        <f t="shared" si="160"/>
        <v>0</v>
      </c>
      <c r="T142" s="310">
        <f t="shared" si="161"/>
        <v>3.4925087101467152</v>
      </c>
      <c r="U142" s="316">
        <f t="shared" si="140"/>
        <v>0</v>
      </c>
      <c r="V142" s="48">
        <v>0.12680074778829853</v>
      </c>
      <c r="W142" s="49">
        <v>1.1107734888682848</v>
      </c>
      <c r="X142" s="224" t="s">
        <v>397</v>
      </c>
      <c r="Y142" s="224" t="s">
        <v>515</v>
      </c>
      <c r="Z142" s="246" t="s">
        <v>380</v>
      </c>
      <c r="AA142" s="246"/>
      <c r="AB142" s="386">
        <v>0</v>
      </c>
      <c r="AC142" s="387">
        <v>0</v>
      </c>
      <c r="AD142" s="337">
        <f t="shared" si="174"/>
        <v>0</v>
      </c>
      <c r="AE142" s="337">
        <f t="shared" si="162"/>
        <v>0</v>
      </c>
      <c r="AF142" s="337">
        <f t="shared" si="175"/>
        <v>0</v>
      </c>
      <c r="AG142" s="337">
        <f t="shared" si="176"/>
        <v>0</v>
      </c>
      <c r="AH142" s="337">
        <f t="shared" si="177"/>
        <v>0</v>
      </c>
      <c r="AI142" s="337">
        <f t="shared" si="178"/>
        <v>0</v>
      </c>
      <c r="AJ142" s="337" t="s">
        <v>40</v>
      </c>
      <c r="AK142" s="337">
        <f t="shared" si="179"/>
        <v>0</v>
      </c>
      <c r="AL142" s="337">
        <f t="shared" si="180"/>
        <v>0</v>
      </c>
      <c r="AM142" s="337">
        <f t="shared" si="181"/>
        <v>0</v>
      </c>
      <c r="AN142" s="337">
        <f t="shared" si="163"/>
        <v>0</v>
      </c>
      <c r="AO142" s="294" t="s">
        <v>610</v>
      </c>
      <c r="AP142" s="282" t="s">
        <v>453</v>
      </c>
      <c r="AQ142" s="136"/>
      <c r="AR142" s="294" t="s">
        <v>596</v>
      </c>
      <c r="AS142" s="142"/>
      <c r="AT142" s="142"/>
      <c r="AU142" s="146"/>
      <c r="AV142" s="48"/>
      <c r="AW142" s="131" t="s">
        <v>284</v>
      </c>
      <c r="AX142" s="131"/>
      <c r="AY142" s="131"/>
      <c r="AZ142" s="48"/>
      <c r="BA142" s="48"/>
      <c r="BB142" s="50"/>
      <c r="BC142" s="51" t="s">
        <v>101</v>
      </c>
      <c r="BD142" s="52">
        <v>0.2128872381029501</v>
      </c>
      <c r="BE142" s="53">
        <v>1.8648904231854149</v>
      </c>
      <c r="BF142" s="54">
        <v>0.2128872381029501</v>
      </c>
      <c r="BG142" s="53">
        <v>1.8648904231854149</v>
      </c>
      <c r="BH142" s="450">
        <v>1694.8908228990408</v>
      </c>
      <c r="BI142" s="347">
        <f t="shared" si="164"/>
        <v>0</v>
      </c>
      <c r="BJ142" s="347">
        <f t="shared" si="168"/>
        <v>1694.8908228990408</v>
      </c>
      <c r="BK142" s="45">
        <v>485.29322717933633</v>
      </c>
      <c r="BL142" s="47">
        <v>14.373415175708445</v>
      </c>
      <c r="BM142" s="45">
        <v>1209.5975957197045</v>
      </c>
      <c r="BN142" s="55">
        <v>3.4925087101467152</v>
      </c>
      <c r="BO142" s="47">
        <f t="shared" si="169"/>
        <v>3.4925087101467152</v>
      </c>
      <c r="BP142" s="45">
        <v>288.37743927213069</v>
      </c>
      <c r="BQ142" s="55">
        <v>5.8773350203017705</v>
      </c>
      <c r="BR142" s="54">
        <v>0.20882802699725969</v>
      </c>
      <c r="BS142" s="53">
        <v>1.8293317678890877</v>
      </c>
      <c r="BT142" s="54">
        <v>0.42171526510020985</v>
      </c>
      <c r="BU142" s="53">
        <v>3.6942221910745028</v>
      </c>
      <c r="BV142" s="450">
        <v>1757.0699987020298</v>
      </c>
      <c r="BW142" s="347">
        <f t="shared" si="165"/>
        <v>0</v>
      </c>
      <c r="BX142" s="347">
        <f t="shared" si="170"/>
        <v>1757.0699987020298</v>
      </c>
      <c r="BY142" s="45">
        <v>476.03993574281498</v>
      </c>
      <c r="BZ142" s="47">
        <v>14.099351182827291</v>
      </c>
      <c r="CA142" s="45">
        <v>1281.0300629592148</v>
      </c>
      <c r="CB142" s="55">
        <v>3.6910138557184062</v>
      </c>
      <c r="CC142" s="47">
        <f t="shared" si="171"/>
        <v>3.6910138557184062</v>
      </c>
      <c r="CD142" s="45">
        <v>282.87882453808112</v>
      </c>
      <c r="CE142" s="55">
        <v>6.2113875139688766</v>
      </c>
      <c r="CF142" s="52">
        <v>0.23416854673095339</v>
      </c>
      <c r="CG142" s="53">
        <v>2.0513145085691713</v>
      </c>
      <c r="CH142" s="54">
        <v>0.65588381183116318</v>
      </c>
      <c r="CI142" s="53">
        <v>5.7455366996436741</v>
      </c>
      <c r="CJ142" s="450">
        <v>2091.7084901913099</v>
      </c>
      <c r="CK142" s="347">
        <f t="shared" si="166"/>
        <v>0</v>
      </c>
      <c r="CL142" s="347">
        <f t="shared" si="172"/>
        <v>2091.7084901913099</v>
      </c>
      <c r="CM142" s="45">
        <v>533.80564640518401</v>
      </c>
      <c r="CN142" s="47">
        <v>15.81025604563769</v>
      </c>
      <c r="CO142" s="45">
        <v>1557.9028437861259</v>
      </c>
      <c r="CP142" s="55">
        <v>3.9184832612347513</v>
      </c>
      <c r="CQ142" s="47">
        <f t="shared" si="173"/>
        <v>3.9184832612347513</v>
      </c>
      <c r="CR142" s="45">
        <v>317.20513857994763</v>
      </c>
      <c r="CS142" s="55">
        <v>6.5941822366289333</v>
      </c>
    </row>
    <row r="143" spans="1:97" s="23" customFormat="1" ht="15" customHeight="1" thickBot="1">
      <c r="A143" s="377" t="str">
        <f t="shared" si="158"/>
        <v>BNI - Efficient Product Rebates; VSD for Milk Vacuum Pump; COM-Other; Other Commercial</v>
      </c>
      <c r="B143" s="62" t="s">
        <v>102</v>
      </c>
      <c r="C143" s="16" t="s">
        <v>29</v>
      </c>
      <c r="D143" s="16" t="s">
        <v>56</v>
      </c>
      <c r="E143" s="63">
        <v>15</v>
      </c>
      <c r="F143" s="64">
        <v>2310.7350000000001</v>
      </c>
      <c r="G143" s="64">
        <v>263.78278638889827</v>
      </c>
      <c r="H143" s="65">
        <v>200</v>
      </c>
      <c r="I143" s="66">
        <v>0.57499999999999996</v>
      </c>
      <c r="J143" s="65">
        <v>73.943520000000007</v>
      </c>
      <c r="K143" s="65">
        <v>188.94351999999998</v>
      </c>
      <c r="L143" s="65">
        <v>85.000000000000014</v>
      </c>
      <c r="M143" s="65">
        <v>273.94351999999998</v>
      </c>
      <c r="N143" s="65">
        <v>2100.0931191238287</v>
      </c>
      <c r="O143" s="67">
        <v>0.82</v>
      </c>
      <c r="P143" s="67">
        <v>7.2373324462945643</v>
      </c>
      <c r="Q143" s="312">
        <f t="shared" si="159"/>
        <v>7.2373324462945643</v>
      </c>
      <c r="R143" s="313">
        <f t="shared" si="167"/>
        <v>0</v>
      </c>
      <c r="S143" s="313">
        <f t="shared" si="160"/>
        <v>0</v>
      </c>
      <c r="T143" s="312">
        <f t="shared" si="161"/>
        <v>7.2373324462945643</v>
      </c>
      <c r="U143" s="317">
        <f t="shared" si="140"/>
        <v>0</v>
      </c>
      <c r="V143" s="68">
        <v>8.176771460163107E-2</v>
      </c>
      <c r="W143" s="68">
        <v>0.7162844952340377</v>
      </c>
      <c r="X143" s="227" t="s">
        <v>397</v>
      </c>
      <c r="Y143" s="227" t="s">
        <v>515</v>
      </c>
      <c r="Z143" s="249" t="s">
        <v>380</v>
      </c>
      <c r="AA143" s="249"/>
      <c r="AB143" s="391">
        <v>0</v>
      </c>
      <c r="AC143" s="392">
        <v>0</v>
      </c>
      <c r="AD143" s="338">
        <f t="shared" si="174"/>
        <v>0</v>
      </c>
      <c r="AE143" s="338">
        <f t="shared" si="162"/>
        <v>0</v>
      </c>
      <c r="AF143" s="338">
        <f t="shared" si="175"/>
        <v>0</v>
      </c>
      <c r="AG143" s="338">
        <f t="shared" si="176"/>
        <v>0</v>
      </c>
      <c r="AH143" s="338">
        <f t="shared" si="177"/>
        <v>0</v>
      </c>
      <c r="AI143" s="338">
        <f t="shared" si="178"/>
        <v>0</v>
      </c>
      <c r="AJ143" s="338" t="s">
        <v>40</v>
      </c>
      <c r="AK143" s="338">
        <f t="shared" si="179"/>
        <v>0</v>
      </c>
      <c r="AL143" s="338">
        <f t="shared" si="180"/>
        <v>0</v>
      </c>
      <c r="AM143" s="338">
        <f t="shared" si="181"/>
        <v>0</v>
      </c>
      <c r="AN143" s="338">
        <f t="shared" si="163"/>
        <v>0</v>
      </c>
      <c r="AO143" s="324" t="s">
        <v>610</v>
      </c>
      <c r="AP143" s="296" t="s">
        <v>453</v>
      </c>
      <c r="AQ143" s="137"/>
      <c r="AR143" s="294" t="s">
        <v>596</v>
      </c>
      <c r="AS143" s="143"/>
      <c r="AT143" s="143"/>
      <c r="AU143" s="147"/>
      <c r="AV143" s="68"/>
      <c r="AW143" s="132" t="s">
        <v>284</v>
      </c>
      <c r="AX143" s="132"/>
      <c r="AY143" s="132"/>
      <c r="AZ143" s="68"/>
      <c r="BA143" s="48"/>
      <c r="BB143" s="50"/>
      <c r="BC143" s="51" t="s">
        <v>102</v>
      </c>
      <c r="BD143" s="52">
        <v>3.0163144878562616</v>
      </c>
      <c r="BE143" s="53">
        <v>26.422889656722035</v>
      </c>
      <c r="BF143" s="54">
        <v>3.0163144878562616</v>
      </c>
      <c r="BG143" s="53">
        <v>26.422889656722035</v>
      </c>
      <c r="BH143" s="450">
        <v>24014.233027781262</v>
      </c>
      <c r="BI143" s="347">
        <f t="shared" si="164"/>
        <v>0</v>
      </c>
      <c r="BJ143" s="347">
        <f t="shared" si="168"/>
        <v>24014.233027781262</v>
      </c>
      <c r="BK143" s="45">
        <v>3318.1055597461591</v>
      </c>
      <c r="BL143" s="47">
        <v>13.944929282991858</v>
      </c>
      <c r="BM143" s="45">
        <v>20696.127468035102</v>
      </c>
      <c r="BN143" s="55">
        <v>7.2373324462945634</v>
      </c>
      <c r="BO143" s="47">
        <f t="shared" si="169"/>
        <v>7.2373324462945634</v>
      </c>
      <c r="BP143" s="45">
        <v>2634.8040248795578</v>
      </c>
      <c r="BQ143" s="55">
        <v>9.1142387824760522</v>
      </c>
      <c r="BR143" s="54">
        <v>2.8532898536858382</v>
      </c>
      <c r="BS143" s="53">
        <v>24.994795226464522</v>
      </c>
      <c r="BT143" s="54">
        <v>5.8696043415420993</v>
      </c>
      <c r="BU143" s="53">
        <v>51.417684883186553</v>
      </c>
      <c r="BV143" s="450">
        <v>24007.457579331916</v>
      </c>
      <c r="BW143" s="347">
        <f t="shared" si="165"/>
        <v>0</v>
      </c>
      <c r="BX143" s="347">
        <f t="shared" si="170"/>
        <v>24007.457579331916</v>
      </c>
      <c r="BY143" s="45">
        <v>3138.7698349090206</v>
      </c>
      <c r="BZ143" s="47">
        <v>13.191238975152675</v>
      </c>
      <c r="CA143" s="45">
        <v>20868.687744422896</v>
      </c>
      <c r="CB143" s="55">
        <v>7.6486836697370606</v>
      </c>
      <c r="CC143" s="47">
        <f t="shared" si="171"/>
        <v>7.6486836697370606</v>
      </c>
      <c r="CD143" s="45">
        <v>2492.3991251265388</v>
      </c>
      <c r="CE143" s="55">
        <v>9.6322684987754759</v>
      </c>
      <c r="CF143" s="52">
        <v>3.0786556929767213</v>
      </c>
      <c r="CG143" s="53">
        <v>26.968998091567531</v>
      </c>
      <c r="CH143" s="54">
        <v>8.9482600345188192</v>
      </c>
      <c r="CI143" s="53">
        <v>78.386682974754081</v>
      </c>
      <c r="CJ143" s="450">
        <v>27500.064980007832</v>
      </c>
      <c r="CK143" s="347">
        <f t="shared" si="166"/>
        <v>0</v>
      </c>
      <c r="CL143" s="347">
        <f t="shared" si="172"/>
        <v>27500.064980007832</v>
      </c>
      <c r="CM143" s="45">
        <v>3386.6841844698984</v>
      </c>
      <c r="CN143" s="47">
        <v>14.233143161326259</v>
      </c>
      <c r="CO143" s="45">
        <v>24113.380795537934</v>
      </c>
      <c r="CP143" s="55">
        <v>8.1200559255312683</v>
      </c>
      <c r="CQ143" s="47">
        <f t="shared" si="173"/>
        <v>8.1200559255312683</v>
      </c>
      <c r="CR143" s="45">
        <v>2689.2601695649118</v>
      </c>
      <c r="CS143" s="55">
        <v>10.22588490739332</v>
      </c>
    </row>
    <row r="144" spans="1:97" s="23" customFormat="1" ht="15" customHeight="1" thickBot="1">
      <c r="A144" s="377"/>
      <c r="B144" s="70"/>
      <c r="C144" s="15"/>
      <c r="D144" s="15"/>
      <c r="E144" s="15"/>
      <c r="F144" s="70"/>
      <c r="G144" s="70"/>
      <c r="H144" s="48"/>
      <c r="I144" s="46"/>
      <c r="J144" s="45"/>
      <c r="K144" s="45"/>
      <c r="L144" s="45"/>
      <c r="M144" s="45"/>
      <c r="N144" s="45"/>
      <c r="O144" s="47"/>
      <c r="P144" s="71"/>
      <c r="Q144"/>
      <c r="R144"/>
      <c r="S144"/>
      <c r="T144"/>
      <c r="U144"/>
      <c r="V144" s="48"/>
      <c r="W144" s="48"/>
      <c r="X144" s="48"/>
      <c r="Y144" s="48" t="s">
        <v>515</v>
      </c>
      <c r="Z144" s="48"/>
      <c r="AA144" s="48"/>
      <c r="AB144" s="48"/>
      <c r="AC144" s="279"/>
      <c r="AD144" s="279"/>
      <c r="AE144" s="279"/>
      <c r="AF144" s="279"/>
      <c r="AG144" s="279"/>
      <c r="AH144" s="279"/>
      <c r="AI144" s="279"/>
      <c r="AJ144" s="279"/>
      <c r="AK144" s="279"/>
      <c r="AL144" s="279"/>
      <c r="AM144" s="279"/>
      <c r="AN144" s="279"/>
      <c r="AO144" s="279"/>
      <c r="AP144" s="48"/>
      <c r="AQ144" s="48"/>
      <c r="AR144" s="501"/>
      <c r="AS144" s="48"/>
      <c r="AT144" s="48"/>
      <c r="AU144" s="48"/>
      <c r="AV144" s="48"/>
      <c r="AW144" s="48"/>
      <c r="AX144" s="48"/>
      <c r="AY144" s="48"/>
      <c r="AZ144" s="48"/>
      <c r="BA144" s="48"/>
      <c r="BB144" s="50"/>
      <c r="BC144" s="72" t="s">
        <v>103</v>
      </c>
      <c r="BD144" s="73">
        <v>5336.6571658514049</v>
      </c>
      <c r="BE144" s="74">
        <v>34078.960791379453</v>
      </c>
      <c r="BF144" s="75">
        <v>5336.6571658514049</v>
      </c>
      <c r="BG144" s="74">
        <v>34078.960791379453</v>
      </c>
      <c r="BH144" s="428">
        <v>23758751.660846185</v>
      </c>
      <c r="BI144" s="348">
        <f>SUM(BI5:BI143)</f>
        <v>6076161.0589546561</v>
      </c>
      <c r="BJ144" s="430">
        <f t="shared" si="168"/>
        <v>29834912.719800841</v>
      </c>
      <c r="BK144" s="76">
        <v>11816821.388119688</v>
      </c>
      <c r="BL144" s="77"/>
      <c r="BM144" s="76">
        <v>11941930.272726487</v>
      </c>
      <c r="BN144" s="78">
        <v>2.0105873551353319</v>
      </c>
      <c r="BO144" s="77"/>
      <c r="BP144" s="76">
        <v>6712360.5611687312</v>
      </c>
      <c r="BQ144" s="78">
        <v>3.5395523593132787</v>
      </c>
      <c r="BR144" s="75">
        <v>5372.5061003623878</v>
      </c>
      <c r="BS144" s="74">
        <v>33586.597896778534</v>
      </c>
      <c r="BT144" s="75">
        <v>10709.163266213796</v>
      </c>
      <c r="BU144" s="74">
        <v>67665.558688158024</v>
      </c>
      <c r="BV144" s="428">
        <v>25443533.927543513</v>
      </c>
      <c r="BW144" s="348">
        <f>SUM(BW5:BW143)</f>
        <v>6132458.7625981299</v>
      </c>
      <c r="BX144" s="430">
        <f t="shared" si="170"/>
        <v>31575992.690141644</v>
      </c>
      <c r="BY144" s="76">
        <v>11569835.31770175</v>
      </c>
      <c r="BZ144" s="77"/>
      <c r="CA144" s="76">
        <v>13873698.609841749</v>
      </c>
      <c r="CB144" s="78">
        <v>2.1991267143288655</v>
      </c>
      <c r="CC144" s="77">
        <f t="shared" si="171"/>
        <v>2.7291652666681125</v>
      </c>
      <c r="CD144" s="76">
        <v>6491649.3171973322</v>
      </c>
      <c r="CE144" s="78">
        <v>3.9194252006404375</v>
      </c>
      <c r="CF144" s="73">
        <v>5347.8327845225695</v>
      </c>
      <c r="CG144" s="74">
        <v>33638.87581099847</v>
      </c>
      <c r="CH144" s="75">
        <v>15795.063288991631</v>
      </c>
      <c r="CI144" s="74">
        <v>99704.872123662251</v>
      </c>
      <c r="CJ144" s="428">
        <v>28889552.775057938</v>
      </c>
      <c r="CK144" s="348">
        <f>SUM(CK5:CK143)</f>
        <v>6425810.7638229532</v>
      </c>
      <c r="CL144" s="430">
        <f t="shared" si="172"/>
        <v>35315363.538880892</v>
      </c>
      <c r="CM144" s="76">
        <v>12987108.499652158</v>
      </c>
      <c r="CN144" s="77"/>
      <c r="CO144" s="76">
        <v>15902444.275405802</v>
      </c>
      <c r="CP144" s="78">
        <v>2.2244792038067369</v>
      </c>
      <c r="CQ144" s="77"/>
      <c r="CR144" s="76">
        <v>7045598.2049943469</v>
      </c>
      <c r="CS144" s="78">
        <v>4.100369043834954</v>
      </c>
    </row>
    <row r="145" spans="1:97" s="23" customFormat="1" ht="15" customHeight="1" thickBot="1">
      <c r="A145" s="377"/>
      <c r="B145"/>
      <c r="C145" s="15"/>
      <c r="D145" s="15"/>
      <c r="E145" s="15"/>
      <c r="F145" s="70"/>
      <c r="G145" s="70"/>
      <c r="H145" s="48"/>
      <c r="I145" s="46"/>
      <c r="J145" s="45"/>
      <c r="K145" s="45"/>
      <c r="L145" s="45"/>
      <c r="M145" s="45"/>
      <c r="N145" s="45"/>
      <c r="O145" s="47"/>
      <c r="P145" s="71"/>
      <c r="Q145"/>
      <c r="R145"/>
      <c r="S145"/>
      <c r="T145"/>
      <c r="U145"/>
      <c r="V145" s="48"/>
      <c r="W145" s="48"/>
      <c r="X145" s="48"/>
      <c r="Y145" s="48" t="s">
        <v>515</v>
      </c>
      <c r="Z145" s="48"/>
      <c r="AA145" s="48"/>
      <c r="AB145" s="48"/>
      <c r="AC145" s="279"/>
      <c r="AD145" s="279"/>
      <c r="AE145" s="279"/>
      <c r="AF145" s="279"/>
      <c r="AG145" s="279"/>
      <c r="AH145" s="279"/>
      <c r="AI145" s="279"/>
      <c r="AJ145" s="279"/>
      <c r="AK145" s="279"/>
      <c r="AL145" s="279"/>
      <c r="AM145" s="279"/>
      <c r="AN145" s="279"/>
      <c r="AO145" s="279"/>
      <c r="AP145" s="48"/>
      <c r="AQ145" s="48"/>
      <c r="AR145" s="501"/>
      <c r="AS145" s="48"/>
      <c r="AT145" s="48"/>
      <c r="AU145" s="48"/>
      <c r="AV145" s="48"/>
      <c r="AW145" s="48"/>
      <c r="AX145" s="48"/>
      <c r="AY145" s="48"/>
      <c r="AZ145" s="48"/>
      <c r="BA145" s="48"/>
      <c r="BB145" s="79"/>
      <c r="BC145" s="80" t="s">
        <v>104</v>
      </c>
      <c r="BD145" s="439">
        <v>5336.6571658514049</v>
      </c>
      <c r="BE145" s="81">
        <v>34078.960791379453</v>
      </c>
      <c r="BF145" s="82">
        <v>5336.6571658514049</v>
      </c>
      <c r="BG145" s="81">
        <v>34078.960791379453</v>
      </c>
      <c r="BH145" s="451">
        <v>23758751.660846185</v>
      </c>
      <c r="BI145" s="429">
        <f>SUM(BH144:BI144)/BK144</f>
        <v>2.5247832509168711</v>
      </c>
      <c r="BJ145" s="347"/>
      <c r="BK145" s="83"/>
      <c r="BL145" s="84"/>
      <c r="BM145" s="83"/>
      <c r="BN145" s="429">
        <v>2.0105873551353328</v>
      </c>
      <c r="BO145" s="84"/>
      <c r="BP145" s="83"/>
      <c r="BQ145" s="440">
        <v>3.5395523593132783</v>
      </c>
      <c r="BR145" s="81">
        <v>5372.5061003623878</v>
      </c>
      <c r="BS145" s="81">
        <v>33586.597896778534</v>
      </c>
      <c r="BT145" s="82">
        <v>10709.163266213796</v>
      </c>
      <c r="BU145" s="81">
        <v>67665.558688158024</v>
      </c>
      <c r="BV145" s="451">
        <v>25443533.927543513</v>
      </c>
      <c r="BW145" s="429">
        <f>SUM(BV144:BW144)/BY144</f>
        <v>2.7291652666681125</v>
      </c>
      <c r="BX145" s="347"/>
      <c r="BY145" s="83"/>
      <c r="BZ145" s="84"/>
      <c r="CA145" s="83"/>
      <c r="CB145" s="429">
        <v>2.19912671432887</v>
      </c>
      <c r="CC145" s="84" t="e">
        <f t="shared" si="171"/>
        <v>#DIV/0!</v>
      </c>
      <c r="CD145" s="83"/>
      <c r="CE145" s="84">
        <v>3.9194252006404393</v>
      </c>
      <c r="CF145" s="81">
        <v>5347.8327845225695</v>
      </c>
      <c r="CG145" s="81">
        <v>33638.87581099847</v>
      </c>
      <c r="CH145" s="82">
        <v>15795.063288991631</v>
      </c>
      <c r="CI145" s="81">
        <v>99704.872123662251</v>
      </c>
      <c r="CJ145" s="451">
        <v>28889552.775057938</v>
      </c>
      <c r="CK145" s="429">
        <f>SUM(CJ144:CK144)/CM144</f>
        <v>2.7192629937469732</v>
      </c>
      <c r="CL145" s="347"/>
      <c r="CM145" s="83"/>
      <c r="CN145" s="84"/>
      <c r="CO145" s="83"/>
      <c r="CP145" s="429">
        <v>2.2244792038067382</v>
      </c>
      <c r="CQ145" s="84"/>
      <c r="CR145" s="83"/>
      <c r="CS145" s="84">
        <v>4.1003690438349505</v>
      </c>
    </row>
    <row r="146" spans="1:97" s="23" customFormat="1" ht="15" customHeight="1" thickBot="1">
      <c r="A146" s="377"/>
      <c r="B146" s="85"/>
      <c r="C146" s="85"/>
      <c r="D146" s="85"/>
      <c r="E146" s="22"/>
      <c r="F146" s="86"/>
      <c r="G146" s="86"/>
      <c r="H146" s="22"/>
      <c r="I146" s="22"/>
      <c r="J146" s="22"/>
      <c r="K146" s="22"/>
      <c r="L146" s="22"/>
      <c r="M146" s="22"/>
      <c r="N146" s="22"/>
      <c r="O146" s="22"/>
      <c r="P146" s="22"/>
      <c r="Q146"/>
      <c r="R146"/>
      <c r="S146"/>
      <c r="T146"/>
      <c r="U146"/>
      <c r="V146" s="22"/>
      <c r="W146" s="22"/>
      <c r="X146" s="22"/>
      <c r="Y146" s="22" t="s">
        <v>515</v>
      </c>
      <c r="Z146" s="22"/>
      <c r="AA146" s="22"/>
      <c r="AB146" s="22"/>
      <c r="AC146" s="284"/>
      <c r="AD146" s="284"/>
      <c r="AE146" s="284"/>
      <c r="AF146" s="284"/>
      <c r="AG146" s="284"/>
      <c r="AH146" s="284"/>
      <c r="AI146" s="284"/>
      <c r="AJ146" s="284"/>
      <c r="AK146" s="284"/>
      <c r="AL146" s="284"/>
      <c r="AM146" s="284"/>
      <c r="AN146" s="284"/>
      <c r="AO146" s="284"/>
      <c r="AP146" s="22"/>
      <c r="AQ146" s="22"/>
      <c r="AR146" s="502"/>
      <c r="AS146" s="22"/>
      <c r="AT146" s="22"/>
      <c r="AU146" s="22"/>
      <c r="AV146" s="22"/>
      <c r="AW146" s="22"/>
      <c r="AX146" s="22"/>
      <c r="AY146" s="22"/>
      <c r="AZ146" s="22"/>
      <c r="BA146" s="22"/>
      <c r="BB146" s="22"/>
      <c r="BD146" s="441"/>
      <c r="BE146" s="442"/>
      <c r="BF146" s="442"/>
      <c r="BG146" s="442"/>
      <c r="BH146" s="441"/>
      <c r="BI146" s="469" t="s">
        <v>461</v>
      </c>
      <c r="BJ146" s="468"/>
      <c r="BK146" s="442"/>
      <c r="BL146" s="443"/>
      <c r="BM146" s="442"/>
      <c r="BN146" s="470" t="s">
        <v>508</v>
      </c>
      <c r="BO146" s="442"/>
      <c r="BP146" s="442"/>
      <c r="BQ146" s="444"/>
      <c r="BV146" s="441"/>
      <c r="BW146" s="469" t="s">
        <v>461</v>
      </c>
      <c r="BX146" s="468"/>
      <c r="BY146" s="442"/>
      <c r="BZ146" s="443"/>
      <c r="CA146" s="442"/>
      <c r="CB146" s="470" t="s">
        <v>508</v>
      </c>
      <c r="CC146" s="23" t="e">
        <f t="shared" si="171"/>
        <v>#DIV/0!</v>
      </c>
      <c r="CJ146" s="441"/>
      <c r="CK146" s="469" t="s">
        <v>461</v>
      </c>
      <c r="CL146" s="468"/>
      <c r="CM146" s="442"/>
      <c r="CN146" s="443"/>
      <c r="CO146" s="442"/>
      <c r="CP146" s="470" t="s">
        <v>508</v>
      </c>
    </row>
    <row r="147" spans="1:97" s="23" customFormat="1" ht="15" customHeight="1" thickBot="1">
      <c r="A147" s="377"/>
      <c r="B147" s="87"/>
      <c r="C147" s="87"/>
      <c r="D147" s="87"/>
      <c r="E147" s="22"/>
      <c r="F147" s="86"/>
      <c r="G147" s="86"/>
      <c r="H147" s="22"/>
      <c r="I147" s="22"/>
      <c r="J147" s="22"/>
      <c r="K147" s="22"/>
      <c r="L147" s="22"/>
      <c r="M147" s="22"/>
      <c r="N147" s="22"/>
      <c r="O147" s="22"/>
      <c r="P147" s="22"/>
      <c r="Q147"/>
      <c r="R147"/>
      <c r="S147"/>
      <c r="T147"/>
      <c r="U147"/>
      <c r="V147" s="22"/>
      <c r="W147" s="22"/>
      <c r="X147" s="22"/>
      <c r="Y147" s="22" t="s">
        <v>515</v>
      </c>
      <c r="Z147" s="22"/>
      <c r="AA147" s="22"/>
      <c r="AB147" s="22"/>
      <c r="AC147" s="284"/>
      <c r="AD147" s="284"/>
      <c r="AE147" s="284"/>
      <c r="AF147" s="284"/>
      <c r="AG147" s="284"/>
      <c r="AH147" s="284"/>
      <c r="AI147" s="284"/>
      <c r="AJ147" s="284"/>
      <c r="AK147" s="284"/>
      <c r="AL147" s="284"/>
      <c r="AM147" s="284"/>
      <c r="AN147" s="284"/>
      <c r="AO147" s="284"/>
      <c r="AP147" s="22"/>
      <c r="AQ147" s="22"/>
      <c r="AR147" s="502"/>
      <c r="AS147" s="22"/>
      <c r="AT147" s="22"/>
      <c r="AU147" s="22"/>
      <c r="AV147" s="22"/>
      <c r="AW147" s="22"/>
      <c r="AX147" s="22"/>
      <c r="AY147" s="22"/>
      <c r="AZ147" s="22"/>
      <c r="BA147" s="22"/>
      <c r="BB147" s="22"/>
      <c r="BC147" s="87" t="s">
        <v>105</v>
      </c>
      <c r="BD147" s="445"/>
      <c r="BE147" s="22"/>
      <c r="BF147" s="88"/>
      <c r="BG147" s="22"/>
      <c r="BH147" s="452"/>
      <c r="BI147" s="349"/>
      <c r="BJ147" s="426"/>
      <c r="BK147" s="22"/>
      <c r="BL147" s="379"/>
      <c r="BM147" s="22"/>
      <c r="BN147" s="446"/>
      <c r="BO147" s="22"/>
      <c r="BP147" s="22"/>
      <c r="BQ147" s="446"/>
      <c r="BR147" s="88"/>
      <c r="BS147" s="22"/>
      <c r="BT147" s="88"/>
      <c r="BU147" s="22"/>
      <c r="BV147" s="452"/>
      <c r="BW147" s="349"/>
      <c r="BX147" s="349"/>
      <c r="BY147" s="22"/>
      <c r="BZ147" s="379"/>
      <c r="CA147" s="22"/>
      <c r="CB147" s="446"/>
      <c r="CC147" s="22" t="e">
        <f t="shared" si="171"/>
        <v>#DIV/0!</v>
      </c>
      <c r="CD147" s="22"/>
      <c r="CE147" s="22"/>
      <c r="CF147" s="88"/>
      <c r="CG147" s="22"/>
      <c r="CH147" s="88"/>
      <c r="CI147" s="22"/>
      <c r="CJ147" s="452"/>
      <c r="CK147" s="349"/>
      <c r="CL147" s="349"/>
      <c r="CM147" s="22"/>
      <c r="CN147" s="379"/>
      <c r="CO147" s="22"/>
      <c r="CP147" s="446"/>
      <c r="CQ147" s="22"/>
      <c r="CR147" s="22"/>
      <c r="CS147" s="22"/>
    </row>
    <row r="148" spans="1:97" s="23" customFormat="1" ht="15" customHeight="1" thickBot="1">
      <c r="A148" s="377"/>
      <c r="B148" s="87" t="s">
        <v>491</v>
      </c>
      <c r="C148" s="87"/>
      <c r="D148" s="87"/>
      <c r="E148" s="22"/>
      <c r="F148" s="86"/>
      <c r="G148" s="86"/>
      <c r="H148" s="22"/>
      <c r="I148" s="22"/>
      <c r="J148" s="22"/>
      <c r="K148" s="22"/>
      <c r="L148" s="22"/>
      <c r="M148" s="22"/>
      <c r="N148" s="22"/>
      <c r="O148" s="22"/>
      <c r="P148" s="22"/>
      <c r="Q148"/>
      <c r="R148"/>
      <c r="S148"/>
      <c r="T148"/>
      <c r="U148"/>
      <c r="V148" s="22"/>
      <c r="W148" s="22"/>
      <c r="X148" s="22"/>
      <c r="Y148" s="22" t="s">
        <v>515</v>
      </c>
      <c r="Z148" s="22"/>
      <c r="AA148" s="22"/>
      <c r="AB148" s="22"/>
      <c r="AC148" s="284"/>
      <c r="AD148" s="284"/>
      <c r="AE148" s="284"/>
      <c r="AF148" s="284"/>
      <c r="AG148" s="284"/>
      <c r="AH148" s="284"/>
      <c r="AI148" s="284"/>
      <c r="AJ148" s="284"/>
      <c r="AK148" s="284"/>
      <c r="AL148" s="284"/>
      <c r="AM148" s="284"/>
      <c r="AN148" s="284"/>
      <c r="AO148" s="284"/>
      <c r="AP148" s="22"/>
      <c r="AQ148" s="22"/>
      <c r="AR148" s="502"/>
      <c r="AS148" s="22"/>
      <c r="AT148" s="22"/>
      <c r="AU148" s="22"/>
      <c r="AV148" s="22"/>
      <c r="AW148" s="22"/>
      <c r="AX148" s="22"/>
      <c r="AY148" s="22"/>
      <c r="AZ148" s="22"/>
      <c r="BA148" s="22"/>
      <c r="BB148" s="22"/>
      <c r="BC148" s="434" t="s">
        <v>0</v>
      </c>
      <c r="BD148" s="5" t="s">
        <v>106</v>
      </c>
      <c r="BE148" s="6"/>
      <c r="BF148" s="7"/>
      <c r="BG148" s="6"/>
      <c r="BH148" s="453"/>
      <c r="BI148" s="350"/>
      <c r="BJ148" s="427"/>
      <c r="BK148" s="6"/>
      <c r="BL148" s="380"/>
      <c r="BM148" s="6"/>
      <c r="BN148" s="8"/>
      <c r="BO148" s="6"/>
      <c r="BP148" s="6"/>
      <c r="BQ148" s="8"/>
      <c r="BR148" s="7" t="s">
        <v>107</v>
      </c>
      <c r="BS148" s="6"/>
      <c r="BT148" s="7"/>
      <c r="BU148" s="6"/>
      <c r="BV148" s="453"/>
      <c r="BW148" s="350"/>
      <c r="BX148" s="350"/>
      <c r="BY148" s="6"/>
      <c r="BZ148" s="380"/>
      <c r="CA148" s="6"/>
      <c r="CB148" s="8"/>
      <c r="CC148" s="6" t="e">
        <f t="shared" si="171"/>
        <v>#DIV/0!</v>
      </c>
      <c r="CD148" s="6"/>
      <c r="CE148" s="8"/>
      <c r="CF148" s="5" t="s">
        <v>108</v>
      </c>
      <c r="CG148" s="6"/>
      <c r="CH148" s="7"/>
      <c r="CI148" s="6"/>
      <c r="CJ148" s="453"/>
      <c r="CK148" s="350"/>
      <c r="CL148" s="350"/>
      <c r="CM148" s="6"/>
      <c r="CN148" s="380"/>
      <c r="CO148" s="6"/>
      <c r="CP148" s="8"/>
      <c r="CQ148" s="6"/>
      <c r="CR148" s="6"/>
      <c r="CS148" s="8"/>
    </row>
    <row r="149" spans="1:97" s="23" customFormat="1" ht="15" customHeight="1" thickBot="1">
      <c r="A149" s="377"/>
      <c r="B149" s="87"/>
      <c r="C149" s="87"/>
      <c r="D149" s="87"/>
      <c r="E149" s="22"/>
      <c r="F149" s="86"/>
      <c r="G149" s="86"/>
      <c r="H149" s="22"/>
      <c r="I149" s="22"/>
      <c r="J149" s="22"/>
      <c r="K149" s="22"/>
      <c r="L149" s="22"/>
      <c r="M149" s="22"/>
      <c r="N149" s="22"/>
      <c r="O149" s="22"/>
      <c r="P149" s="22"/>
      <c r="Q149"/>
      <c r="R149"/>
      <c r="S149"/>
      <c r="T149"/>
      <c r="U149"/>
      <c r="V149" s="22"/>
      <c r="W149" s="22"/>
      <c r="X149" s="141"/>
      <c r="Y149" s="141" t="s">
        <v>515</v>
      </c>
      <c r="Z149" s="141"/>
      <c r="AA149" s="141"/>
      <c r="AB149" s="141"/>
      <c r="AC149" s="285"/>
      <c r="AD149" s="285"/>
      <c r="AE149" s="285"/>
      <c r="AF149" s="285"/>
      <c r="AG149" s="285"/>
      <c r="AH149" s="285"/>
      <c r="AI149" s="285"/>
      <c r="AJ149" s="285"/>
      <c r="AK149" s="285"/>
      <c r="AL149" s="285"/>
      <c r="AM149" s="285"/>
      <c r="AN149" s="285"/>
      <c r="AO149" s="285"/>
      <c r="AP149" s="141"/>
      <c r="AQ149" s="141"/>
      <c r="AR149" s="503"/>
      <c r="AS149" s="141"/>
      <c r="AT149" s="141"/>
      <c r="AU149" s="141"/>
      <c r="AV149" s="141"/>
      <c r="AW149" s="141"/>
      <c r="AX149" s="141"/>
      <c r="AY149" s="141"/>
      <c r="AZ149" s="141"/>
      <c r="BA149" s="22"/>
      <c r="BB149" s="22"/>
      <c r="BC149" s="435"/>
      <c r="BD149" s="9"/>
      <c r="BE149" s="10"/>
      <c r="BF149" s="11"/>
      <c r="BG149" s="10"/>
      <c r="BH149" s="454" t="s">
        <v>109</v>
      </c>
      <c r="BI149" s="351"/>
      <c r="BJ149" s="427"/>
      <c r="BK149" s="10" t="s">
        <v>110</v>
      </c>
      <c r="BL149" s="381"/>
      <c r="BM149" s="10" t="s">
        <v>111</v>
      </c>
      <c r="BN149" s="12" t="s">
        <v>112</v>
      </c>
      <c r="BO149" s="10"/>
      <c r="BP149" s="10" t="s">
        <v>113</v>
      </c>
      <c r="BQ149" s="12" t="s">
        <v>114</v>
      </c>
      <c r="BR149" s="11"/>
      <c r="BS149" s="10"/>
      <c r="BT149" s="11"/>
      <c r="BU149" s="10"/>
      <c r="BV149" s="454" t="s">
        <v>109</v>
      </c>
      <c r="BW149" s="351"/>
      <c r="BX149" s="351"/>
      <c r="BY149" s="10" t="s">
        <v>110</v>
      </c>
      <c r="BZ149" s="381"/>
      <c r="CA149" s="10" t="s">
        <v>111</v>
      </c>
      <c r="CB149" s="12" t="s">
        <v>112</v>
      </c>
      <c r="CC149" s="10" t="e">
        <f t="shared" si="171"/>
        <v>#VALUE!</v>
      </c>
      <c r="CD149" s="10" t="s">
        <v>113</v>
      </c>
      <c r="CE149" s="12" t="s">
        <v>114</v>
      </c>
      <c r="CF149" s="9"/>
      <c r="CG149" s="10"/>
      <c r="CH149" s="11"/>
      <c r="CI149" s="10"/>
      <c r="CJ149" s="454" t="s">
        <v>109</v>
      </c>
      <c r="CK149" s="351"/>
      <c r="CL149" s="351"/>
      <c r="CM149" s="10" t="s">
        <v>110</v>
      </c>
      <c r="CN149" s="381"/>
      <c r="CO149" s="10" t="s">
        <v>111</v>
      </c>
      <c r="CP149" s="12" t="s">
        <v>112</v>
      </c>
      <c r="CQ149" s="10"/>
      <c r="CR149" s="10" t="s">
        <v>113</v>
      </c>
      <c r="CS149" s="12" t="s">
        <v>114</v>
      </c>
    </row>
    <row r="150" spans="1:97" s="23" customFormat="1" ht="15" customHeight="1" thickBot="1">
      <c r="A150" s="377"/>
      <c r="B150" s="17" t="s">
        <v>0</v>
      </c>
      <c r="C150" s="18" t="s">
        <v>1</v>
      </c>
      <c r="D150" s="18" t="s">
        <v>2</v>
      </c>
      <c r="E150" s="19" t="s">
        <v>3</v>
      </c>
      <c r="F150" s="19" t="s">
        <v>4</v>
      </c>
      <c r="G150" s="19" t="s">
        <v>5</v>
      </c>
      <c r="H150" s="19" t="s">
        <v>6</v>
      </c>
      <c r="I150" s="19" t="s">
        <v>7</v>
      </c>
      <c r="J150" s="19" t="s">
        <v>8</v>
      </c>
      <c r="K150" s="19" t="s">
        <v>9</v>
      </c>
      <c r="L150" s="19" t="s">
        <v>10</v>
      </c>
      <c r="M150" s="19" t="s">
        <v>11</v>
      </c>
      <c r="N150" s="19" t="s">
        <v>12</v>
      </c>
      <c r="O150" s="19" t="s">
        <v>13</v>
      </c>
      <c r="P150" s="19" t="s">
        <v>14</v>
      </c>
      <c r="Q150" s="307" t="s">
        <v>431</v>
      </c>
      <c r="R150" s="307" t="s">
        <v>432</v>
      </c>
      <c r="S150" s="307" t="s">
        <v>433</v>
      </c>
      <c r="T150" s="307" t="s">
        <v>434</v>
      </c>
      <c r="U150" s="318" t="s">
        <v>435</v>
      </c>
      <c r="V150" s="19" t="s">
        <v>15</v>
      </c>
      <c r="W150" s="20" t="s">
        <v>16</v>
      </c>
      <c r="X150" s="219"/>
      <c r="Y150" s="219" t="s">
        <v>515</v>
      </c>
      <c r="Z150" s="219"/>
      <c r="AA150" s="219"/>
      <c r="AB150" s="383"/>
      <c r="AC150" s="411"/>
      <c r="AD150" s="408"/>
      <c r="AE150" s="286"/>
      <c r="AF150" s="286"/>
      <c r="AG150" s="286"/>
      <c r="AH150" s="286"/>
      <c r="AI150" s="286"/>
      <c r="AJ150" s="286"/>
      <c r="AK150" s="286"/>
      <c r="AL150" s="286"/>
      <c r="AM150" s="286"/>
      <c r="AN150" s="359"/>
      <c r="AO150" s="286"/>
      <c r="AP150" s="219"/>
      <c r="AQ150" s="19"/>
      <c r="AR150" s="504"/>
      <c r="AS150" s="19"/>
      <c r="AT150" s="19"/>
      <c r="AU150" s="19"/>
      <c r="AV150" s="19"/>
      <c r="AW150" s="19" t="s">
        <v>215</v>
      </c>
      <c r="AX150" s="19"/>
      <c r="AY150" s="19" t="s">
        <v>215</v>
      </c>
      <c r="AZ150" s="19"/>
      <c r="BA150" s="21"/>
      <c r="BB150" s="22"/>
      <c r="BC150" s="433"/>
      <c r="BD150" s="13" t="s">
        <v>17</v>
      </c>
      <c r="BE150" s="1" t="s">
        <v>18</v>
      </c>
      <c r="BF150" s="14" t="s">
        <v>19</v>
      </c>
      <c r="BG150" s="1" t="s">
        <v>20</v>
      </c>
      <c r="BH150" s="455" t="s">
        <v>21</v>
      </c>
      <c r="BI150" s="345"/>
      <c r="BJ150" s="427"/>
      <c r="BK150" s="1" t="s">
        <v>22</v>
      </c>
      <c r="BL150" s="382"/>
      <c r="BM150" s="2" t="s">
        <v>23</v>
      </c>
      <c r="BN150" s="4" t="s">
        <v>24</v>
      </c>
      <c r="BO150" s="3"/>
      <c r="BP150" s="1" t="s">
        <v>25</v>
      </c>
      <c r="BQ150" s="4" t="s">
        <v>26</v>
      </c>
      <c r="BR150" s="14" t="s">
        <v>17</v>
      </c>
      <c r="BS150" s="1" t="s">
        <v>18</v>
      </c>
      <c r="BT150" s="14" t="s">
        <v>19</v>
      </c>
      <c r="BU150" s="1" t="s">
        <v>20</v>
      </c>
      <c r="BV150" s="455" t="s">
        <v>21</v>
      </c>
      <c r="BW150" s="345"/>
      <c r="BX150" s="345"/>
      <c r="BY150" s="1" t="s">
        <v>22</v>
      </c>
      <c r="BZ150" s="382"/>
      <c r="CA150" s="2" t="s">
        <v>23</v>
      </c>
      <c r="CB150" s="4" t="s">
        <v>24</v>
      </c>
      <c r="CC150" s="3" t="e">
        <f t="shared" si="171"/>
        <v>#VALUE!</v>
      </c>
      <c r="CD150" s="1" t="s">
        <v>25</v>
      </c>
      <c r="CE150" s="4" t="s">
        <v>26</v>
      </c>
      <c r="CF150" s="13" t="s">
        <v>17</v>
      </c>
      <c r="CG150" s="1" t="s">
        <v>18</v>
      </c>
      <c r="CH150" s="14" t="s">
        <v>19</v>
      </c>
      <c r="CI150" s="1" t="s">
        <v>20</v>
      </c>
      <c r="CJ150" s="455" t="s">
        <v>21</v>
      </c>
      <c r="CK150" s="345"/>
      <c r="CL150" s="448"/>
      <c r="CM150" s="1" t="s">
        <v>22</v>
      </c>
      <c r="CN150" s="382"/>
      <c r="CO150" s="2" t="s">
        <v>23</v>
      </c>
      <c r="CP150" s="4" t="s">
        <v>24</v>
      </c>
      <c r="CQ150" s="3"/>
      <c r="CR150" s="1" t="s">
        <v>25</v>
      </c>
      <c r="CS150" s="4" t="s">
        <v>26</v>
      </c>
    </row>
    <row r="151" spans="1:97" s="23" customFormat="1" ht="15" customHeight="1">
      <c r="A151" s="377" t="str">
        <f t="shared" ref="A151:A191" si="182">CONCATENATE($B$148,"; ",B151,"; ",C151,"; ",D151)</f>
        <v>BNI- Direct Installation; Night Covers for 3' Refrigerated Display Cases-BES; COM-Refrigeration; Other Commercial</v>
      </c>
      <c r="B151" s="42" t="s">
        <v>115</v>
      </c>
      <c r="C151" s="15" t="s">
        <v>46</v>
      </c>
      <c r="D151" s="15" t="s">
        <v>56</v>
      </c>
      <c r="E151" s="43">
        <v>10</v>
      </c>
      <c r="F151" s="44">
        <v>133.79323500000001</v>
      </c>
      <c r="G151" s="28">
        <v>13.546647171245569</v>
      </c>
      <c r="H151" s="29">
        <v>52.859000000000002</v>
      </c>
      <c r="I151" s="30">
        <v>0.75673016894001022</v>
      </c>
      <c r="J151" s="29">
        <v>16.724154375000001</v>
      </c>
      <c r="K151" s="29">
        <v>56.724154374999998</v>
      </c>
      <c r="L151" s="29">
        <v>12.859000000000002</v>
      </c>
      <c r="M151" s="29">
        <v>69.583154374999992</v>
      </c>
      <c r="N151" s="29">
        <v>83.127116615642365</v>
      </c>
      <c r="O151" s="31">
        <v>0.82</v>
      </c>
      <c r="P151" s="31">
        <v>1.1347744094984293</v>
      </c>
      <c r="Q151" s="310">
        <f t="shared" ref="Q151:Q191" si="183">N151*O151/(O151*H151+J151)</f>
        <v>1.1347744094984293</v>
      </c>
      <c r="R151" s="311">
        <f t="shared" ref="R151:R191" si="184">AB151</f>
        <v>0</v>
      </c>
      <c r="S151" s="311">
        <f t="shared" ref="S151:S191" si="185">-PV(RDR,E151,AC151)</f>
        <v>0</v>
      </c>
      <c r="T151" s="310">
        <f t="shared" ref="T151:T191" si="186">(N151+SUM(R151:S151))*O151/(O151*H151+J151)</f>
        <v>1.1347744094984293</v>
      </c>
      <c r="U151" s="316">
        <f t="shared" ref="U151:U191" si="187">(T151-Q151)/Q151</f>
        <v>0</v>
      </c>
      <c r="V151" s="32">
        <v>0.42396877820466777</v>
      </c>
      <c r="W151" s="33">
        <v>4.1873205714993462</v>
      </c>
      <c r="X151" s="48" t="s">
        <v>40</v>
      </c>
      <c r="Y151" s="48" t="s">
        <v>516</v>
      </c>
      <c r="Z151" s="246" t="s">
        <v>40</v>
      </c>
      <c r="AA151" s="246"/>
      <c r="AB151" s="409">
        <v>0</v>
      </c>
      <c r="AC151" s="410">
        <v>0</v>
      </c>
      <c r="AD151" s="337">
        <f t="shared" ref="AD151:AD158" si="188">AC151*0</f>
        <v>0</v>
      </c>
      <c r="AE151" s="337">
        <f t="shared" ref="AE151:AE158" si="189">AD151*0</f>
        <v>0</v>
      </c>
      <c r="AF151" s="337">
        <f t="shared" ref="AF151:AH151" si="190">AE151*0</f>
        <v>0</v>
      </c>
      <c r="AG151" s="337">
        <f t="shared" si="190"/>
        <v>0</v>
      </c>
      <c r="AH151" s="337">
        <f t="shared" si="190"/>
        <v>0</v>
      </c>
      <c r="AI151" s="337">
        <f t="shared" ref="AI151:AI158" si="191">AC151*1</f>
        <v>0</v>
      </c>
      <c r="AJ151" s="337" t="s">
        <v>40</v>
      </c>
      <c r="AK151" s="337">
        <f t="shared" ref="AK151:AK158" si="192">AI151*0</f>
        <v>0</v>
      </c>
      <c r="AL151" s="337">
        <f t="shared" ref="AL151:AM151" si="193">AK151*0</f>
        <v>0</v>
      </c>
      <c r="AM151" s="337">
        <f t="shared" si="193"/>
        <v>0</v>
      </c>
      <c r="AN151" s="337">
        <f t="shared" ref="AN151:AN191" si="194">SUM(AD151:AM151)</f>
        <v>0</v>
      </c>
      <c r="AO151" s="294" t="s">
        <v>609</v>
      </c>
      <c r="AP151" s="282" t="s">
        <v>419</v>
      </c>
      <c r="AQ151" s="136" t="s">
        <v>40</v>
      </c>
      <c r="AR151" s="289"/>
      <c r="AS151" s="142"/>
      <c r="AT151" s="142"/>
      <c r="AU151" s="146"/>
      <c r="AV151" s="48"/>
      <c r="AW151" s="131" t="s">
        <v>284</v>
      </c>
      <c r="AX151" s="131"/>
      <c r="AY151" s="131"/>
      <c r="AZ151" s="48"/>
      <c r="BA151" s="48"/>
      <c r="BB151" s="89" t="s">
        <v>116</v>
      </c>
      <c r="BC151" s="51" t="s">
        <v>115</v>
      </c>
      <c r="BD151" s="90">
        <v>1.87264137899728</v>
      </c>
      <c r="BE151" s="91">
        <v>18.495111367683922</v>
      </c>
      <c r="BF151" s="92">
        <v>1.87264137899728</v>
      </c>
      <c r="BG151" s="91">
        <v>18.495111367683922</v>
      </c>
      <c r="BH151" s="449">
        <v>11491.203419072375</v>
      </c>
      <c r="BI151" s="346">
        <f t="shared" ref="BI151:BI191" si="195">SUM(R151:S151)*O151*BL151</f>
        <v>0</v>
      </c>
      <c r="BJ151" s="347">
        <f t="shared" si="168"/>
        <v>11491.203419072375</v>
      </c>
      <c r="BK151" s="93">
        <v>10126.421007459528</v>
      </c>
      <c r="BL151" s="94">
        <v>168.58112342547943</v>
      </c>
      <c r="BM151" s="93">
        <v>1364.7824116128468</v>
      </c>
      <c r="BN151" s="95">
        <v>1.1347744094984293</v>
      </c>
      <c r="BO151" s="94">
        <f t="shared" ref="BO151:BO191" si="196">SUM(BH151:BI151)/BK151</f>
        <v>1.1347744094984293</v>
      </c>
      <c r="BP151" s="93">
        <v>9562.6216698978242</v>
      </c>
      <c r="BQ151" s="95">
        <v>1.2016791854524094</v>
      </c>
      <c r="BR151" s="92">
        <v>1.9503551554032332</v>
      </c>
      <c r="BS151" s="91">
        <v>19.262650185074051</v>
      </c>
      <c r="BT151" s="92">
        <v>3.8229965344005126</v>
      </c>
      <c r="BU151" s="91">
        <v>37.75776155275797</v>
      </c>
      <c r="BV151" s="449">
        <v>12718.399506467977</v>
      </c>
      <c r="BW151" s="346">
        <f t="shared" ref="BW151:BW191" si="197">SUM(R151:S151)*O151*BZ151</f>
        <v>0</v>
      </c>
      <c r="BX151" s="346">
        <f>BV151+BW151</f>
        <v>12718.399506467977</v>
      </c>
      <c r="BY151" s="93">
        <v>10546.662932471161</v>
      </c>
      <c r="BZ151" s="94">
        <v>175.5771643541313</v>
      </c>
      <c r="CA151" s="93">
        <v>2171.7365739968154</v>
      </c>
      <c r="CB151" s="95">
        <v>1.2059169414915549</v>
      </c>
      <c r="CC151" s="94">
        <f t="shared" si="171"/>
        <v>1.2059169414915549</v>
      </c>
      <c r="CD151" s="93">
        <v>9959.4661755484922</v>
      </c>
      <c r="CE151" s="95">
        <v>1.2770161856358273</v>
      </c>
      <c r="CF151" s="90">
        <v>2.0449392346298056</v>
      </c>
      <c r="CG151" s="91">
        <v>20.196808267088663</v>
      </c>
      <c r="CH151" s="92">
        <v>5.8679357690303187</v>
      </c>
      <c r="CI151" s="91">
        <v>57.954569819846633</v>
      </c>
      <c r="CJ151" s="449">
        <v>14242.605414535827</v>
      </c>
      <c r="CK151" s="346">
        <f t="shared" ref="CK151:CK191" si="198">SUM(R151:S151)*O151*CN151</f>
        <v>0</v>
      </c>
      <c r="CL151" s="347">
        <f>CJ151+CK151</f>
        <v>14242.605414535827</v>
      </c>
      <c r="CM151" s="93">
        <v>11058.132035735365</v>
      </c>
      <c r="CN151" s="94">
        <v>184.09192351358024</v>
      </c>
      <c r="CO151" s="93">
        <v>3184.4733788004614</v>
      </c>
      <c r="CP151" s="95">
        <v>1.2879757058886205</v>
      </c>
      <c r="CQ151" s="94">
        <f t="shared" ref="CQ151:CQ191" si="199">SUM(CJ151:CK151)/CM151</f>
        <v>1.2879757058886205</v>
      </c>
      <c r="CR151" s="93">
        <v>10442.458688575018</v>
      </c>
      <c r="CS151" s="95">
        <v>1.3639130246326479</v>
      </c>
    </row>
    <row r="152" spans="1:97" s="23" customFormat="1" ht="15" customHeight="1">
      <c r="A152" s="377" t="str">
        <f t="shared" si="182"/>
        <v>BNI- Direct Installation; Night Covers for 3' Refrigerated Display Cases-BES; COM-Refrigeration; Retail</v>
      </c>
      <c r="B152" s="42" t="s">
        <v>115</v>
      </c>
      <c r="C152" s="15" t="s">
        <v>46</v>
      </c>
      <c r="D152" s="15" t="s">
        <v>30</v>
      </c>
      <c r="E152" s="43">
        <v>10</v>
      </c>
      <c r="F152" s="44">
        <v>103.2837</v>
      </c>
      <c r="G152" s="28">
        <v>10.464498905599465</v>
      </c>
      <c r="H152" s="29">
        <v>52.859000000000002</v>
      </c>
      <c r="I152" s="30">
        <v>0.75673016894001022</v>
      </c>
      <c r="J152" s="29">
        <v>12.9104625</v>
      </c>
      <c r="K152" s="29">
        <v>52.910462500000001</v>
      </c>
      <c r="L152" s="29">
        <v>12.859000000000002</v>
      </c>
      <c r="M152" s="29">
        <v>65.769462500000003</v>
      </c>
      <c r="N152" s="29">
        <v>64.179007963785665</v>
      </c>
      <c r="O152" s="31">
        <v>0.82</v>
      </c>
      <c r="P152" s="31">
        <v>0.93550677935511495</v>
      </c>
      <c r="Q152" s="310">
        <f t="shared" si="183"/>
        <v>0.93550677935511495</v>
      </c>
      <c r="R152" s="311">
        <f t="shared" si="184"/>
        <v>0</v>
      </c>
      <c r="S152" s="311">
        <f t="shared" si="185"/>
        <v>0</v>
      </c>
      <c r="T152" s="310">
        <f t="shared" si="186"/>
        <v>0.93550677935511495</v>
      </c>
      <c r="U152" s="316">
        <f t="shared" si="187"/>
        <v>0</v>
      </c>
      <c r="V152" s="32">
        <v>0.51228279486501749</v>
      </c>
      <c r="W152" s="33">
        <v>5.0561869208747359</v>
      </c>
      <c r="X152" s="48" t="s">
        <v>40</v>
      </c>
      <c r="Y152" s="48" t="s">
        <v>516</v>
      </c>
      <c r="Z152" s="246" t="s">
        <v>40</v>
      </c>
      <c r="AA152" s="246"/>
      <c r="AB152" s="386">
        <v>0</v>
      </c>
      <c r="AC152" s="388">
        <v>0</v>
      </c>
      <c r="AD152" s="337">
        <f t="shared" si="188"/>
        <v>0</v>
      </c>
      <c r="AE152" s="337">
        <f t="shared" si="189"/>
        <v>0</v>
      </c>
      <c r="AF152" s="337">
        <f t="shared" ref="AF152:AH152" si="200">AE152*0</f>
        <v>0</v>
      </c>
      <c r="AG152" s="337">
        <f t="shared" si="200"/>
        <v>0</v>
      </c>
      <c r="AH152" s="337">
        <f t="shared" si="200"/>
        <v>0</v>
      </c>
      <c r="AI152" s="337">
        <f t="shared" si="191"/>
        <v>0</v>
      </c>
      <c r="AJ152" s="337" t="s">
        <v>40</v>
      </c>
      <c r="AK152" s="337">
        <f t="shared" si="192"/>
        <v>0</v>
      </c>
      <c r="AL152" s="337">
        <f t="shared" ref="AL152:AM152" si="201">AK152*0</f>
        <v>0</v>
      </c>
      <c r="AM152" s="337">
        <f t="shared" si="201"/>
        <v>0</v>
      </c>
      <c r="AN152" s="337">
        <f t="shared" si="194"/>
        <v>0</v>
      </c>
      <c r="AO152" s="294" t="s">
        <v>609</v>
      </c>
      <c r="AP152" s="282" t="s">
        <v>419</v>
      </c>
      <c r="AQ152" s="136" t="s">
        <v>40</v>
      </c>
      <c r="AR152" s="289"/>
      <c r="AS152" s="142"/>
      <c r="AT152" s="142"/>
      <c r="AU152" s="146"/>
      <c r="AV152" s="48"/>
      <c r="AW152" s="131" t="s">
        <v>284</v>
      </c>
      <c r="AX152" s="131"/>
      <c r="AY152" s="131"/>
      <c r="AZ152" s="48"/>
      <c r="BA152" s="48"/>
      <c r="BB152" s="89"/>
      <c r="BC152" s="51" t="s">
        <v>115</v>
      </c>
      <c r="BD152" s="52">
        <v>2.0620835192680596</v>
      </c>
      <c r="BE152" s="53">
        <v>20.352586158240495</v>
      </c>
      <c r="BF152" s="54">
        <v>2.0620835192680596</v>
      </c>
      <c r="BG152" s="53">
        <v>20.352586158240495</v>
      </c>
      <c r="BH152" s="450">
        <v>12646.804763320353</v>
      </c>
      <c r="BI152" s="347">
        <f t="shared" si="195"/>
        <v>0</v>
      </c>
      <c r="BJ152" s="347">
        <f t="shared" si="168"/>
        <v>12646.804763320353</v>
      </c>
      <c r="BK152" s="45">
        <v>13518.667146419124</v>
      </c>
      <c r="BL152" s="47">
        <v>240.31117225897705</v>
      </c>
      <c r="BM152" s="45">
        <v>-871.86238309877081</v>
      </c>
      <c r="BN152" s="55">
        <v>0.93550677935511473</v>
      </c>
      <c r="BO152" s="47">
        <f t="shared" si="196"/>
        <v>0.93550677935511473</v>
      </c>
      <c r="BP152" s="45">
        <v>12714.975268139646</v>
      </c>
      <c r="BQ152" s="55">
        <v>0.99463856567695341</v>
      </c>
      <c r="BR152" s="54">
        <v>2.1390617438344197</v>
      </c>
      <c r="BS152" s="53">
        <v>21.112354583309592</v>
      </c>
      <c r="BT152" s="54">
        <v>4.2011452631024788</v>
      </c>
      <c r="BU152" s="53">
        <v>41.464940741550087</v>
      </c>
      <c r="BV152" s="450">
        <v>13941.546988076376</v>
      </c>
      <c r="BW152" s="347">
        <f t="shared" si="197"/>
        <v>0</v>
      </c>
      <c r="BX152" s="347">
        <f t="shared" ref="BX152:BX192" si="202">BV152+BW152</f>
        <v>13941.546988076376</v>
      </c>
      <c r="BY152" s="45">
        <v>14023.323231253315</v>
      </c>
      <c r="BZ152" s="47">
        <v>249.28206369528655</v>
      </c>
      <c r="CA152" s="45">
        <v>-81.776243176938806</v>
      </c>
      <c r="CB152" s="55">
        <v>0.99416855464083675</v>
      </c>
      <c r="CC152" s="47">
        <f t="shared" si="171"/>
        <v>0.99416855464083675</v>
      </c>
      <c r="CD152" s="45">
        <v>13189.629283072072</v>
      </c>
      <c r="CE152" s="55">
        <v>1.0570082516245802</v>
      </c>
      <c r="CF152" s="52">
        <v>2.2336446630577185</v>
      </c>
      <c r="CG152" s="53">
        <v>22.045879823486757</v>
      </c>
      <c r="CH152" s="54">
        <v>6.4347899261601977</v>
      </c>
      <c r="CI152" s="53">
        <v>63.510820565036845</v>
      </c>
      <c r="CJ152" s="450">
        <v>15548.788604756164</v>
      </c>
      <c r="CK152" s="347">
        <f t="shared" si="198"/>
        <v>0</v>
      </c>
      <c r="CL152" s="347">
        <f t="shared" ref="CL152:CL192" si="203">CJ152+CK152</f>
        <v>15548.788604756164</v>
      </c>
      <c r="CM152" s="45">
        <v>14643.39268565169</v>
      </c>
      <c r="CN152" s="47">
        <v>260.30457174689786</v>
      </c>
      <c r="CO152" s="45">
        <v>905.39591910447416</v>
      </c>
      <c r="CP152" s="55">
        <v>1.0618296550902186</v>
      </c>
      <c r="CQ152" s="47">
        <f t="shared" si="199"/>
        <v>1.0618296550902186</v>
      </c>
      <c r="CR152" s="45">
        <v>13772.835281992799</v>
      </c>
      <c r="CS152" s="55">
        <v>1.1289460947148133</v>
      </c>
    </row>
    <row r="153" spans="1:97" s="23" customFormat="1" ht="15" customHeight="1">
      <c r="A153" s="377" t="str">
        <f t="shared" si="182"/>
        <v>BNI- Direct Installation; Humidity-Based Door Heater Controls for Reach-In Coolers and Freezers-BES; COM-Refrigeration; Other Commercial</v>
      </c>
      <c r="B153" s="42" t="s">
        <v>117</v>
      </c>
      <c r="C153" s="15" t="s">
        <v>46</v>
      </c>
      <c r="D153" s="15" t="s">
        <v>56</v>
      </c>
      <c r="E153" s="43">
        <v>10</v>
      </c>
      <c r="F153" s="44">
        <v>1779.1428599999997</v>
      </c>
      <c r="G153" s="44">
        <v>1217.7118226250841</v>
      </c>
      <c r="H153" s="45">
        <v>345</v>
      </c>
      <c r="I153" s="46">
        <v>0.75</v>
      </c>
      <c r="J153" s="45">
        <v>222.39285749999996</v>
      </c>
      <c r="K153" s="45">
        <v>481.14285749999999</v>
      </c>
      <c r="L153" s="45">
        <v>86.25</v>
      </c>
      <c r="M153" s="45">
        <v>567.39285749999999</v>
      </c>
      <c r="N153" s="45">
        <v>2265.0780686539956</v>
      </c>
      <c r="O153" s="47">
        <v>0.82</v>
      </c>
      <c r="P153" s="47">
        <v>3.6758168826803108</v>
      </c>
      <c r="Q153" s="310">
        <f t="shared" si="183"/>
        <v>3.6758168826803108</v>
      </c>
      <c r="R153" s="311">
        <f t="shared" si="184"/>
        <v>0</v>
      </c>
      <c r="S153" s="311">
        <f t="shared" si="185"/>
        <v>0</v>
      </c>
      <c r="T153" s="310">
        <f t="shared" si="186"/>
        <v>3.6758168826803108</v>
      </c>
      <c r="U153" s="316">
        <f t="shared" si="187"/>
        <v>0</v>
      </c>
      <c r="V153" s="48">
        <v>0.2704352013081176</v>
      </c>
      <c r="W153" s="49">
        <v>0.39512046163991044</v>
      </c>
      <c r="X153" s="48" t="s">
        <v>40</v>
      </c>
      <c r="Y153" s="48" t="s">
        <v>517</v>
      </c>
      <c r="Z153" s="246" t="s">
        <v>40</v>
      </c>
      <c r="AA153" s="246"/>
      <c r="AB153" s="386">
        <v>0</v>
      </c>
      <c r="AC153" s="388">
        <v>0</v>
      </c>
      <c r="AD153" s="337">
        <f t="shared" si="188"/>
        <v>0</v>
      </c>
      <c r="AE153" s="337">
        <f t="shared" si="189"/>
        <v>0</v>
      </c>
      <c r="AF153" s="337">
        <f t="shared" ref="AF153:AH153" si="204">AE153*0</f>
        <v>0</v>
      </c>
      <c r="AG153" s="337">
        <f t="shared" si="204"/>
        <v>0</v>
      </c>
      <c r="AH153" s="337">
        <f t="shared" si="204"/>
        <v>0</v>
      </c>
      <c r="AI153" s="337">
        <f t="shared" si="191"/>
        <v>0</v>
      </c>
      <c r="AJ153" s="337" t="s">
        <v>40</v>
      </c>
      <c r="AK153" s="337">
        <f t="shared" si="192"/>
        <v>0</v>
      </c>
      <c r="AL153" s="337">
        <f t="shared" ref="AL153:AM153" si="205">AK153*0</f>
        <v>0</v>
      </c>
      <c r="AM153" s="337">
        <f t="shared" si="205"/>
        <v>0</v>
      </c>
      <c r="AN153" s="337">
        <f t="shared" si="194"/>
        <v>0</v>
      </c>
      <c r="AO153" s="294" t="s">
        <v>611</v>
      </c>
      <c r="AP153" s="282" t="s">
        <v>419</v>
      </c>
      <c r="AQ153" s="136" t="s">
        <v>40</v>
      </c>
      <c r="AR153" s="289"/>
      <c r="AS153" s="142"/>
      <c r="AT153" s="142"/>
      <c r="AU153" s="146"/>
      <c r="AV153" s="48"/>
      <c r="AW153" s="131" t="s">
        <v>284</v>
      </c>
      <c r="AX153" s="131"/>
      <c r="AY153" s="131"/>
      <c r="AZ153" s="48"/>
      <c r="BA153" s="48"/>
      <c r="BB153" s="89"/>
      <c r="BC153" s="51" t="s">
        <v>117</v>
      </c>
      <c r="BD153" s="52">
        <v>31.80938573407229</v>
      </c>
      <c r="BE153" s="53">
        <v>46.475233678654092</v>
      </c>
      <c r="BF153" s="54">
        <v>31.80938573407229</v>
      </c>
      <c r="BG153" s="53">
        <v>46.475233678654092</v>
      </c>
      <c r="BH153" s="450">
        <v>59168.959900774338</v>
      </c>
      <c r="BI153" s="347">
        <f t="shared" si="195"/>
        <v>0</v>
      </c>
      <c r="BJ153" s="347">
        <f t="shared" si="168"/>
        <v>59168.959900774338</v>
      </c>
      <c r="BK153" s="45">
        <v>16096.819234811788</v>
      </c>
      <c r="BL153" s="47">
        <v>31.856415533860556</v>
      </c>
      <c r="BM153" s="45">
        <v>43072.14066596255</v>
      </c>
      <c r="BN153" s="55">
        <v>3.6758168826803113</v>
      </c>
      <c r="BO153" s="47">
        <f t="shared" si="196"/>
        <v>3.6758168826803113</v>
      </c>
      <c r="BP153" s="45">
        <v>15327.486799669055</v>
      </c>
      <c r="BQ153" s="55">
        <v>3.8603171331422637</v>
      </c>
      <c r="BR153" s="54">
        <v>33.831748855979441</v>
      </c>
      <c r="BS153" s="53">
        <v>49.430015624444735</v>
      </c>
      <c r="BT153" s="54">
        <v>65.641134590051735</v>
      </c>
      <c r="BU153" s="53">
        <v>95.905249303098827</v>
      </c>
      <c r="BV153" s="450">
        <v>70271.138142897398</v>
      </c>
      <c r="BW153" s="347">
        <f t="shared" si="197"/>
        <v>0</v>
      </c>
      <c r="BX153" s="347">
        <f t="shared" si="202"/>
        <v>70271.138142897398</v>
      </c>
      <c r="BY153" s="45">
        <v>17120.21572139089</v>
      </c>
      <c r="BZ153" s="47">
        <v>33.881768695673465</v>
      </c>
      <c r="CA153" s="45">
        <v>53150.922421506504</v>
      </c>
      <c r="CB153" s="55">
        <v>4.1045708352317645</v>
      </c>
      <c r="CC153" s="47">
        <f t="shared" si="171"/>
        <v>4.1045708352317645</v>
      </c>
      <c r="CD153" s="45">
        <v>16301.971007390377</v>
      </c>
      <c r="CE153" s="55">
        <v>4.3105915297629043</v>
      </c>
      <c r="CF153" s="52">
        <v>36.20959292809539</v>
      </c>
      <c r="CG153" s="53">
        <v>52.904174472618237</v>
      </c>
      <c r="CH153" s="54">
        <v>101.85072751814711</v>
      </c>
      <c r="CI153" s="53">
        <v>148.80942377571705</v>
      </c>
      <c r="CJ153" s="450">
        <v>83712.822606790432</v>
      </c>
      <c r="CK153" s="347">
        <f t="shared" si="198"/>
        <v>0</v>
      </c>
      <c r="CL153" s="347">
        <f t="shared" si="203"/>
        <v>83712.822606790432</v>
      </c>
      <c r="CM153" s="45">
        <v>18323.49976206385</v>
      </c>
      <c r="CN153" s="47">
        <v>36.263128382066732</v>
      </c>
      <c r="CO153" s="45">
        <v>65389.322844726586</v>
      </c>
      <c r="CP153" s="55">
        <v>4.5686044529607654</v>
      </c>
      <c r="CQ153" s="47">
        <f t="shared" si="199"/>
        <v>4.5686044529607654</v>
      </c>
      <c r="CR153" s="45">
        <v>17447.745211636939</v>
      </c>
      <c r="CS153" s="55">
        <v>4.7979163835426357</v>
      </c>
    </row>
    <row r="154" spans="1:97" s="23" customFormat="1" ht="15" customHeight="1">
      <c r="A154" s="377" t="str">
        <f t="shared" si="182"/>
        <v>BNI- Direct Installation; Humidity-Based Door Heater Controls for Reach-In Coolers and Freezers-BES; COM-Refrigeration; Retail</v>
      </c>
      <c r="B154" s="42" t="s">
        <v>117</v>
      </c>
      <c r="C154" s="15" t="s">
        <v>46</v>
      </c>
      <c r="D154" s="15" t="s">
        <v>30</v>
      </c>
      <c r="E154" s="43">
        <v>10</v>
      </c>
      <c r="F154" s="44">
        <v>1779.1428599999997</v>
      </c>
      <c r="G154" s="44">
        <v>1236.4543298054157</v>
      </c>
      <c r="H154" s="45">
        <v>345</v>
      </c>
      <c r="I154" s="46">
        <v>0.75</v>
      </c>
      <c r="J154" s="45">
        <v>222.39285749999996</v>
      </c>
      <c r="K154" s="45">
        <v>481.14285749999999</v>
      </c>
      <c r="L154" s="45">
        <v>86.25</v>
      </c>
      <c r="M154" s="45">
        <v>567.39285749999999</v>
      </c>
      <c r="N154" s="45">
        <v>2286.0262701846386</v>
      </c>
      <c r="O154" s="47">
        <v>0.82</v>
      </c>
      <c r="P154" s="47">
        <v>3.7098120698280472</v>
      </c>
      <c r="Q154" s="310">
        <f t="shared" si="183"/>
        <v>3.7098120698280472</v>
      </c>
      <c r="R154" s="311">
        <f t="shared" si="184"/>
        <v>0</v>
      </c>
      <c r="S154" s="311">
        <f t="shared" si="185"/>
        <v>0</v>
      </c>
      <c r="T154" s="310">
        <f t="shared" si="186"/>
        <v>3.7098120698280472</v>
      </c>
      <c r="U154" s="316">
        <f t="shared" si="187"/>
        <v>0</v>
      </c>
      <c r="V154" s="48">
        <v>0.2704352013081176</v>
      </c>
      <c r="W154" s="49">
        <v>0.38913111944516288</v>
      </c>
      <c r="X154" s="48" t="s">
        <v>40</v>
      </c>
      <c r="Y154" s="48" t="s">
        <v>517</v>
      </c>
      <c r="Z154" s="246" t="s">
        <v>40</v>
      </c>
      <c r="AA154" s="246"/>
      <c r="AB154" s="386">
        <v>0</v>
      </c>
      <c r="AC154" s="388">
        <v>0</v>
      </c>
      <c r="AD154" s="337">
        <f t="shared" si="188"/>
        <v>0</v>
      </c>
      <c r="AE154" s="337">
        <f t="shared" si="189"/>
        <v>0</v>
      </c>
      <c r="AF154" s="337">
        <f t="shared" ref="AF154:AH154" si="206">AE154*0</f>
        <v>0</v>
      </c>
      <c r="AG154" s="337">
        <f t="shared" si="206"/>
        <v>0</v>
      </c>
      <c r="AH154" s="337">
        <f t="shared" si="206"/>
        <v>0</v>
      </c>
      <c r="AI154" s="337">
        <f t="shared" si="191"/>
        <v>0</v>
      </c>
      <c r="AJ154" s="337" t="s">
        <v>40</v>
      </c>
      <c r="AK154" s="337">
        <f t="shared" si="192"/>
        <v>0</v>
      </c>
      <c r="AL154" s="337">
        <f t="shared" ref="AL154:AM154" si="207">AK154*0</f>
        <v>0</v>
      </c>
      <c r="AM154" s="337">
        <f t="shared" si="207"/>
        <v>0</v>
      </c>
      <c r="AN154" s="337">
        <f t="shared" si="194"/>
        <v>0</v>
      </c>
      <c r="AO154" s="294" t="s">
        <v>611</v>
      </c>
      <c r="AP154" s="282" t="s">
        <v>419</v>
      </c>
      <c r="AQ154" s="136" t="s">
        <v>40</v>
      </c>
      <c r="AR154" s="289"/>
      <c r="AS154" s="142"/>
      <c r="AT154" s="142"/>
      <c r="AU154" s="146"/>
      <c r="AV154" s="48"/>
      <c r="AW154" s="131" t="s">
        <v>284</v>
      </c>
      <c r="AX154" s="131"/>
      <c r="AY154" s="131"/>
      <c r="AZ154" s="48"/>
      <c r="BA154" s="48"/>
      <c r="BB154" s="89"/>
      <c r="BC154" s="51" t="s">
        <v>117</v>
      </c>
      <c r="BD154" s="52">
        <v>46.211518935901807</v>
      </c>
      <c r="BE154" s="53">
        <v>66.494080681090097</v>
      </c>
      <c r="BF154" s="54">
        <v>46.211518935901807</v>
      </c>
      <c r="BG154" s="53">
        <v>66.494080681090097</v>
      </c>
      <c r="BH154" s="450">
        <v>85438.453912997677</v>
      </c>
      <c r="BI154" s="347">
        <f t="shared" si="195"/>
        <v>0</v>
      </c>
      <c r="BJ154" s="347">
        <f t="shared" si="168"/>
        <v>85438.453912997677</v>
      </c>
      <c r="BK154" s="45">
        <v>23030.399466288276</v>
      </c>
      <c r="BL154" s="47">
        <v>45.578319828691185</v>
      </c>
      <c r="BM154" s="45">
        <v>62408.054446709401</v>
      </c>
      <c r="BN154" s="55">
        <v>3.7098120698280477</v>
      </c>
      <c r="BO154" s="47">
        <f t="shared" si="196"/>
        <v>3.7098120698280477</v>
      </c>
      <c r="BP154" s="45">
        <v>21929.683042425386</v>
      </c>
      <c r="BQ154" s="55">
        <v>3.8960186404749937</v>
      </c>
      <c r="BR154" s="54">
        <v>49.149534541879923</v>
      </c>
      <c r="BS154" s="53">
        <v>70.721612068171041</v>
      </c>
      <c r="BT154" s="54">
        <v>95.361053477781724</v>
      </c>
      <c r="BU154" s="53">
        <v>137.21569274926114</v>
      </c>
      <c r="BV154" s="450">
        <v>101512.53373161692</v>
      </c>
      <c r="BW154" s="347">
        <f t="shared" si="197"/>
        <v>0</v>
      </c>
      <c r="BX154" s="347">
        <f t="shared" si="202"/>
        <v>101512.53373161692</v>
      </c>
      <c r="BY154" s="45">
        <v>24494.616064269365</v>
      </c>
      <c r="BZ154" s="47">
        <v>48.476078180601171</v>
      </c>
      <c r="CA154" s="45">
        <v>77017.917667347559</v>
      </c>
      <c r="CB154" s="55">
        <v>4.1442794394191242</v>
      </c>
      <c r="CC154" s="47">
        <f t="shared" si="171"/>
        <v>4.1442794394191242</v>
      </c>
      <c r="CD154" s="45">
        <v>23323.918776207844</v>
      </c>
      <c r="CE154" s="55">
        <v>4.3522932276358022</v>
      </c>
      <c r="CF154" s="52">
        <v>52.603979946259656</v>
      </c>
      <c r="CG154" s="53">
        <v>75.692237936276683</v>
      </c>
      <c r="CH154" s="54">
        <v>147.96503342404139</v>
      </c>
      <c r="CI154" s="53">
        <v>212.90793068553782</v>
      </c>
      <c r="CJ154" s="450">
        <v>120970.80082767273</v>
      </c>
      <c r="CK154" s="347">
        <f t="shared" si="198"/>
        <v>0</v>
      </c>
      <c r="CL154" s="347">
        <f t="shared" si="203"/>
        <v>120970.80082767273</v>
      </c>
      <c r="CM154" s="45">
        <v>26216.205387219336</v>
      </c>
      <c r="CN154" s="47">
        <v>51.883190110636662</v>
      </c>
      <c r="CO154" s="45">
        <v>94754.595440453399</v>
      </c>
      <c r="CP154" s="55">
        <v>4.6143520406903438</v>
      </c>
      <c r="CQ154" s="47">
        <f t="shared" si="199"/>
        <v>4.6143520406903438</v>
      </c>
      <c r="CR154" s="45">
        <v>24963.226346047464</v>
      </c>
      <c r="CS154" s="55">
        <v>4.8459601796154272</v>
      </c>
    </row>
    <row r="155" spans="1:97" s="23" customFormat="1" ht="15" customHeight="1">
      <c r="A155" s="377" t="str">
        <f t="shared" si="182"/>
        <v>BNI- Direct Installation; Evaporator Fan Motor Controls for Walk-In Freezers and Coolers-BES; COM-Refrigeration; Other Commercial</v>
      </c>
      <c r="B155" s="42" t="s">
        <v>118</v>
      </c>
      <c r="C155" s="15" t="s">
        <v>46</v>
      </c>
      <c r="D155" s="15" t="s">
        <v>56</v>
      </c>
      <c r="E155" s="43">
        <v>15</v>
      </c>
      <c r="F155" s="44">
        <v>2719.5889536000013</v>
      </c>
      <c r="G155" s="44">
        <v>1861.3882538242619</v>
      </c>
      <c r="H155" s="45">
        <v>2254</v>
      </c>
      <c r="I155" s="46">
        <v>0.75</v>
      </c>
      <c r="J155" s="45">
        <v>339.94861920000017</v>
      </c>
      <c r="K155" s="45">
        <v>2030.4486192000002</v>
      </c>
      <c r="L155" s="45">
        <v>563.5</v>
      </c>
      <c r="M155" s="45">
        <v>2593.9486192000004</v>
      </c>
      <c r="N155" s="45">
        <v>4901.103501777734</v>
      </c>
      <c r="O155" s="47">
        <v>0.82</v>
      </c>
      <c r="P155" s="47">
        <v>1.8366019145325971</v>
      </c>
      <c r="Q155" s="310">
        <f t="shared" si="183"/>
        <v>1.8366019145325971</v>
      </c>
      <c r="R155" s="311">
        <f t="shared" si="184"/>
        <v>0</v>
      </c>
      <c r="S155" s="311">
        <f t="shared" si="185"/>
        <v>0</v>
      </c>
      <c r="T155" s="310">
        <f t="shared" si="186"/>
        <v>1.8366019145325971</v>
      </c>
      <c r="U155" s="316">
        <f t="shared" si="187"/>
        <v>0</v>
      </c>
      <c r="V155" s="48">
        <v>0.74660128932801939</v>
      </c>
      <c r="W155" s="49">
        <v>1.0908248803162908</v>
      </c>
      <c r="X155" s="48" t="s">
        <v>40</v>
      </c>
      <c r="Y155" s="48" t="s">
        <v>520</v>
      </c>
      <c r="Z155" s="246" t="s">
        <v>40</v>
      </c>
      <c r="AA155" s="246"/>
      <c r="AB155" s="386">
        <v>0</v>
      </c>
      <c r="AC155" s="388">
        <v>0</v>
      </c>
      <c r="AD155" s="337">
        <f t="shared" si="188"/>
        <v>0</v>
      </c>
      <c r="AE155" s="337">
        <f t="shared" si="189"/>
        <v>0</v>
      </c>
      <c r="AF155" s="337">
        <f t="shared" ref="AF155:AH155" si="208">AE155*0</f>
        <v>0</v>
      </c>
      <c r="AG155" s="337">
        <f t="shared" si="208"/>
        <v>0</v>
      </c>
      <c r="AH155" s="337">
        <f t="shared" si="208"/>
        <v>0</v>
      </c>
      <c r="AI155" s="337">
        <f t="shared" si="191"/>
        <v>0</v>
      </c>
      <c r="AJ155" s="337" t="s">
        <v>40</v>
      </c>
      <c r="AK155" s="337">
        <f t="shared" si="192"/>
        <v>0</v>
      </c>
      <c r="AL155" s="337">
        <f t="shared" ref="AL155:AM155" si="209">AK155*0</f>
        <v>0</v>
      </c>
      <c r="AM155" s="337">
        <f t="shared" si="209"/>
        <v>0</v>
      </c>
      <c r="AN155" s="337">
        <f t="shared" si="194"/>
        <v>0</v>
      </c>
      <c r="AO155" s="294" t="s">
        <v>612</v>
      </c>
      <c r="AP155" s="282" t="s">
        <v>419</v>
      </c>
      <c r="AQ155" s="136" t="s">
        <v>40</v>
      </c>
      <c r="AR155" s="289"/>
      <c r="AS155" s="142"/>
      <c r="AT155" s="142"/>
      <c r="AU155" s="146"/>
      <c r="AV155" s="48"/>
      <c r="AW155" s="131" t="s">
        <v>284</v>
      </c>
      <c r="AX155" s="131"/>
      <c r="AY155" s="131"/>
      <c r="AZ155" s="48"/>
      <c r="BA155" s="48"/>
      <c r="BB155" s="89"/>
      <c r="BC155" s="51" t="s">
        <v>118</v>
      </c>
      <c r="BD155" s="52">
        <v>10.510473544370294</v>
      </c>
      <c r="BE155" s="53">
        <v>15.356370542065967</v>
      </c>
      <c r="BF155" s="54">
        <v>10.510473544370294</v>
      </c>
      <c r="BG155" s="53">
        <v>15.356370542065967</v>
      </c>
      <c r="BH155" s="450">
        <v>27674.462105270668</v>
      </c>
      <c r="BI155" s="347">
        <f t="shared" si="195"/>
        <v>0</v>
      </c>
      <c r="BJ155" s="347">
        <f t="shared" si="168"/>
        <v>27674.462105270668</v>
      </c>
      <c r="BK155" s="45">
        <v>15068.296448070312</v>
      </c>
      <c r="BL155" s="47">
        <v>6.8860704571075253</v>
      </c>
      <c r="BM155" s="45">
        <v>12606.165657200356</v>
      </c>
      <c r="BN155" s="55">
        <v>1.8366019145325971</v>
      </c>
      <c r="BO155" s="47">
        <f t="shared" si="196"/>
        <v>1.8366019145325971</v>
      </c>
      <c r="BP155" s="45">
        <v>13981.812251347888</v>
      </c>
      <c r="BQ155" s="55">
        <v>1.9793186754172563</v>
      </c>
      <c r="BR155" s="54">
        <v>10.811784297031275</v>
      </c>
      <c r="BS155" s="53">
        <v>15.796601854826294</v>
      </c>
      <c r="BT155" s="54">
        <v>21.322257841401569</v>
      </c>
      <c r="BU155" s="53">
        <v>31.15297239689226</v>
      </c>
      <c r="BV155" s="450">
        <v>30922.831408941558</v>
      </c>
      <c r="BW155" s="347">
        <f t="shared" si="197"/>
        <v>0</v>
      </c>
      <c r="BX155" s="347">
        <f t="shared" si="202"/>
        <v>30922.831408941558</v>
      </c>
      <c r="BY155" s="45">
        <v>15500.269348712714</v>
      </c>
      <c r="BZ155" s="47">
        <v>7.0834780299964706</v>
      </c>
      <c r="CA155" s="45">
        <v>15422.562060228844</v>
      </c>
      <c r="CB155" s="55">
        <v>1.9949867136669903</v>
      </c>
      <c r="CC155" s="47">
        <f t="shared" si="171"/>
        <v>1.9949867136669903</v>
      </c>
      <c r="CD155" s="45">
        <v>14382.638185139873</v>
      </c>
      <c r="CE155" s="55">
        <v>2.150011076611174</v>
      </c>
      <c r="CF155" s="52">
        <v>11.235060789541778</v>
      </c>
      <c r="CG155" s="53">
        <v>16.415031712748238</v>
      </c>
      <c r="CH155" s="54">
        <v>32.55731863094335</v>
      </c>
      <c r="CI155" s="53">
        <v>47.568004109640498</v>
      </c>
      <c r="CJ155" s="450">
        <v>34919.063638374886</v>
      </c>
      <c r="CK155" s="347">
        <f t="shared" si="198"/>
        <v>0</v>
      </c>
      <c r="CL155" s="347">
        <f t="shared" si="203"/>
        <v>34919.063638374886</v>
      </c>
      <c r="CM155" s="45">
        <v>16107.097922299097</v>
      </c>
      <c r="CN155" s="47">
        <v>7.3607930089990923</v>
      </c>
      <c r="CO155" s="45">
        <v>18811.965716075789</v>
      </c>
      <c r="CP155" s="55">
        <v>2.1679301763002261</v>
      </c>
      <c r="CQ155" s="47">
        <f t="shared" si="199"/>
        <v>2.1679301763002261</v>
      </c>
      <c r="CR155" s="45">
        <v>14945.712001339221</v>
      </c>
      <c r="CS155" s="55">
        <v>2.3363934508604167</v>
      </c>
    </row>
    <row r="156" spans="1:97" s="23" customFormat="1" ht="15" customHeight="1">
      <c r="A156" s="377" t="str">
        <f t="shared" si="182"/>
        <v>BNI- Direct Installation; Evaporator Fan Motor Controls for Walk-In Freezers and Coolers-BES; COM-Refrigeration; Retail</v>
      </c>
      <c r="B156" s="42" t="s">
        <v>118</v>
      </c>
      <c r="C156" s="15" t="s">
        <v>46</v>
      </c>
      <c r="D156" s="15" t="s">
        <v>30</v>
      </c>
      <c r="E156" s="43">
        <v>15</v>
      </c>
      <c r="F156" s="44">
        <v>2709.4815488000013</v>
      </c>
      <c r="G156" s="44">
        <v>1883.0135948395091</v>
      </c>
      <c r="H156" s="45">
        <v>2254</v>
      </c>
      <c r="I156" s="46">
        <v>0.75</v>
      </c>
      <c r="J156" s="45">
        <v>338.68519360000016</v>
      </c>
      <c r="K156" s="45">
        <v>2029.1851936000003</v>
      </c>
      <c r="L156" s="45">
        <v>563.5</v>
      </c>
      <c r="M156" s="45">
        <v>2592.6851936000003</v>
      </c>
      <c r="N156" s="45">
        <v>4927.5994105960199</v>
      </c>
      <c r="O156" s="47">
        <v>0.82</v>
      </c>
      <c r="P156" s="47">
        <v>1.8475975422532376</v>
      </c>
      <c r="Q156" s="310">
        <f t="shared" si="183"/>
        <v>1.8475975422532376</v>
      </c>
      <c r="R156" s="311">
        <f t="shared" si="184"/>
        <v>0</v>
      </c>
      <c r="S156" s="311">
        <f t="shared" si="185"/>
        <v>0</v>
      </c>
      <c r="T156" s="310">
        <f t="shared" si="186"/>
        <v>1.8475975422532376</v>
      </c>
      <c r="U156" s="316">
        <f t="shared" si="187"/>
        <v>0</v>
      </c>
      <c r="V156" s="48">
        <v>0.74892010041504187</v>
      </c>
      <c r="W156" s="49">
        <v>1.0776264171225749</v>
      </c>
      <c r="X156" s="48" t="s">
        <v>40</v>
      </c>
      <c r="Y156" s="48" t="s">
        <v>520</v>
      </c>
      <c r="Z156" s="246" t="s">
        <v>40</v>
      </c>
      <c r="AA156" s="246"/>
      <c r="AB156" s="386">
        <v>0</v>
      </c>
      <c r="AC156" s="388">
        <v>0</v>
      </c>
      <c r="AD156" s="337">
        <f t="shared" si="188"/>
        <v>0</v>
      </c>
      <c r="AE156" s="337">
        <f t="shared" si="189"/>
        <v>0</v>
      </c>
      <c r="AF156" s="337">
        <f t="shared" ref="AF156:AH156" si="210">AE156*0</f>
        <v>0</v>
      </c>
      <c r="AG156" s="337">
        <f t="shared" si="210"/>
        <v>0</v>
      </c>
      <c r="AH156" s="337">
        <f t="shared" si="210"/>
        <v>0</v>
      </c>
      <c r="AI156" s="337">
        <f t="shared" si="191"/>
        <v>0</v>
      </c>
      <c r="AJ156" s="337" t="s">
        <v>40</v>
      </c>
      <c r="AK156" s="337">
        <f t="shared" si="192"/>
        <v>0</v>
      </c>
      <c r="AL156" s="337">
        <f t="shared" ref="AL156:AM156" si="211">AK156*0</f>
        <v>0</v>
      </c>
      <c r="AM156" s="337">
        <f t="shared" si="211"/>
        <v>0</v>
      </c>
      <c r="AN156" s="337">
        <f t="shared" si="194"/>
        <v>0</v>
      </c>
      <c r="AO156" s="294" t="s">
        <v>612</v>
      </c>
      <c r="AP156" s="282" t="s">
        <v>419</v>
      </c>
      <c r="AQ156" s="136" t="s">
        <v>40</v>
      </c>
      <c r="AR156" s="289"/>
      <c r="AS156" s="142"/>
      <c r="AT156" s="142"/>
      <c r="AU156" s="146"/>
      <c r="AV156" s="48"/>
      <c r="AW156" s="131" t="s">
        <v>284</v>
      </c>
      <c r="AX156" s="131"/>
      <c r="AY156" s="131"/>
      <c r="AZ156" s="48"/>
      <c r="BA156" s="48"/>
      <c r="BB156" s="89"/>
      <c r="BC156" s="51" t="s">
        <v>118</v>
      </c>
      <c r="BD156" s="52">
        <v>15.211421955010325</v>
      </c>
      <c r="BE156" s="53">
        <v>21.887822388039908</v>
      </c>
      <c r="BF156" s="54">
        <v>15.211421955010325</v>
      </c>
      <c r="BG156" s="53">
        <v>21.887822388039908</v>
      </c>
      <c r="BH156" s="450">
        <v>39806.294582926144</v>
      </c>
      <c r="BI156" s="347">
        <f t="shared" si="195"/>
        <v>0</v>
      </c>
      <c r="BJ156" s="347">
        <f t="shared" si="168"/>
        <v>39806.294582926144</v>
      </c>
      <c r="BK156" s="45">
        <v>21544.894747143026</v>
      </c>
      <c r="BL156" s="47">
        <v>9.8515032658922266</v>
      </c>
      <c r="BM156" s="45">
        <v>18261.399835783119</v>
      </c>
      <c r="BN156" s="55">
        <v>1.8475975422532376</v>
      </c>
      <c r="BO156" s="47">
        <f t="shared" si="196"/>
        <v>1.8475975422532376</v>
      </c>
      <c r="BP156" s="45">
        <v>19990.524561850551</v>
      </c>
      <c r="BQ156" s="55">
        <v>1.9912581313094477</v>
      </c>
      <c r="BR156" s="54">
        <v>15.646270511267861</v>
      </c>
      <c r="BS156" s="53">
        <v>22.513529044078435</v>
      </c>
      <c r="BT156" s="54">
        <v>30.857692466278188</v>
      </c>
      <c r="BU156" s="53">
        <v>44.401351432118346</v>
      </c>
      <c r="BV156" s="450">
        <v>44486.296076958628</v>
      </c>
      <c r="BW156" s="347">
        <f t="shared" si="197"/>
        <v>0</v>
      </c>
      <c r="BX156" s="347">
        <f t="shared" si="202"/>
        <v>44486.296076958628</v>
      </c>
      <c r="BY156" s="45">
        <v>22160.798138898575</v>
      </c>
      <c r="BZ156" s="47">
        <v>10.133127954551171</v>
      </c>
      <c r="CA156" s="45">
        <v>22325.497938060053</v>
      </c>
      <c r="CB156" s="55">
        <v>2.0074320337259146</v>
      </c>
      <c r="CC156" s="47">
        <f t="shared" si="171"/>
        <v>2.0074320337259146</v>
      </c>
      <c r="CD156" s="45">
        <v>20561.993210229492</v>
      </c>
      <c r="CE156" s="55">
        <v>2.1635206092192907</v>
      </c>
      <c r="CF156" s="52">
        <v>16.257458928421599</v>
      </c>
      <c r="CG156" s="53">
        <v>23.392972370274641</v>
      </c>
      <c r="CH156" s="54">
        <v>47.115151394699794</v>
      </c>
      <c r="CI156" s="53">
        <v>67.794323802392995</v>
      </c>
      <c r="CJ156" s="450">
        <v>50241.579669990278</v>
      </c>
      <c r="CK156" s="347">
        <f t="shared" si="198"/>
        <v>0</v>
      </c>
      <c r="CL156" s="347">
        <f t="shared" si="203"/>
        <v>50241.579669990278</v>
      </c>
      <c r="CM156" s="45">
        <v>23026.462779403337</v>
      </c>
      <c r="CN156" s="47">
        <v>10.52895713511521</v>
      </c>
      <c r="CO156" s="45">
        <v>27215.116890586942</v>
      </c>
      <c r="CP156" s="55">
        <v>2.1819061030481097</v>
      </c>
      <c r="CQ156" s="47">
        <f t="shared" si="199"/>
        <v>2.1819061030481097</v>
      </c>
      <c r="CR156" s="45">
        <v>21365.20392262486</v>
      </c>
      <c r="CS156" s="55">
        <v>2.3515609704425309</v>
      </c>
    </row>
    <row r="157" spans="1:97" s="23" customFormat="1" ht="15" customHeight="1">
      <c r="A157" s="377" t="str">
        <f t="shared" si="182"/>
        <v>BNI- Direct Installation; Electronically Commutated (Brushless) DC Motors for Refrigeration Applications-BES; COM-Refrigeration; Other Commercial</v>
      </c>
      <c r="B157" s="42" t="s">
        <v>119</v>
      </c>
      <c r="C157" s="15" t="s">
        <v>46</v>
      </c>
      <c r="D157" s="15" t="s">
        <v>56</v>
      </c>
      <c r="E157" s="43">
        <v>15</v>
      </c>
      <c r="F157" s="44">
        <v>613.21199999999999</v>
      </c>
      <c r="G157" s="28">
        <v>62.088091413394977</v>
      </c>
      <c r="H157" s="29">
        <v>245</v>
      </c>
      <c r="I157" s="30">
        <v>0.75</v>
      </c>
      <c r="J157" s="29">
        <v>76.651499999999999</v>
      </c>
      <c r="K157" s="29">
        <v>260.4015</v>
      </c>
      <c r="L157" s="29">
        <v>61.25</v>
      </c>
      <c r="M157" s="29">
        <v>321.6515</v>
      </c>
      <c r="N157" s="29">
        <v>544.91714873784667</v>
      </c>
      <c r="O157" s="31">
        <v>0.82</v>
      </c>
      <c r="P157" s="31">
        <v>1.6099068531967375</v>
      </c>
      <c r="Q157" s="310">
        <f t="shared" si="183"/>
        <v>1.6099068531967375</v>
      </c>
      <c r="R157" s="311">
        <f t="shared" si="184"/>
        <v>0</v>
      </c>
      <c r="S157" s="311">
        <f t="shared" si="185"/>
        <v>0</v>
      </c>
      <c r="T157" s="310">
        <f t="shared" si="186"/>
        <v>1.6099068531967375</v>
      </c>
      <c r="U157" s="316">
        <f t="shared" si="187"/>
        <v>0</v>
      </c>
      <c r="V157" s="32">
        <v>0.42465167022171779</v>
      </c>
      <c r="W157" s="33">
        <v>4.1940651431237361</v>
      </c>
      <c r="X157" s="48" t="s">
        <v>40</v>
      </c>
      <c r="Y157" s="48" t="s">
        <v>525</v>
      </c>
      <c r="Z157" s="246" t="s">
        <v>40</v>
      </c>
      <c r="AA157" s="246"/>
      <c r="AB157" s="386">
        <v>0</v>
      </c>
      <c r="AC157" s="388">
        <v>0</v>
      </c>
      <c r="AD157" s="337">
        <f t="shared" si="188"/>
        <v>0</v>
      </c>
      <c r="AE157" s="337">
        <f t="shared" si="189"/>
        <v>0</v>
      </c>
      <c r="AF157" s="337">
        <f t="shared" ref="AF157:AH157" si="212">AE157*0</f>
        <v>0</v>
      </c>
      <c r="AG157" s="337">
        <f t="shared" si="212"/>
        <v>0</v>
      </c>
      <c r="AH157" s="337">
        <f t="shared" si="212"/>
        <v>0</v>
      </c>
      <c r="AI157" s="337">
        <f t="shared" si="191"/>
        <v>0</v>
      </c>
      <c r="AJ157" s="337" t="s">
        <v>40</v>
      </c>
      <c r="AK157" s="337">
        <f t="shared" si="192"/>
        <v>0</v>
      </c>
      <c r="AL157" s="337">
        <f t="shared" ref="AL157:AM157" si="213">AK157*0</f>
        <v>0</v>
      </c>
      <c r="AM157" s="337">
        <f t="shared" si="213"/>
        <v>0</v>
      </c>
      <c r="AN157" s="337">
        <f t="shared" si="194"/>
        <v>0</v>
      </c>
      <c r="AO157" s="294" t="s">
        <v>615</v>
      </c>
      <c r="AP157" s="282" t="s">
        <v>419</v>
      </c>
      <c r="AQ157" s="136" t="s">
        <v>40</v>
      </c>
      <c r="AR157" s="289"/>
      <c r="AS157" s="142"/>
      <c r="AT157" s="142"/>
      <c r="AU157" s="146"/>
      <c r="AV157" s="48"/>
      <c r="AW157" s="131" t="s">
        <v>284</v>
      </c>
      <c r="AX157" s="131"/>
      <c r="AY157" s="131"/>
      <c r="AZ157" s="48"/>
      <c r="BA157" s="48"/>
      <c r="BB157" s="89"/>
      <c r="BC157" s="51" t="s">
        <v>119</v>
      </c>
      <c r="BD157" s="52">
        <v>1.6667454395832657</v>
      </c>
      <c r="BE157" s="53">
        <v>16.461583553802573</v>
      </c>
      <c r="BF157" s="54">
        <v>1.6667454395832657</v>
      </c>
      <c r="BG157" s="53">
        <v>16.461583553802573</v>
      </c>
      <c r="BH157" s="450">
        <v>14628.218583210906</v>
      </c>
      <c r="BI157" s="347">
        <f t="shared" si="195"/>
        <v>0</v>
      </c>
      <c r="BJ157" s="347">
        <f t="shared" si="168"/>
        <v>14628.218583210906</v>
      </c>
      <c r="BK157" s="45">
        <v>9086.3757453818835</v>
      </c>
      <c r="BL157" s="47">
        <v>32.737620749237109</v>
      </c>
      <c r="BM157" s="45">
        <v>5541.8428378290228</v>
      </c>
      <c r="BN157" s="55">
        <v>1.6099068531967373</v>
      </c>
      <c r="BO157" s="47">
        <f t="shared" si="196"/>
        <v>1.6099068531967373</v>
      </c>
      <c r="BP157" s="45">
        <v>8524.9255495324669</v>
      </c>
      <c r="BQ157" s="55">
        <v>1.7159350540032767</v>
      </c>
      <c r="BR157" s="54">
        <v>1.7566987491657782</v>
      </c>
      <c r="BS157" s="53">
        <v>17.350005916610318</v>
      </c>
      <c r="BT157" s="54">
        <v>3.4234441887490439</v>
      </c>
      <c r="BU157" s="53">
        <v>33.811589470412891</v>
      </c>
      <c r="BV157" s="450">
        <v>16273.195105374502</v>
      </c>
      <c r="BW157" s="347">
        <f t="shared" si="197"/>
        <v>0</v>
      </c>
      <c r="BX157" s="347">
        <f t="shared" si="202"/>
        <v>16273.195105374502</v>
      </c>
      <c r="BY157" s="45">
        <v>9576.7623101183253</v>
      </c>
      <c r="BZ157" s="47">
        <v>34.504451642734146</v>
      </c>
      <c r="CA157" s="45">
        <v>6696.4327952561762</v>
      </c>
      <c r="CB157" s="55">
        <v>1.6992376523933419</v>
      </c>
      <c r="CC157" s="47">
        <f t="shared" si="171"/>
        <v>1.6992376523933419</v>
      </c>
      <c r="CD157" s="45">
        <v>8985.0109644454351</v>
      </c>
      <c r="CE157" s="55">
        <v>1.8111491649558495</v>
      </c>
      <c r="CF157" s="52">
        <v>1.871434160714595</v>
      </c>
      <c r="CG157" s="53">
        <v>18.483188296436122</v>
      </c>
      <c r="CH157" s="54">
        <v>5.2948783494636382</v>
      </c>
      <c r="CI157" s="53">
        <v>52.294777766849009</v>
      </c>
      <c r="CJ157" s="450">
        <v>18383.912881873675</v>
      </c>
      <c r="CK157" s="347">
        <f t="shared" si="198"/>
        <v>0</v>
      </c>
      <c r="CL157" s="347">
        <f t="shared" si="203"/>
        <v>18383.912881873675</v>
      </c>
      <c r="CM157" s="45">
        <v>10202.250183596017</v>
      </c>
      <c r="CN157" s="47">
        <v>36.758043763395328</v>
      </c>
      <c r="CO157" s="45">
        <v>8181.6626982776579</v>
      </c>
      <c r="CP157" s="55">
        <v>1.8019468794671181</v>
      </c>
      <c r="CQ157" s="47">
        <f t="shared" si="199"/>
        <v>1.8019468794671181</v>
      </c>
      <c r="CR157" s="45">
        <v>9571.8497330537884</v>
      </c>
      <c r="CS157" s="55">
        <v>1.9206228048471985</v>
      </c>
    </row>
    <row r="158" spans="1:97" s="23" customFormat="1" ht="15" customHeight="1">
      <c r="A158" s="377" t="str">
        <f t="shared" si="182"/>
        <v>BNI- Direct Installation; Electronically Commutated (Brushless) DC Motors for Refrigeration Applications-BES; COM-Refrigeration; Retail</v>
      </c>
      <c r="B158" s="42" t="s">
        <v>119</v>
      </c>
      <c r="C158" s="15" t="s">
        <v>46</v>
      </c>
      <c r="D158" s="15" t="s">
        <v>30</v>
      </c>
      <c r="E158" s="43">
        <v>15</v>
      </c>
      <c r="F158" s="44">
        <v>613.21199999999999</v>
      </c>
      <c r="G158" s="28">
        <v>62.129419287849473</v>
      </c>
      <c r="H158" s="29">
        <v>245</v>
      </c>
      <c r="I158" s="30">
        <v>0.75</v>
      </c>
      <c r="J158" s="29">
        <v>76.651499999999999</v>
      </c>
      <c r="K158" s="29">
        <v>260.4015</v>
      </c>
      <c r="L158" s="29">
        <v>61.25</v>
      </c>
      <c r="M158" s="29">
        <v>321.6515</v>
      </c>
      <c r="N158" s="29">
        <v>544.98188594349381</v>
      </c>
      <c r="O158" s="31">
        <v>0.82</v>
      </c>
      <c r="P158" s="31">
        <v>1.6100981132282295</v>
      </c>
      <c r="Q158" s="310">
        <f t="shared" si="183"/>
        <v>1.6100981132282295</v>
      </c>
      <c r="R158" s="311">
        <f t="shared" si="184"/>
        <v>0</v>
      </c>
      <c r="S158" s="311">
        <f t="shared" si="185"/>
        <v>0</v>
      </c>
      <c r="T158" s="310">
        <f t="shared" si="186"/>
        <v>1.6100981132282295</v>
      </c>
      <c r="U158" s="316">
        <f t="shared" si="187"/>
        <v>0</v>
      </c>
      <c r="V158" s="32">
        <v>0.42465167022171779</v>
      </c>
      <c r="W158" s="33">
        <v>4.1912752925235566</v>
      </c>
      <c r="X158" s="48" t="s">
        <v>40</v>
      </c>
      <c r="Y158" s="48" t="s">
        <v>525</v>
      </c>
      <c r="Z158" s="246" t="s">
        <v>40</v>
      </c>
      <c r="AA158" s="246"/>
      <c r="AB158" s="386">
        <v>0</v>
      </c>
      <c r="AC158" s="388">
        <v>0</v>
      </c>
      <c r="AD158" s="337">
        <f t="shared" si="188"/>
        <v>0</v>
      </c>
      <c r="AE158" s="337">
        <f t="shared" si="189"/>
        <v>0</v>
      </c>
      <c r="AF158" s="337">
        <f t="shared" ref="AF158:AH158" si="214">AE158*0</f>
        <v>0</v>
      </c>
      <c r="AG158" s="337">
        <f t="shared" si="214"/>
        <v>0</v>
      </c>
      <c r="AH158" s="337">
        <f t="shared" si="214"/>
        <v>0</v>
      </c>
      <c r="AI158" s="337">
        <f t="shared" si="191"/>
        <v>0</v>
      </c>
      <c r="AJ158" s="337" t="s">
        <v>40</v>
      </c>
      <c r="AK158" s="337">
        <f t="shared" si="192"/>
        <v>0</v>
      </c>
      <c r="AL158" s="337">
        <f t="shared" ref="AL158:AM158" si="215">AK158*0</f>
        <v>0</v>
      </c>
      <c r="AM158" s="337">
        <f t="shared" si="215"/>
        <v>0</v>
      </c>
      <c r="AN158" s="337">
        <f t="shared" si="194"/>
        <v>0</v>
      </c>
      <c r="AO158" s="294" t="s">
        <v>615</v>
      </c>
      <c r="AP158" s="282" t="s">
        <v>419</v>
      </c>
      <c r="AQ158" s="136" t="s">
        <v>40</v>
      </c>
      <c r="AR158" s="289"/>
      <c r="AS158" s="142"/>
      <c r="AT158" s="142"/>
      <c r="AU158" s="146"/>
      <c r="AV158" s="48"/>
      <c r="AW158" s="131" t="s">
        <v>284</v>
      </c>
      <c r="AX158" s="131"/>
      <c r="AY158" s="131"/>
      <c r="AZ158" s="48"/>
      <c r="BA158" s="48"/>
      <c r="BB158" s="89"/>
      <c r="BC158" s="51" t="s">
        <v>119</v>
      </c>
      <c r="BD158" s="52">
        <v>2.3862704538666186</v>
      </c>
      <c r="BE158" s="53">
        <v>23.552283190946056</v>
      </c>
      <c r="BF158" s="54">
        <v>2.3862704538666186</v>
      </c>
      <c r="BG158" s="53">
        <v>23.552283190946056</v>
      </c>
      <c r="BH158" s="450">
        <v>20931.696887335911</v>
      </c>
      <c r="BI158" s="347">
        <f t="shared" si="195"/>
        <v>0</v>
      </c>
      <c r="BJ158" s="347">
        <f t="shared" si="168"/>
        <v>20931.696887335911</v>
      </c>
      <c r="BK158" s="45">
        <v>13000.261732726389</v>
      </c>
      <c r="BL158" s="47">
        <v>46.839097366529778</v>
      </c>
      <c r="BM158" s="45">
        <v>7931.4351546095222</v>
      </c>
      <c r="BN158" s="55">
        <v>1.6100981132282295</v>
      </c>
      <c r="BO158" s="47">
        <f t="shared" si="196"/>
        <v>1.6100981132282295</v>
      </c>
      <c r="BP158" s="45">
        <v>12196.971212890403</v>
      </c>
      <c r="BQ158" s="55">
        <v>1.7161389103890143</v>
      </c>
      <c r="BR158" s="54">
        <v>2.5150561219035663</v>
      </c>
      <c r="BS158" s="53">
        <v>24.823386606582154</v>
      </c>
      <c r="BT158" s="54">
        <v>4.9013265757701845</v>
      </c>
      <c r="BU158" s="53">
        <v>48.375669797528211</v>
      </c>
      <c r="BV158" s="450">
        <v>23285.672883673065</v>
      </c>
      <c r="BW158" s="347">
        <f t="shared" si="197"/>
        <v>0</v>
      </c>
      <c r="BX158" s="347">
        <f t="shared" si="202"/>
        <v>23285.672883673065</v>
      </c>
      <c r="BY158" s="45">
        <v>13701.878512664913</v>
      </c>
      <c r="BZ158" s="47">
        <v>49.36697698504571</v>
      </c>
      <c r="CA158" s="45">
        <v>9583.7943710081527</v>
      </c>
      <c r="CB158" s="55">
        <v>1.6994511272413972</v>
      </c>
      <c r="CC158" s="47">
        <f t="shared" si="171"/>
        <v>1.6994511272413972</v>
      </c>
      <c r="CD158" s="45">
        <v>12855.234857371379</v>
      </c>
      <c r="CE158" s="55">
        <v>1.8113766992223188</v>
      </c>
      <c r="CF158" s="52">
        <v>2.6793221916278211</v>
      </c>
      <c r="CG158" s="53">
        <v>26.444678521142979</v>
      </c>
      <c r="CH158" s="54">
        <v>7.5806487673980056</v>
      </c>
      <c r="CI158" s="53">
        <v>74.820348318671194</v>
      </c>
      <c r="CJ158" s="450">
        <v>26306.102393125158</v>
      </c>
      <c r="CK158" s="347">
        <f t="shared" si="198"/>
        <v>0</v>
      </c>
      <c r="CL158" s="347">
        <f t="shared" si="203"/>
        <v>26306.102393125158</v>
      </c>
      <c r="CM158" s="45">
        <v>14596.790443859178</v>
      </c>
      <c r="CN158" s="47">
        <v>52.591286459843239</v>
      </c>
      <c r="CO158" s="45">
        <v>11709.311949265981</v>
      </c>
      <c r="CP158" s="55">
        <v>1.8021840139653476</v>
      </c>
      <c r="CQ158" s="47">
        <f t="shared" si="199"/>
        <v>1.8021840139653476</v>
      </c>
      <c r="CR158" s="45">
        <v>13694.849881072869</v>
      </c>
      <c r="CS158" s="55">
        <v>1.9208755569845144</v>
      </c>
    </row>
    <row r="159" spans="1:97" s="23" customFormat="1" ht="15" customHeight="1">
      <c r="A159" s="377" t="str">
        <f t="shared" si="182"/>
        <v>BNI- Direct Installation; Relamp/Reballast-Retrofit (dual baseline)-BES; COM-Lighting; Office</v>
      </c>
      <c r="B159" s="42" t="s">
        <v>120</v>
      </c>
      <c r="C159" s="15" t="s">
        <v>73</v>
      </c>
      <c r="D159" s="15" t="s">
        <v>66</v>
      </c>
      <c r="E159" s="43">
        <v>15</v>
      </c>
      <c r="F159" s="44">
        <v>87.468158804681281</v>
      </c>
      <c r="G159" s="44">
        <v>9.9963577389163394</v>
      </c>
      <c r="H159" s="45">
        <v>44.476701245850407</v>
      </c>
      <c r="I159" s="46">
        <v>0.78692886431781928</v>
      </c>
      <c r="J159" s="45">
        <v>10.93351985058516</v>
      </c>
      <c r="K159" s="45">
        <v>45.933519850585157</v>
      </c>
      <c r="L159" s="45">
        <v>9.476701245850407</v>
      </c>
      <c r="M159" s="45">
        <v>55.410221096435563</v>
      </c>
      <c r="N159" s="45">
        <v>79.512595219968418</v>
      </c>
      <c r="O159" s="47">
        <v>0.82</v>
      </c>
      <c r="P159" s="47">
        <v>1.375406241299995</v>
      </c>
      <c r="Q159" s="310">
        <f t="shared" si="183"/>
        <v>1.375406241299995</v>
      </c>
      <c r="R159" s="311">
        <f t="shared" si="184"/>
        <v>0</v>
      </c>
      <c r="S159" s="311">
        <f t="shared" si="185"/>
        <v>27.430382816026697</v>
      </c>
      <c r="T159" s="310">
        <f t="shared" si="186"/>
        <v>1.849896095668834</v>
      </c>
      <c r="U159" s="316">
        <f t="shared" si="187"/>
        <v>0.34498160624919411</v>
      </c>
      <c r="V159" s="48">
        <v>0.52514561273841287</v>
      </c>
      <c r="W159" s="49">
        <v>4.5950256133555101</v>
      </c>
      <c r="X159" s="48" t="s">
        <v>74</v>
      </c>
      <c r="Y159" s="48" t="s">
        <v>527</v>
      </c>
      <c r="Z159" s="247">
        <f>0.027*Z3</f>
        <v>3.4020000000000002E-2</v>
      </c>
      <c r="AA159" s="247"/>
      <c r="AB159" s="386">
        <v>0</v>
      </c>
      <c r="AC159" s="387">
        <f t="shared" ref="AC159:AC183" si="216">Z159*F159</f>
        <v>2.9756667625352575</v>
      </c>
      <c r="AD159" s="361">
        <f t="shared" ref="AD159:AD167" si="217">AC159*0.05</f>
        <v>0.14878333812676289</v>
      </c>
      <c r="AE159" s="361">
        <f t="shared" ref="AE159:AE167" si="218">AC159*0.029</f>
        <v>8.6294336113522468E-2</v>
      </c>
      <c r="AF159" s="361">
        <f t="shared" ref="AF159:AF167" si="219">AC159*0.004</f>
        <v>1.1902667050141031E-2</v>
      </c>
      <c r="AG159" s="361">
        <f t="shared" ref="AG159:AG167" si="220">AC159*0</f>
        <v>0</v>
      </c>
      <c r="AH159" s="361">
        <f t="shared" ref="AH159:AH167" si="221">AC159*0.073</f>
        <v>0.21722367366507378</v>
      </c>
      <c r="AI159" s="361">
        <f t="shared" ref="AI159:AI167" si="222">AC159*0.737</f>
        <v>2.1930664039884848</v>
      </c>
      <c r="AJ159" s="361" t="s">
        <v>40</v>
      </c>
      <c r="AK159" s="361">
        <f t="shared" ref="AK159:AK167" si="223">AC159*0</f>
        <v>0</v>
      </c>
      <c r="AL159" s="361">
        <f t="shared" ref="AL159:AL167" si="224">AC159*0.083</f>
        <v>0.2469803412904264</v>
      </c>
      <c r="AM159" s="361">
        <f t="shared" ref="AM159:AM167" si="225">AC159*0.023</f>
        <v>6.8440335538310929E-2</v>
      </c>
      <c r="AN159" s="361">
        <f t="shared" si="194"/>
        <v>2.9726910957727219</v>
      </c>
      <c r="AO159" s="294" t="s">
        <v>617</v>
      </c>
      <c r="AP159" s="282" t="s">
        <v>420</v>
      </c>
      <c r="AQ159" s="136" t="s">
        <v>74</v>
      </c>
      <c r="AR159" s="294"/>
      <c r="AS159" s="142"/>
      <c r="AT159" s="142" t="s">
        <v>217</v>
      </c>
      <c r="AU159" s="146" t="s">
        <v>227</v>
      </c>
      <c r="AV159" s="48"/>
      <c r="AW159" s="131" t="s">
        <v>284</v>
      </c>
      <c r="AX159" s="131"/>
      <c r="AY159" s="131"/>
      <c r="AZ159" s="48"/>
      <c r="BA159" s="48"/>
      <c r="BB159" s="89"/>
      <c r="BC159" s="51" t="s">
        <v>120</v>
      </c>
      <c r="BD159" s="52">
        <v>38.259139313833785</v>
      </c>
      <c r="BE159" s="53">
        <v>334.76757841557725</v>
      </c>
      <c r="BF159" s="54">
        <v>38.259139313833785</v>
      </c>
      <c r="BG159" s="53">
        <v>334.76757841557725</v>
      </c>
      <c r="BH159" s="450">
        <v>96581.900267553952</v>
      </c>
      <c r="BI159" s="347">
        <f t="shared" si="195"/>
        <v>19524.390571014719</v>
      </c>
      <c r="BJ159" s="347">
        <f t="shared" si="168"/>
        <v>116106.29083856868</v>
      </c>
      <c r="BK159" s="45">
        <v>82689.257611567009</v>
      </c>
      <c r="BL159" s="47">
        <v>868.02406526258653</v>
      </c>
      <c r="BM159" s="45">
        <v>13892.642655986943</v>
      </c>
      <c r="BN159" s="55">
        <v>1.1680102477306988</v>
      </c>
      <c r="BO159" s="47">
        <f t="shared" si="196"/>
        <v>1.4041278660884617</v>
      </c>
      <c r="BP159" s="45">
        <v>81412.485335345598</v>
      </c>
      <c r="BQ159" s="55">
        <v>1.1863278693645591</v>
      </c>
      <c r="BR159" s="54">
        <v>31.022071577536146</v>
      </c>
      <c r="BS159" s="53">
        <v>271.4432150252631</v>
      </c>
      <c r="BT159" s="54">
        <v>69.281210891369923</v>
      </c>
      <c r="BU159" s="53">
        <v>606.21079344084035</v>
      </c>
      <c r="BV159" s="450">
        <v>84385.273511521023</v>
      </c>
      <c r="BW159" s="347">
        <f t="shared" si="197"/>
        <v>15831.172699245366</v>
      </c>
      <c r="BX159" s="347">
        <f t="shared" si="202"/>
        <v>100216.44621076639</v>
      </c>
      <c r="BY159" s="45">
        <v>67047.824763580924</v>
      </c>
      <c r="BZ159" s="47">
        <v>703.82933768359089</v>
      </c>
      <c r="CA159" s="45">
        <v>17337.4487479401</v>
      </c>
      <c r="CB159" s="55">
        <v>1.2585833143591776</v>
      </c>
      <c r="CC159" s="47">
        <f t="shared" si="171"/>
        <v>1.4947009327169405</v>
      </c>
      <c r="CD159" s="45">
        <v>66012.565694727993</v>
      </c>
      <c r="CE159" s="55">
        <v>1.2783213714455026</v>
      </c>
      <c r="CF159" s="52">
        <v>26.748606073090087</v>
      </c>
      <c r="CG159" s="53">
        <v>234.05037963942823</v>
      </c>
      <c r="CH159" s="54">
        <v>96.029816964460011</v>
      </c>
      <c r="CI159" s="53">
        <v>840.26117308026858</v>
      </c>
      <c r="CJ159" s="450">
        <v>78807.824477628921</v>
      </c>
      <c r="CK159" s="347">
        <f t="shared" si="198"/>
        <v>13650.33928017276</v>
      </c>
      <c r="CL159" s="347">
        <f t="shared" si="203"/>
        <v>92458.163757801682</v>
      </c>
      <c r="CM159" s="45">
        <v>57811.608363294225</v>
      </c>
      <c r="CN159" s="47">
        <v>606.87287273281186</v>
      </c>
      <c r="CO159" s="45">
        <v>20996.216114334697</v>
      </c>
      <c r="CP159" s="55">
        <v>1.3631833935909943</v>
      </c>
      <c r="CQ159" s="47">
        <f t="shared" si="199"/>
        <v>1.5993010119487572</v>
      </c>
      <c r="CR159" s="45">
        <v>56918.962076049065</v>
      </c>
      <c r="CS159" s="55">
        <v>1.3845618683688274</v>
      </c>
    </row>
    <row r="160" spans="1:97" s="23" customFormat="1" ht="15" customHeight="1">
      <c r="A160" s="377" t="str">
        <f t="shared" si="182"/>
        <v>BNI- Direct Installation; Relamp/Reballast-Retrofit (dual baseline)-BES; COM-Lighting; Other Commercial</v>
      </c>
      <c r="B160" s="42" t="s">
        <v>120</v>
      </c>
      <c r="C160" s="15" t="s">
        <v>73</v>
      </c>
      <c r="D160" s="15" t="s">
        <v>56</v>
      </c>
      <c r="E160" s="43">
        <v>15</v>
      </c>
      <c r="F160" s="44">
        <v>84.736735861629398</v>
      </c>
      <c r="G160" s="44">
        <v>10.273041186242946</v>
      </c>
      <c r="H160" s="45">
        <v>44.476701245850407</v>
      </c>
      <c r="I160" s="46">
        <v>0.78692886431781928</v>
      </c>
      <c r="J160" s="45">
        <v>10.592091982703675</v>
      </c>
      <c r="K160" s="45">
        <v>45.592091982703678</v>
      </c>
      <c r="L160" s="45">
        <v>9.476701245850407</v>
      </c>
      <c r="M160" s="45">
        <v>55.068793228554085</v>
      </c>
      <c r="N160" s="45">
        <v>77.951991390733767</v>
      </c>
      <c r="O160" s="47">
        <v>0.82</v>
      </c>
      <c r="P160" s="47">
        <v>1.3581932854062171</v>
      </c>
      <c r="Q160" s="310">
        <f t="shared" si="183"/>
        <v>1.3581932854062171</v>
      </c>
      <c r="R160" s="311">
        <f t="shared" si="184"/>
        <v>0</v>
      </c>
      <c r="S160" s="311">
        <f t="shared" si="185"/>
        <v>26.573797082609136</v>
      </c>
      <c r="T160" s="310">
        <f t="shared" si="186"/>
        <v>1.8212007355229742</v>
      </c>
      <c r="U160" s="316">
        <f t="shared" si="187"/>
        <v>0.34089952813916169</v>
      </c>
      <c r="V160" s="48">
        <v>0.53804399613826459</v>
      </c>
      <c r="W160" s="49">
        <v>4.4380326289120626</v>
      </c>
      <c r="X160" s="48" t="s">
        <v>74</v>
      </c>
      <c r="Y160" s="48" t="s">
        <v>527</v>
      </c>
      <c r="Z160" s="247">
        <f>0.027*Z3</f>
        <v>3.4020000000000002E-2</v>
      </c>
      <c r="AA160" s="247"/>
      <c r="AB160" s="386">
        <v>0</v>
      </c>
      <c r="AC160" s="387">
        <f t="shared" si="216"/>
        <v>2.8827437540126324</v>
      </c>
      <c r="AD160" s="361">
        <f t="shared" si="217"/>
        <v>0.14413718770063164</v>
      </c>
      <c r="AE160" s="361">
        <f t="shared" si="218"/>
        <v>8.3599568866366339E-2</v>
      </c>
      <c r="AF160" s="361">
        <f t="shared" si="219"/>
        <v>1.153097501605053E-2</v>
      </c>
      <c r="AG160" s="361">
        <f t="shared" si="220"/>
        <v>0</v>
      </c>
      <c r="AH160" s="361">
        <f t="shared" si="221"/>
        <v>0.21044029404292214</v>
      </c>
      <c r="AI160" s="361">
        <f t="shared" si="222"/>
        <v>2.12458214670731</v>
      </c>
      <c r="AJ160" s="361" t="s">
        <v>40</v>
      </c>
      <c r="AK160" s="361">
        <f t="shared" si="223"/>
        <v>0</v>
      </c>
      <c r="AL160" s="361">
        <f t="shared" si="224"/>
        <v>0.23926773158304851</v>
      </c>
      <c r="AM160" s="361">
        <f t="shared" si="225"/>
        <v>6.6303106342290544E-2</v>
      </c>
      <c r="AN160" s="361">
        <f t="shared" si="194"/>
        <v>2.8798610102586197</v>
      </c>
      <c r="AO160" s="294" t="s">
        <v>617</v>
      </c>
      <c r="AP160" s="282" t="s">
        <v>420</v>
      </c>
      <c r="AQ160" s="136" t="s">
        <v>74</v>
      </c>
      <c r="AR160" s="294"/>
      <c r="AS160" s="142"/>
      <c r="AT160" s="142" t="s">
        <v>217</v>
      </c>
      <c r="AU160" s="146" t="s">
        <v>227</v>
      </c>
      <c r="AV160" s="48"/>
      <c r="AW160" s="131" t="s">
        <v>284</v>
      </c>
      <c r="AX160" s="131"/>
      <c r="AY160" s="131"/>
      <c r="AZ160" s="48"/>
      <c r="BA160" s="48"/>
      <c r="BB160" s="89"/>
      <c r="BC160" s="51" t="s">
        <v>120</v>
      </c>
      <c r="BD160" s="52">
        <v>54.951422161928548</v>
      </c>
      <c r="BE160" s="53">
        <v>453.2644287644647</v>
      </c>
      <c r="BF160" s="54">
        <v>54.951422161928548</v>
      </c>
      <c r="BG160" s="53">
        <v>453.2644287644647</v>
      </c>
      <c r="BH160" s="450">
        <v>131612.57953379344</v>
      </c>
      <c r="BI160" s="347">
        <f t="shared" si="195"/>
        <v>25759.475064475348</v>
      </c>
      <c r="BJ160" s="347">
        <f t="shared" si="168"/>
        <v>157372.05459826879</v>
      </c>
      <c r="BK160" s="45">
        <v>112208.95359545118</v>
      </c>
      <c r="BL160" s="47">
        <v>1182.1417121313823</v>
      </c>
      <c r="BM160" s="45">
        <v>19403.625938342258</v>
      </c>
      <c r="BN160" s="55">
        <v>1.1729240431944359</v>
      </c>
      <c r="BO160" s="47">
        <f t="shared" si="196"/>
        <v>1.4024910629292997</v>
      </c>
      <c r="BP160" s="45">
        <v>110470.14723625459</v>
      </c>
      <c r="BQ160" s="55">
        <v>1.1913859339059543</v>
      </c>
      <c r="BR160" s="54">
        <v>44.676960818958854</v>
      </c>
      <c r="BS160" s="53">
        <v>368.51597880150399</v>
      </c>
      <c r="BT160" s="54">
        <v>99.628382980887409</v>
      </c>
      <c r="BU160" s="53">
        <v>821.78040756596874</v>
      </c>
      <c r="BV160" s="450">
        <v>115702.0413516183</v>
      </c>
      <c r="BW160" s="347">
        <f t="shared" si="197"/>
        <v>20943.135098145802</v>
      </c>
      <c r="BX160" s="347">
        <f t="shared" si="202"/>
        <v>136645.17644976411</v>
      </c>
      <c r="BY160" s="45">
        <v>91228.849519995856</v>
      </c>
      <c r="BZ160" s="47">
        <v>961.11250405347403</v>
      </c>
      <c r="CA160" s="45">
        <v>24473.191831622447</v>
      </c>
      <c r="CB160" s="55">
        <v>1.268261541830124</v>
      </c>
      <c r="CC160" s="47">
        <f t="shared" si="171"/>
        <v>1.4978285615649878</v>
      </c>
      <c r="CD160" s="45">
        <v>89815.153922588666</v>
      </c>
      <c r="CE160" s="55">
        <v>1.2882240501568527</v>
      </c>
      <c r="CF160" s="52">
        <v>38.587551976258368</v>
      </c>
      <c r="CG160" s="53">
        <v>318.28775336146833</v>
      </c>
      <c r="CH160" s="54">
        <v>138.21593495714578</v>
      </c>
      <c r="CI160" s="53">
        <v>1140.068160927437</v>
      </c>
      <c r="CJ160" s="450">
        <v>108542.92030907019</v>
      </c>
      <c r="CK160" s="347">
        <f t="shared" si="198"/>
        <v>18088.614340180509</v>
      </c>
      <c r="CL160" s="347">
        <f t="shared" si="203"/>
        <v>126631.53464925071</v>
      </c>
      <c r="CM160" s="45">
        <v>78794.481720727068</v>
      </c>
      <c r="CN160" s="47">
        <v>830.11418022546502</v>
      </c>
      <c r="CO160" s="45">
        <v>29748.438588343124</v>
      </c>
      <c r="CP160" s="55">
        <v>1.3775446952463135</v>
      </c>
      <c r="CQ160" s="47">
        <f t="shared" si="199"/>
        <v>1.6071117149811773</v>
      </c>
      <c r="CR160" s="45">
        <v>77573.470905676077</v>
      </c>
      <c r="CS160" s="55">
        <v>1.3992273265824446</v>
      </c>
    </row>
    <row r="161" spans="1:97" s="23" customFormat="1" ht="15" customHeight="1">
      <c r="A161" s="377" t="str">
        <f t="shared" si="182"/>
        <v>BNI- Direct Installation; Relamp/Reballast-Retrofit (dual baseline)-BES; COM-Lighting; Retail</v>
      </c>
      <c r="B161" s="42" t="s">
        <v>120</v>
      </c>
      <c r="C161" s="15" t="s">
        <v>73</v>
      </c>
      <c r="D161" s="15" t="s">
        <v>30</v>
      </c>
      <c r="E161" s="43">
        <v>15</v>
      </c>
      <c r="F161" s="44">
        <v>85.16894192420628</v>
      </c>
      <c r="G161" s="44">
        <v>11.483772532253406</v>
      </c>
      <c r="H161" s="45">
        <v>44.476701245850407</v>
      </c>
      <c r="I161" s="46">
        <v>0.78692886431781928</v>
      </c>
      <c r="J161" s="45">
        <v>10.646117740525785</v>
      </c>
      <c r="K161" s="45">
        <v>45.646117740525781</v>
      </c>
      <c r="L161" s="45">
        <v>9.476701245850407</v>
      </c>
      <c r="M161" s="45">
        <v>55.122818986376188</v>
      </c>
      <c r="N161" s="45">
        <v>80.16403833992247</v>
      </c>
      <c r="O161" s="47">
        <v>0.82</v>
      </c>
      <c r="P161" s="47">
        <v>1.3951332562318068</v>
      </c>
      <c r="Q161" s="310">
        <f t="shared" si="183"/>
        <v>1.3951332562318068</v>
      </c>
      <c r="R161" s="311">
        <f t="shared" si="184"/>
        <v>0</v>
      </c>
      <c r="S161" s="311">
        <f t="shared" si="185"/>
        <v>26.70933872329195</v>
      </c>
      <c r="T161" s="310">
        <f t="shared" si="186"/>
        <v>1.8599687046010194</v>
      </c>
      <c r="U161" s="316">
        <f t="shared" si="187"/>
        <v>0.33318354808967315</v>
      </c>
      <c r="V161" s="48">
        <v>0.53594792549081172</v>
      </c>
      <c r="W161" s="49">
        <v>3.9748364583436122</v>
      </c>
      <c r="X161" s="48" t="s">
        <v>74</v>
      </c>
      <c r="Y161" s="48" t="s">
        <v>527</v>
      </c>
      <c r="Z161" s="247">
        <f>0.027*Z3</f>
        <v>3.4020000000000002E-2</v>
      </c>
      <c r="AA161" s="247"/>
      <c r="AB161" s="386">
        <v>0</v>
      </c>
      <c r="AC161" s="387">
        <f t="shared" si="216"/>
        <v>2.8974474042614977</v>
      </c>
      <c r="AD161" s="361">
        <f t="shared" si="217"/>
        <v>0.14487237021307489</v>
      </c>
      <c r="AE161" s="361">
        <f t="shared" si="218"/>
        <v>8.4025974723583433E-2</v>
      </c>
      <c r="AF161" s="361">
        <f t="shared" si="219"/>
        <v>1.158978961704599E-2</v>
      </c>
      <c r="AG161" s="361">
        <f t="shared" si="220"/>
        <v>0</v>
      </c>
      <c r="AH161" s="361">
        <f t="shared" si="221"/>
        <v>0.21151366051108933</v>
      </c>
      <c r="AI161" s="361">
        <f t="shared" si="222"/>
        <v>2.1354187369407236</v>
      </c>
      <c r="AJ161" s="361" t="s">
        <v>40</v>
      </c>
      <c r="AK161" s="361">
        <f t="shared" si="223"/>
        <v>0</v>
      </c>
      <c r="AL161" s="361">
        <f t="shared" si="224"/>
        <v>0.24048813455370432</v>
      </c>
      <c r="AM161" s="361">
        <f t="shared" si="225"/>
        <v>6.6641290298014452E-2</v>
      </c>
      <c r="AN161" s="361">
        <f t="shared" si="194"/>
        <v>2.8945499568572357</v>
      </c>
      <c r="AO161" s="294" t="s">
        <v>617</v>
      </c>
      <c r="AP161" s="282" t="s">
        <v>420</v>
      </c>
      <c r="AQ161" s="136" t="s">
        <v>74</v>
      </c>
      <c r="AR161" s="294"/>
      <c r="AS161" s="142"/>
      <c r="AT161" s="142" t="s">
        <v>217</v>
      </c>
      <c r="AU161" s="146" t="s">
        <v>227</v>
      </c>
      <c r="AV161" s="48"/>
      <c r="AW161" s="131" t="s">
        <v>284</v>
      </c>
      <c r="AX161" s="131"/>
      <c r="AY161" s="131"/>
      <c r="AZ161" s="48"/>
      <c r="BA161" s="48"/>
      <c r="BB161" s="89"/>
      <c r="BC161" s="51" t="s">
        <v>120</v>
      </c>
      <c r="BD161" s="52">
        <v>87.466975279156131</v>
      </c>
      <c r="BE161" s="53">
        <v>648.69534091813478</v>
      </c>
      <c r="BF161" s="54">
        <v>87.466975279156131</v>
      </c>
      <c r="BG161" s="53">
        <v>648.69534091813478</v>
      </c>
      <c r="BH161" s="450">
        <v>192129.48417069574</v>
      </c>
      <c r="BI161" s="347">
        <f t="shared" si="195"/>
        <v>37019.830750820031</v>
      </c>
      <c r="BJ161" s="347">
        <f t="shared" si="168"/>
        <v>229149.31492151576</v>
      </c>
      <c r="BK161" s="45">
        <v>160532.33729001088</v>
      </c>
      <c r="BL161" s="47">
        <v>1690.2752827274546</v>
      </c>
      <c r="BM161" s="45">
        <v>31597.146880684857</v>
      </c>
      <c r="BN161" s="55">
        <v>1.196827302299865</v>
      </c>
      <c r="BO161" s="47">
        <f t="shared" si="196"/>
        <v>1.4274339911188383</v>
      </c>
      <c r="BP161" s="45">
        <v>158046.11979151805</v>
      </c>
      <c r="BQ161" s="55">
        <v>1.2156545470659943</v>
      </c>
      <c r="BR161" s="54">
        <v>71.082252931639943</v>
      </c>
      <c r="BS161" s="53">
        <v>527.17869974986661</v>
      </c>
      <c r="BT161" s="54">
        <v>158.54922821079606</v>
      </c>
      <c r="BU161" s="53">
        <v>1175.8740406680013</v>
      </c>
      <c r="BV161" s="450">
        <v>169903.49607996433</v>
      </c>
      <c r="BW161" s="347">
        <f t="shared" si="197"/>
        <v>30085.103143418994</v>
      </c>
      <c r="BX161" s="347">
        <f t="shared" si="202"/>
        <v>199988.59922338332</v>
      </c>
      <c r="BY161" s="45">
        <v>130460.67005903646</v>
      </c>
      <c r="BZ161" s="47">
        <v>1373.6450218779225</v>
      </c>
      <c r="CA161" s="45">
        <v>39442.826020927867</v>
      </c>
      <c r="CB161" s="55">
        <v>1.3023349949304956</v>
      </c>
      <c r="CC161" s="47">
        <f t="shared" si="171"/>
        <v>1.5329416837494692</v>
      </c>
      <c r="CD161" s="45">
        <v>128440.18243491428</v>
      </c>
      <c r="CE161" s="55">
        <v>1.3228219771959693</v>
      </c>
      <c r="CF161" s="52">
        <v>61.377172472082037</v>
      </c>
      <c r="CG161" s="53">
        <v>455.20135678976169</v>
      </c>
      <c r="CH161" s="54">
        <v>219.92640068287807</v>
      </c>
      <c r="CI161" s="53">
        <v>1631.0753974577628</v>
      </c>
      <c r="CJ161" s="450">
        <v>160158.29305602086</v>
      </c>
      <c r="CK161" s="347">
        <f t="shared" si="198"/>
        <v>25977.490700102429</v>
      </c>
      <c r="CL161" s="347">
        <f t="shared" si="203"/>
        <v>186135.7837561233</v>
      </c>
      <c r="CM161" s="45">
        <v>112648.47014257591</v>
      </c>
      <c r="CN161" s="47">
        <v>1186.0970065805291</v>
      </c>
      <c r="CO161" s="45">
        <v>47509.82291344495</v>
      </c>
      <c r="CP161" s="55">
        <v>1.4217529350670555</v>
      </c>
      <c r="CQ161" s="47">
        <f t="shared" si="199"/>
        <v>1.652359623886029</v>
      </c>
      <c r="CR161" s="45">
        <v>110903.84596046511</v>
      </c>
      <c r="CS161" s="55">
        <v>1.4441184764062549</v>
      </c>
    </row>
    <row r="162" spans="1:97" s="23" customFormat="1" ht="15" customHeight="1">
      <c r="A162" s="377" t="str">
        <f t="shared" si="182"/>
        <v>BNI- Direct Installation; LED Lamps-Retrofit (dual baseline)-BES; COM-Lighting; Office</v>
      </c>
      <c r="B162" s="149" t="s">
        <v>121</v>
      </c>
      <c r="C162" s="15" t="s">
        <v>73</v>
      </c>
      <c r="D162" s="15" t="s">
        <v>66</v>
      </c>
      <c r="E162" s="43">
        <v>10</v>
      </c>
      <c r="F162" s="44">
        <v>90.35823252745152</v>
      </c>
      <c r="G162" s="44">
        <v>10.326651770704132</v>
      </c>
      <c r="H162" s="45">
        <v>6.060495051526221</v>
      </c>
      <c r="I162" s="46">
        <v>0.75</v>
      </c>
      <c r="J162" s="45">
        <v>11.29477906593144</v>
      </c>
      <c r="K162" s="45">
        <v>15.840150354576107</v>
      </c>
      <c r="L162" s="45">
        <v>1.5151237628815553</v>
      </c>
      <c r="M162" s="45">
        <v>17.355274117457661</v>
      </c>
      <c r="N162" s="45">
        <v>57.456938187932067</v>
      </c>
      <c r="O162" s="47">
        <v>0.82</v>
      </c>
      <c r="P162" s="47">
        <v>2.8968011572770771</v>
      </c>
      <c r="Q162" s="310">
        <f t="shared" si="183"/>
        <v>2.8968011572770771</v>
      </c>
      <c r="R162" s="311">
        <f t="shared" si="184"/>
        <v>0</v>
      </c>
      <c r="S162" s="311">
        <f t="shared" si="185"/>
        <v>21.781304430783745</v>
      </c>
      <c r="T162" s="310">
        <f t="shared" si="186"/>
        <v>3.9949471753562489</v>
      </c>
      <c r="U162" s="316">
        <f t="shared" si="187"/>
        <v>0.37908919475557046</v>
      </c>
      <c r="V162" s="48">
        <v>0.17530389773575694</v>
      </c>
      <c r="W162" s="49">
        <v>1.5339096065496582</v>
      </c>
      <c r="X162" s="48" t="s">
        <v>74</v>
      </c>
      <c r="Y162" s="48" t="s">
        <v>527</v>
      </c>
      <c r="Z162" s="247">
        <f>0.027*Z3</f>
        <v>3.4020000000000002E-2</v>
      </c>
      <c r="AA162" s="247"/>
      <c r="AB162" s="386">
        <v>0</v>
      </c>
      <c r="AC162" s="387">
        <f t="shared" si="216"/>
        <v>3.0739870705839007</v>
      </c>
      <c r="AD162" s="361">
        <f t="shared" si="217"/>
        <v>0.15369935352919506</v>
      </c>
      <c r="AE162" s="361">
        <f t="shared" si="218"/>
        <v>8.914562504693313E-2</v>
      </c>
      <c r="AF162" s="361">
        <f t="shared" si="219"/>
        <v>1.2295948282335604E-2</v>
      </c>
      <c r="AG162" s="361">
        <f t="shared" si="220"/>
        <v>0</v>
      </c>
      <c r="AH162" s="361">
        <f t="shared" si="221"/>
        <v>0.22440105615262473</v>
      </c>
      <c r="AI162" s="361">
        <f t="shared" si="222"/>
        <v>2.2655284710203349</v>
      </c>
      <c r="AJ162" s="361" t="s">
        <v>40</v>
      </c>
      <c r="AK162" s="361">
        <f t="shared" si="223"/>
        <v>0</v>
      </c>
      <c r="AL162" s="361">
        <f t="shared" si="224"/>
        <v>0.25514092685846379</v>
      </c>
      <c r="AM162" s="361">
        <f t="shared" si="225"/>
        <v>7.0701702623429716E-2</v>
      </c>
      <c r="AN162" s="361">
        <f t="shared" si="194"/>
        <v>3.0709130835133167</v>
      </c>
      <c r="AO162" s="294" t="s">
        <v>617</v>
      </c>
      <c r="AP162" s="282" t="s">
        <v>420</v>
      </c>
      <c r="AQ162" s="136" t="s">
        <v>74</v>
      </c>
      <c r="AR162" s="294"/>
      <c r="AS162" s="142"/>
      <c r="AT162" s="142" t="s">
        <v>217</v>
      </c>
      <c r="AU162" s="146" t="s">
        <v>227</v>
      </c>
      <c r="AV162" s="48"/>
      <c r="AW162" s="131" t="s">
        <v>284</v>
      </c>
      <c r="AX162" s="131"/>
      <c r="AY162" s="131"/>
      <c r="AZ162" s="48"/>
      <c r="BA162" s="48"/>
      <c r="BB162" s="89"/>
      <c r="BC162" s="51" t="s">
        <v>121</v>
      </c>
      <c r="BD162" s="52">
        <v>18.421775876320094</v>
      </c>
      <c r="BE162" s="53">
        <v>161.19059160330616</v>
      </c>
      <c r="BF162" s="54">
        <v>18.421775876320094</v>
      </c>
      <c r="BG162" s="53">
        <v>161.19059160330616</v>
      </c>
      <c r="BH162" s="450">
        <v>71586.603930366895</v>
      </c>
      <c r="BI162" s="347">
        <f t="shared" si="195"/>
        <v>26563.037834631661</v>
      </c>
      <c r="BJ162" s="347">
        <f t="shared" si="168"/>
        <v>98149.641764998552</v>
      </c>
      <c r="BK162" s="45">
        <v>31962.715327925285</v>
      </c>
      <c r="BL162" s="47">
        <v>1487.236390353022</v>
      </c>
      <c r="BM162" s="45">
        <v>39623.888602441613</v>
      </c>
      <c r="BN162" s="55">
        <v>2.2396909397689027</v>
      </c>
      <c r="BO162" s="47">
        <f t="shared" si="196"/>
        <v>3.0707541821156497</v>
      </c>
      <c r="BP162" s="45">
        <v>31331.778113032389</v>
      </c>
      <c r="BQ162" s="55">
        <v>2.2847922537977694</v>
      </c>
      <c r="BR162" s="54">
        <v>18.368849112310834</v>
      </c>
      <c r="BS162" s="53">
        <v>160.72748226685678</v>
      </c>
      <c r="BT162" s="54">
        <v>36.790624988630931</v>
      </c>
      <c r="BU162" s="53">
        <v>321.91807387016297</v>
      </c>
      <c r="BV162" s="450">
        <v>78026.466824764022</v>
      </c>
      <c r="BW162" s="347">
        <f t="shared" si="197"/>
        <v>26183.437719840316</v>
      </c>
      <c r="BX162" s="347">
        <f t="shared" si="202"/>
        <v>104209.90454460433</v>
      </c>
      <c r="BY162" s="45">
        <v>31786.498325370616</v>
      </c>
      <c r="BZ162" s="47">
        <v>1465.9829814615198</v>
      </c>
      <c r="CA162" s="45">
        <v>46239.968499393406</v>
      </c>
      <c r="CB162" s="55">
        <v>2.4547046996518849</v>
      </c>
      <c r="CC162" s="47">
        <f t="shared" si="171"/>
        <v>3.2784329836491763</v>
      </c>
      <c r="CD162" s="45">
        <v>31164.577543036772</v>
      </c>
      <c r="CE162" s="55">
        <v>2.5036908238853313</v>
      </c>
      <c r="CF162" s="52">
        <v>16.50061688757102</v>
      </c>
      <c r="CG162" s="53">
        <v>144.38044495731774</v>
      </c>
      <c r="CH162" s="54">
        <v>35.790282187160898</v>
      </c>
      <c r="CI162" s="53">
        <v>313.1650714963618</v>
      </c>
      <c r="CJ162" s="450">
        <v>58227.941846684662</v>
      </c>
      <c r="CK162" s="347">
        <f t="shared" si="198"/>
        <v>23254.141867693346</v>
      </c>
      <c r="CL162" s="347">
        <f t="shared" si="203"/>
        <v>81482.083714378008</v>
      </c>
      <c r="CM162" s="45">
        <v>28479.515899243346</v>
      </c>
      <c r="CN162" s="47">
        <v>1301.9748052677839</v>
      </c>
      <c r="CO162" s="45">
        <v>29748.425947441316</v>
      </c>
      <c r="CP162" s="55">
        <v>2.0445551831950795</v>
      </c>
      <c r="CQ162" s="47">
        <f t="shared" si="199"/>
        <v>2.8610768526631749</v>
      </c>
      <c r="CR162" s="45">
        <v>27927.17306872574</v>
      </c>
      <c r="CS162" s="55">
        <v>2.0849923371546422</v>
      </c>
    </row>
    <row r="163" spans="1:97" s="23" customFormat="1" ht="15" customHeight="1">
      <c r="A163" s="377" t="str">
        <f t="shared" si="182"/>
        <v>BNI- Direct Installation; LED Lamps-Retrofit (dual baseline)-BES; COM-Lighting; Other Commercial</v>
      </c>
      <c r="B163" s="149" t="s">
        <v>121</v>
      </c>
      <c r="C163" s="15" t="s">
        <v>73</v>
      </c>
      <c r="D163" s="15" t="s">
        <v>56</v>
      </c>
      <c r="E163" s="43">
        <v>10</v>
      </c>
      <c r="F163" s="44">
        <v>150.80091295120059</v>
      </c>
      <c r="G163" s="44">
        <v>18.282318452771843</v>
      </c>
      <c r="H163" s="45">
        <v>6.060495051526221</v>
      </c>
      <c r="I163" s="46">
        <v>0.75</v>
      </c>
      <c r="J163" s="45">
        <v>18.850114118900073</v>
      </c>
      <c r="K163" s="45">
        <v>23.39548540754474</v>
      </c>
      <c r="L163" s="45">
        <v>1.5151237628815553</v>
      </c>
      <c r="M163" s="45">
        <v>24.910609170426294</v>
      </c>
      <c r="N163" s="45">
        <v>97.062452384609216</v>
      </c>
      <c r="O163" s="47">
        <v>0.82</v>
      </c>
      <c r="P163" s="47">
        <v>3.3413999304377922</v>
      </c>
      <c r="Q163" s="310">
        <f t="shared" si="183"/>
        <v>3.3413999304377922</v>
      </c>
      <c r="R163" s="311">
        <f t="shared" si="184"/>
        <v>0</v>
      </c>
      <c r="S163" s="311">
        <f t="shared" si="185"/>
        <v>36.351315221137384</v>
      </c>
      <c r="T163" s="310">
        <f t="shared" si="186"/>
        <v>4.5928033224511067</v>
      </c>
      <c r="U163" s="316">
        <f t="shared" si="187"/>
        <v>0.3745146998459879</v>
      </c>
      <c r="V163" s="48">
        <v>0.15514153694225682</v>
      </c>
      <c r="W163" s="49">
        <v>1.2796782567802647</v>
      </c>
      <c r="X163" s="48" t="s">
        <v>74</v>
      </c>
      <c r="Y163" s="48" t="s">
        <v>527</v>
      </c>
      <c r="Z163" s="247">
        <f>0.027*Z3</f>
        <v>3.4020000000000002E-2</v>
      </c>
      <c r="AA163" s="247"/>
      <c r="AB163" s="386">
        <v>0</v>
      </c>
      <c r="AC163" s="387">
        <f t="shared" si="216"/>
        <v>5.1302470585998439</v>
      </c>
      <c r="AD163" s="361">
        <f t="shared" si="217"/>
        <v>0.25651235292999219</v>
      </c>
      <c r="AE163" s="361">
        <f t="shared" si="218"/>
        <v>0.14877716469939548</v>
      </c>
      <c r="AF163" s="361">
        <f t="shared" si="219"/>
        <v>2.0520988234399375E-2</v>
      </c>
      <c r="AG163" s="361">
        <f t="shared" si="220"/>
        <v>0</v>
      </c>
      <c r="AH163" s="361">
        <f t="shared" si="221"/>
        <v>0.37450803527778859</v>
      </c>
      <c r="AI163" s="361">
        <f t="shared" si="222"/>
        <v>3.7809920821880847</v>
      </c>
      <c r="AJ163" s="361" t="s">
        <v>40</v>
      </c>
      <c r="AK163" s="361">
        <f t="shared" si="223"/>
        <v>0</v>
      </c>
      <c r="AL163" s="361">
        <f t="shared" si="224"/>
        <v>0.42581050586378705</v>
      </c>
      <c r="AM163" s="361">
        <f t="shared" si="225"/>
        <v>0.11799568234779641</v>
      </c>
      <c r="AN163" s="361">
        <f t="shared" si="194"/>
        <v>5.1251168115412433</v>
      </c>
      <c r="AO163" s="294" t="s">
        <v>617</v>
      </c>
      <c r="AP163" s="282" t="s">
        <v>420</v>
      </c>
      <c r="AQ163" s="136" t="s">
        <v>74</v>
      </c>
      <c r="AR163" s="294"/>
      <c r="AS163" s="142"/>
      <c r="AT163" s="142" t="s">
        <v>217</v>
      </c>
      <c r="AU163" s="146" t="s">
        <v>227</v>
      </c>
      <c r="AV163" s="48"/>
      <c r="AW163" s="131" t="s">
        <v>284</v>
      </c>
      <c r="AX163" s="131"/>
      <c r="AY163" s="131"/>
      <c r="AZ163" s="48"/>
      <c r="BA163" s="48"/>
      <c r="BB163" s="89"/>
      <c r="BC163" s="51" t="s">
        <v>121</v>
      </c>
      <c r="BD163" s="52">
        <v>44.630435540858706</v>
      </c>
      <c r="BE163" s="53">
        <v>368.13221705755802</v>
      </c>
      <c r="BF163" s="54">
        <v>44.630435540858706</v>
      </c>
      <c r="BG163" s="53">
        <v>368.13221705755802</v>
      </c>
      <c r="BH163" s="450">
        <v>165694.1756733708</v>
      </c>
      <c r="BI163" s="347">
        <f t="shared" si="195"/>
        <v>60979.284901920204</v>
      </c>
      <c r="BJ163" s="347">
        <f t="shared" si="168"/>
        <v>226673.46057529101</v>
      </c>
      <c r="BK163" s="45">
        <v>66284.188731072092</v>
      </c>
      <c r="BL163" s="47">
        <v>2045.7301513114492</v>
      </c>
      <c r="BM163" s="45">
        <v>99409.98694229871</v>
      </c>
      <c r="BN163" s="55">
        <v>2.4997541471862084</v>
      </c>
      <c r="BO163" s="47">
        <f t="shared" si="196"/>
        <v>3.4197214285136619</v>
      </c>
      <c r="BP163" s="45">
        <v>65416.319108957417</v>
      </c>
      <c r="BQ163" s="55">
        <v>2.5329180536341487</v>
      </c>
      <c r="BR163" s="54">
        <v>44.819982546451939</v>
      </c>
      <c r="BS163" s="53">
        <v>369.69568733428827</v>
      </c>
      <c r="BT163" s="54">
        <v>89.450418087310638</v>
      </c>
      <c r="BU163" s="53">
        <v>737.82790439184623</v>
      </c>
      <c r="BV163" s="450">
        <v>182381.43171995293</v>
      </c>
      <c r="BW163" s="347">
        <f t="shared" si="197"/>
        <v>60537.06451751227</v>
      </c>
      <c r="BX163" s="347">
        <f t="shared" si="202"/>
        <v>242918.49623746521</v>
      </c>
      <c r="BY163" s="45">
        <v>66448.795586273176</v>
      </c>
      <c r="BZ163" s="47">
        <v>2030.8945628757547</v>
      </c>
      <c r="CA163" s="45">
        <v>115932.63613367976</v>
      </c>
      <c r="CB163" s="55">
        <v>2.7446913087109261</v>
      </c>
      <c r="CC163" s="47">
        <f t="shared" si="171"/>
        <v>3.6557245935642917</v>
      </c>
      <c r="CD163" s="45">
        <v>65587.219734879574</v>
      </c>
      <c r="CE163" s="55">
        <v>2.7807464999612064</v>
      </c>
      <c r="CF163" s="52">
        <v>41.390150709741576</v>
      </c>
      <c r="CG163" s="53">
        <v>341.40486778746009</v>
      </c>
      <c r="CH163" s="54">
        <v>89.1023589341155</v>
      </c>
      <c r="CI163" s="53">
        <v>734.95695352210623</v>
      </c>
      <c r="CJ163" s="450">
        <v>140124.85124755328</v>
      </c>
      <c r="CK163" s="347">
        <f t="shared" si="198"/>
        <v>55271.608051060401</v>
      </c>
      <c r="CL163" s="347">
        <f t="shared" si="203"/>
        <v>195396.45929861368</v>
      </c>
      <c r="CM163" s="45">
        <v>61258.313206047911</v>
      </c>
      <c r="CN163" s="47">
        <v>1854.2492796264714</v>
      </c>
      <c r="CO163" s="45">
        <v>78866.538041505366</v>
      </c>
      <c r="CP163" s="55">
        <v>2.2874422084759432</v>
      </c>
      <c r="CQ163" s="47">
        <f t="shared" si="199"/>
        <v>3.1897133478256237</v>
      </c>
      <c r="CR163" s="45">
        <v>60471.676405204846</v>
      </c>
      <c r="CS163" s="55">
        <v>2.31719805994154</v>
      </c>
    </row>
    <row r="164" spans="1:97" s="23" customFormat="1" ht="15" customHeight="1">
      <c r="A164" s="377" t="str">
        <f t="shared" si="182"/>
        <v>BNI- Direct Installation; LED Lamps-Retrofit (dual baseline)-BES; COM-Lighting; Retail</v>
      </c>
      <c r="B164" s="149" t="s">
        <v>121</v>
      </c>
      <c r="C164" s="15" t="s">
        <v>73</v>
      </c>
      <c r="D164" s="15" t="s">
        <v>30</v>
      </c>
      <c r="E164" s="43">
        <v>10</v>
      </c>
      <c r="F164" s="44">
        <v>141.2367797275291</v>
      </c>
      <c r="G164" s="44">
        <v>19.043691455299697</v>
      </c>
      <c r="H164" s="45">
        <v>6.060495051526221</v>
      </c>
      <c r="I164" s="46">
        <v>0.75</v>
      </c>
      <c r="J164" s="45">
        <v>17.654597465941137</v>
      </c>
      <c r="K164" s="45">
        <v>22.199968754585804</v>
      </c>
      <c r="L164" s="45">
        <v>1.5151237628815553</v>
      </c>
      <c r="M164" s="45">
        <v>23.715092517467358</v>
      </c>
      <c r="N164" s="45">
        <v>93.053468840567461</v>
      </c>
      <c r="O164" s="47">
        <v>0.82</v>
      </c>
      <c r="P164" s="47">
        <v>3.3726643573949788</v>
      </c>
      <c r="Q164" s="310">
        <f t="shared" si="183"/>
        <v>3.3726643573949788</v>
      </c>
      <c r="R164" s="311">
        <f t="shared" si="184"/>
        <v>0</v>
      </c>
      <c r="S164" s="311">
        <f t="shared" si="185"/>
        <v>34.045833013989593</v>
      </c>
      <c r="T164" s="310">
        <f t="shared" si="186"/>
        <v>4.6066341271930176</v>
      </c>
      <c r="U164" s="316">
        <f t="shared" si="187"/>
        <v>0.36587387271206195</v>
      </c>
      <c r="V164" s="48">
        <v>0.15718263187119882</v>
      </c>
      <c r="W164" s="49">
        <v>1.1657387333067581</v>
      </c>
      <c r="X164" s="48" t="s">
        <v>74</v>
      </c>
      <c r="Y164" s="48" t="s">
        <v>527</v>
      </c>
      <c r="Z164" s="247">
        <f>0.027*Z3</f>
        <v>3.4020000000000002E-2</v>
      </c>
      <c r="AA164" s="247"/>
      <c r="AB164" s="386">
        <v>0</v>
      </c>
      <c r="AC164" s="387">
        <f t="shared" si="216"/>
        <v>4.80487524633054</v>
      </c>
      <c r="AD164" s="361">
        <f t="shared" si="217"/>
        <v>0.240243762316527</v>
      </c>
      <c r="AE164" s="361">
        <f t="shared" si="218"/>
        <v>0.13934138214358566</v>
      </c>
      <c r="AF164" s="361">
        <f t="shared" si="219"/>
        <v>1.9219500985322161E-2</v>
      </c>
      <c r="AG164" s="361">
        <f t="shared" si="220"/>
        <v>0</v>
      </c>
      <c r="AH164" s="361">
        <f t="shared" si="221"/>
        <v>0.35075589298212939</v>
      </c>
      <c r="AI164" s="361">
        <f t="shared" si="222"/>
        <v>3.541193056545608</v>
      </c>
      <c r="AJ164" s="361" t="s">
        <v>40</v>
      </c>
      <c r="AK164" s="361">
        <f t="shared" si="223"/>
        <v>0</v>
      </c>
      <c r="AL164" s="361">
        <f t="shared" si="224"/>
        <v>0.39880464544543481</v>
      </c>
      <c r="AM164" s="361">
        <f t="shared" si="225"/>
        <v>0.11051213066560242</v>
      </c>
      <c r="AN164" s="361">
        <f t="shared" si="194"/>
        <v>4.8000703710842103</v>
      </c>
      <c r="AO164" s="294" t="s">
        <v>617</v>
      </c>
      <c r="AP164" s="282" t="s">
        <v>420</v>
      </c>
      <c r="AQ164" s="136" t="s">
        <v>74</v>
      </c>
      <c r="AR164" s="294"/>
      <c r="AS164" s="142"/>
      <c r="AT164" s="142" t="s">
        <v>217</v>
      </c>
      <c r="AU164" s="146" t="s">
        <v>227</v>
      </c>
      <c r="AV164" s="48"/>
      <c r="AW164" s="131" t="s">
        <v>284</v>
      </c>
      <c r="AX164" s="131"/>
      <c r="AY164" s="131">
        <v>98.32</v>
      </c>
      <c r="AZ164" s="48"/>
      <c r="BA164" s="48"/>
      <c r="BB164" s="89"/>
      <c r="BC164" s="51" t="s">
        <v>121</v>
      </c>
      <c r="BD164" s="52">
        <v>52.864895662198293</v>
      </c>
      <c r="BE164" s="53">
        <v>392.07039462314196</v>
      </c>
      <c r="BF164" s="54">
        <v>52.864895662198293</v>
      </c>
      <c r="BG164" s="53">
        <v>392.07039462314196</v>
      </c>
      <c r="BH164" s="450">
        <v>209692.79795992817</v>
      </c>
      <c r="BI164" s="347">
        <f t="shared" si="195"/>
        <v>81566.351309299091</v>
      </c>
      <c r="BJ164" s="347">
        <f t="shared" si="168"/>
        <v>291259.14926922729</v>
      </c>
      <c r="BK164" s="45">
        <v>74286.445820853012</v>
      </c>
      <c r="BL164" s="47">
        <v>2921.6838399112867</v>
      </c>
      <c r="BM164" s="45">
        <v>135406.35213907517</v>
      </c>
      <c r="BN164" s="55">
        <v>2.8227598674678434</v>
      </c>
      <c r="BO164" s="47">
        <f t="shared" si="196"/>
        <v>3.9207576301552938</v>
      </c>
      <c r="BP164" s="45">
        <v>73046.966289079559</v>
      </c>
      <c r="BQ164" s="55">
        <v>2.8706571759610093</v>
      </c>
      <c r="BR164" s="54">
        <v>53.041278144640501</v>
      </c>
      <c r="BS164" s="53">
        <v>393.37852828404266</v>
      </c>
      <c r="BT164" s="54">
        <v>105.90617380683879</v>
      </c>
      <c r="BU164" s="53">
        <v>785.44892290718462</v>
      </c>
      <c r="BV164" s="450">
        <v>228857.06601842758</v>
      </c>
      <c r="BW164" s="347">
        <f t="shared" si="197"/>
        <v>80901.413514416054</v>
      </c>
      <c r="BX164" s="347">
        <f t="shared" si="202"/>
        <v>309758.47953284363</v>
      </c>
      <c r="BY164" s="45">
        <v>74367.490934962814</v>
      </c>
      <c r="BZ164" s="47">
        <v>2897.8659544882998</v>
      </c>
      <c r="CA164" s="45">
        <v>154489.57508346476</v>
      </c>
      <c r="CB164" s="55">
        <v>3.077380494369129</v>
      </c>
      <c r="CC164" s="47">
        <f t="shared" si="171"/>
        <v>4.1652404247944732</v>
      </c>
      <c r="CD164" s="45">
        <v>73138.115775561426</v>
      </c>
      <c r="CE164" s="55">
        <v>3.129108038833269</v>
      </c>
      <c r="CF164" s="52">
        <v>48.7965215948728</v>
      </c>
      <c r="CG164" s="53">
        <v>361.89746027662716</v>
      </c>
      <c r="CH164" s="54">
        <v>109.66583996672637</v>
      </c>
      <c r="CI164" s="53">
        <v>813.33233734495172</v>
      </c>
      <c r="CJ164" s="450">
        <v>170173.26198428887</v>
      </c>
      <c r="CK164" s="347">
        <f t="shared" si="198"/>
        <v>73584.51151678602</v>
      </c>
      <c r="CL164" s="347">
        <f t="shared" si="203"/>
        <v>243757.77350107487</v>
      </c>
      <c r="CM164" s="45">
        <v>68266.066708140192</v>
      </c>
      <c r="CN164" s="47">
        <v>2635.7765759451026</v>
      </c>
      <c r="CO164" s="45">
        <v>101907.19527614868</v>
      </c>
      <c r="CP164" s="55">
        <v>2.4927943001584572</v>
      </c>
      <c r="CQ164" s="47">
        <f t="shared" si="199"/>
        <v>3.5707018912224613</v>
      </c>
      <c r="CR164" s="45">
        <v>67147.878945459102</v>
      </c>
      <c r="CS164" s="55">
        <v>2.5343058434133443</v>
      </c>
    </row>
    <row r="165" spans="1:97" s="23" customFormat="1" ht="15" customHeight="1">
      <c r="A165" s="377" t="str">
        <f t="shared" si="182"/>
        <v>BNI- Direct Installation; LED Lamps-End of Life-BES; COM-Lighting; Office</v>
      </c>
      <c r="B165" s="149" t="s">
        <v>122</v>
      </c>
      <c r="C165" s="15" t="s">
        <v>73</v>
      </c>
      <c r="D165" s="15" t="s">
        <v>66</v>
      </c>
      <c r="E165" s="43">
        <v>10</v>
      </c>
      <c r="F165" s="44">
        <v>52.563494754620386</v>
      </c>
      <c r="G165" s="44">
        <v>6.0072545798999526</v>
      </c>
      <c r="H165" s="45">
        <v>23.5</v>
      </c>
      <c r="I165" s="46">
        <v>0.85106382978723405</v>
      </c>
      <c r="J165" s="45">
        <v>6.5704368443275483</v>
      </c>
      <c r="K165" s="45">
        <v>26.570436844327549</v>
      </c>
      <c r="L165" s="45">
        <v>3.5</v>
      </c>
      <c r="M165" s="45">
        <v>30.070436844327549</v>
      </c>
      <c r="N165" s="45">
        <v>33.424043217538305</v>
      </c>
      <c r="O165" s="47">
        <v>0.82</v>
      </c>
      <c r="P165" s="47">
        <v>1.0606521709944663</v>
      </c>
      <c r="Q165" s="310">
        <f t="shared" si="183"/>
        <v>1.0606521709944663</v>
      </c>
      <c r="R165" s="311">
        <f t="shared" si="184"/>
        <v>0</v>
      </c>
      <c r="S165" s="311">
        <f t="shared" si="185"/>
        <v>12.670693628811977</v>
      </c>
      <c r="T165" s="310">
        <f t="shared" si="186"/>
        <v>1.4627339484125057</v>
      </c>
      <c r="U165" s="316">
        <f t="shared" si="187"/>
        <v>0.37908919475557001</v>
      </c>
      <c r="V165" s="48">
        <v>0.50549220458732869</v>
      </c>
      <c r="W165" s="49">
        <v>4.4230582358256019</v>
      </c>
      <c r="X165" s="48" t="s">
        <v>74</v>
      </c>
      <c r="Y165" s="48" t="s">
        <v>527</v>
      </c>
      <c r="Z165" s="247">
        <f>0.027*Z3</f>
        <v>3.4020000000000002E-2</v>
      </c>
      <c r="AA165" s="247"/>
      <c r="AB165" s="386">
        <v>0</v>
      </c>
      <c r="AC165" s="387">
        <f t="shared" si="216"/>
        <v>1.7882100915521857</v>
      </c>
      <c r="AD165" s="361">
        <f t="shared" si="217"/>
        <v>8.9410504577609295E-2</v>
      </c>
      <c r="AE165" s="361">
        <f t="shared" si="218"/>
        <v>5.1858092655013385E-2</v>
      </c>
      <c r="AF165" s="361">
        <f t="shared" si="219"/>
        <v>7.1528403662087427E-3</v>
      </c>
      <c r="AG165" s="361">
        <f t="shared" si="220"/>
        <v>0</v>
      </c>
      <c r="AH165" s="361">
        <f t="shared" si="221"/>
        <v>0.13053933668330955</v>
      </c>
      <c r="AI165" s="361">
        <f t="shared" si="222"/>
        <v>1.3179108374739608</v>
      </c>
      <c r="AJ165" s="361" t="s">
        <v>40</v>
      </c>
      <c r="AK165" s="361">
        <f t="shared" si="223"/>
        <v>0</v>
      </c>
      <c r="AL165" s="361">
        <f t="shared" si="224"/>
        <v>0.14842143759883142</v>
      </c>
      <c r="AM165" s="361">
        <f t="shared" si="225"/>
        <v>4.1128832105700272E-2</v>
      </c>
      <c r="AN165" s="361">
        <f t="shared" si="194"/>
        <v>1.7864218814606334</v>
      </c>
      <c r="AO165" s="294" t="s">
        <v>617</v>
      </c>
      <c r="AP165" s="282" t="s">
        <v>420</v>
      </c>
      <c r="AQ165" s="136" t="s">
        <v>74</v>
      </c>
      <c r="AR165" s="294"/>
      <c r="AS165" s="142"/>
      <c r="AT165" s="142" t="s">
        <v>217</v>
      </c>
      <c r="AU165" s="146" t="s">
        <v>227</v>
      </c>
      <c r="AV165" s="48"/>
      <c r="AW165" s="131" t="s">
        <v>284</v>
      </c>
      <c r="AX165" s="131"/>
      <c r="AY165" s="131">
        <v>98.32</v>
      </c>
      <c r="AZ165" s="48"/>
      <c r="BA165" s="48"/>
      <c r="BB165" s="89"/>
      <c r="BC165" s="51" t="s">
        <v>122</v>
      </c>
      <c r="BD165" s="52">
        <v>4.3965708042320921</v>
      </c>
      <c r="BE165" s="53">
        <v>38.470007111038662</v>
      </c>
      <c r="BF165" s="54">
        <v>4.3965708042320921</v>
      </c>
      <c r="BG165" s="53">
        <v>38.470007111038662</v>
      </c>
      <c r="BH165" s="450">
        <v>24462.284828299726</v>
      </c>
      <c r="BI165" s="347">
        <f t="shared" si="195"/>
        <v>9273.3878574415467</v>
      </c>
      <c r="BJ165" s="347">
        <f t="shared" si="168"/>
        <v>33735.672685741272</v>
      </c>
      <c r="BK165" s="45">
        <v>23063.437286291424</v>
      </c>
      <c r="BL165" s="47">
        <v>892.53279366886068</v>
      </c>
      <c r="BM165" s="45">
        <v>1398.8475420083014</v>
      </c>
      <c r="BN165" s="55">
        <v>1.0606521709944665</v>
      </c>
      <c r="BO165" s="47">
        <f t="shared" si="196"/>
        <v>1.4627339484125061</v>
      </c>
      <c r="BP165" s="45">
        <v>23714.986225669694</v>
      </c>
      <c r="BQ165" s="55">
        <v>1.0315116608341579</v>
      </c>
      <c r="BR165" s="54">
        <v>4.3487019396129538</v>
      </c>
      <c r="BS165" s="53">
        <v>38.051154408718254</v>
      </c>
      <c r="BT165" s="54">
        <v>8.7452727438450459</v>
      </c>
      <c r="BU165" s="53">
        <v>76.521161519756916</v>
      </c>
      <c r="BV165" s="450">
        <v>25771.279282885582</v>
      </c>
      <c r="BW165" s="347">
        <f t="shared" si="197"/>
        <v>9067.3935910970231</v>
      </c>
      <c r="BX165" s="347">
        <f t="shared" si="202"/>
        <v>34838.672873982607</v>
      </c>
      <c r="BY165" s="45">
        <v>22617.535677167711</v>
      </c>
      <c r="BZ165" s="47">
        <v>872.70652943332493</v>
      </c>
      <c r="CA165" s="45">
        <v>3153.7436057178711</v>
      </c>
      <c r="CB165" s="55">
        <v>1.1394379852311478</v>
      </c>
      <c r="CC165" s="47">
        <f t="shared" si="171"/>
        <v>1.5403390259334075</v>
      </c>
      <c r="CD165" s="45">
        <v>23254.611443654037</v>
      </c>
      <c r="CE165" s="55">
        <v>1.1082223130379725</v>
      </c>
      <c r="CF165" s="52">
        <v>2.3519829328897246</v>
      </c>
      <c r="CG165" s="53">
        <v>20.5798573893575</v>
      </c>
      <c r="CH165" s="54">
        <v>11.09725567673477</v>
      </c>
      <c r="CI165" s="53">
        <v>97.101018909114416</v>
      </c>
      <c r="CJ165" s="450">
        <v>14916.211241649153</v>
      </c>
      <c r="CK165" s="347">
        <f t="shared" si="198"/>
        <v>8105.0487039277941</v>
      </c>
      <c r="CL165" s="347">
        <f t="shared" si="203"/>
        <v>23021.259945576945</v>
      </c>
      <c r="CM165" s="45">
        <v>18169.392621823994</v>
      </c>
      <c r="CN165" s="47">
        <v>780.08402902438957</v>
      </c>
      <c r="CO165" s="45">
        <v>-3253.1813801748413</v>
      </c>
      <c r="CP165" s="55">
        <v>0.8209526621012464</v>
      </c>
      <c r="CQ165" s="47">
        <f t="shared" si="199"/>
        <v>1.2670351962082198</v>
      </c>
      <c r="CR165" s="45">
        <v>18738.853963011799</v>
      </c>
      <c r="CS165" s="55">
        <v>0.79600445529336672</v>
      </c>
    </row>
    <row r="166" spans="1:97" s="23" customFormat="1" ht="15" customHeight="1">
      <c r="A166" s="377" t="str">
        <f t="shared" si="182"/>
        <v>BNI- Direct Installation; LED Lamps-End of Life-BES; COM-Lighting; Other Commercial</v>
      </c>
      <c r="B166" s="149" t="s">
        <v>122</v>
      </c>
      <c r="C166" s="15" t="s">
        <v>73</v>
      </c>
      <c r="D166" s="15" t="s">
        <v>56</v>
      </c>
      <c r="E166" s="43">
        <v>10</v>
      </c>
      <c r="F166" s="44">
        <v>87.724413981805441</v>
      </c>
      <c r="G166" s="44">
        <v>10.635251744246084</v>
      </c>
      <c r="H166" s="45">
        <v>23.5</v>
      </c>
      <c r="I166" s="46">
        <v>0.85106382978723405</v>
      </c>
      <c r="J166" s="45">
        <v>10.96555174772568</v>
      </c>
      <c r="K166" s="45">
        <v>30.96555174772568</v>
      </c>
      <c r="L166" s="45">
        <v>3.5</v>
      </c>
      <c r="M166" s="45">
        <v>34.465551747725684</v>
      </c>
      <c r="N166" s="45">
        <v>56.463496065386039</v>
      </c>
      <c r="O166" s="47">
        <v>0.82</v>
      </c>
      <c r="P166" s="47">
        <v>1.5313121176000779</v>
      </c>
      <c r="Q166" s="310">
        <f t="shared" si="183"/>
        <v>1.5313121176000779</v>
      </c>
      <c r="R166" s="311">
        <f t="shared" si="184"/>
        <v>0</v>
      </c>
      <c r="S166" s="311">
        <f t="shared" si="185"/>
        <v>21.146409281183157</v>
      </c>
      <c r="T166" s="310">
        <f t="shared" si="186"/>
        <v>2.1048110156935946</v>
      </c>
      <c r="U166" s="316">
        <f t="shared" si="187"/>
        <v>0.37451469984598751</v>
      </c>
      <c r="V166" s="48">
        <v>0.35298670395390863</v>
      </c>
      <c r="W166" s="49">
        <v>2.9115955590311962</v>
      </c>
      <c r="X166" s="48" t="s">
        <v>74</v>
      </c>
      <c r="Y166" s="48" t="s">
        <v>527</v>
      </c>
      <c r="Z166" s="247">
        <f>0.027*Z3</f>
        <v>3.4020000000000002E-2</v>
      </c>
      <c r="AA166" s="247"/>
      <c r="AB166" s="386">
        <v>0</v>
      </c>
      <c r="AC166" s="387">
        <f t="shared" si="216"/>
        <v>2.9843845636610213</v>
      </c>
      <c r="AD166" s="361">
        <f t="shared" si="217"/>
        <v>0.14921922818305108</v>
      </c>
      <c r="AE166" s="361">
        <f t="shared" si="218"/>
        <v>8.6547152346169623E-2</v>
      </c>
      <c r="AF166" s="361">
        <f t="shared" si="219"/>
        <v>1.1937538254644086E-2</v>
      </c>
      <c r="AG166" s="361">
        <f t="shared" si="220"/>
        <v>0</v>
      </c>
      <c r="AH166" s="361">
        <f t="shared" si="221"/>
        <v>0.21786007314725456</v>
      </c>
      <c r="AI166" s="361">
        <f t="shared" si="222"/>
        <v>2.1994914234181726</v>
      </c>
      <c r="AJ166" s="361" t="s">
        <v>40</v>
      </c>
      <c r="AK166" s="361">
        <f t="shared" si="223"/>
        <v>0</v>
      </c>
      <c r="AL166" s="361">
        <f t="shared" si="224"/>
        <v>0.24770391878386477</v>
      </c>
      <c r="AM166" s="361">
        <f t="shared" si="225"/>
        <v>6.8640844964203487E-2</v>
      </c>
      <c r="AN166" s="361">
        <f t="shared" si="194"/>
        <v>2.9814001790973603</v>
      </c>
      <c r="AO166" s="294" t="s">
        <v>617</v>
      </c>
      <c r="AP166" s="282" t="s">
        <v>420</v>
      </c>
      <c r="AQ166" s="136" t="s">
        <v>74</v>
      </c>
      <c r="AR166" s="294"/>
      <c r="AS166" s="142"/>
      <c r="AT166" s="142" t="s">
        <v>217</v>
      </c>
      <c r="AU166" s="146" t="s">
        <v>227</v>
      </c>
      <c r="AV166" s="48"/>
      <c r="AW166" s="131" t="s">
        <v>284</v>
      </c>
      <c r="AX166" s="131"/>
      <c r="AY166" s="131">
        <v>98.32</v>
      </c>
      <c r="AZ166" s="48"/>
      <c r="BA166" s="48"/>
      <c r="BB166" s="89"/>
      <c r="BC166" s="51" t="s">
        <v>122</v>
      </c>
      <c r="BD166" s="52">
        <v>10.498591447069874</v>
      </c>
      <c r="BE166" s="53">
        <v>86.597177431824534</v>
      </c>
      <c r="BF166" s="54">
        <v>10.498591447069874</v>
      </c>
      <c r="BG166" s="53">
        <v>86.597177431824534</v>
      </c>
      <c r="BH166" s="450">
        <v>55737.954410382161</v>
      </c>
      <c r="BI166" s="347">
        <f t="shared" si="195"/>
        <v>20874.683266033608</v>
      </c>
      <c r="BJ166" s="347">
        <f t="shared" si="168"/>
        <v>76612.637676415761</v>
      </c>
      <c r="BK166" s="45">
        <v>36398.820181568517</v>
      </c>
      <c r="BL166" s="47">
        <v>1203.8417716093584</v>
      </c>
      <c r="BM166" s="45">
        <v>19339.134228813644</v>
      </c>
      <c r="BN166" s="55">
        <v>1.5313121176000786</v>
      </c>
      <c r="BO166" s="47">
        <f t="shared" si="196"/>
        <v>2.1048110156935951</v>
      </c>
      <c r="BP166" s="45">
        <v>37277.624674843348</v>
      </c>
      <c r="BQ166" s="55">
        <v>1.4952120714922239</v>
      </c>
      <c r="BR166" s="54">
        <v>10.388178618769013</v>
      </c>
      <c r="BS166" s="53">
        <v>85.686441993520774</v>
      </c>
      <c r="BT166" s="54">
        <v>20.886770065838885</v>
      </c>
      <c r="BU166" s="53">
        <v>172.28361942534531</v>
      </c>
      <c r="BV166" s="450">
        <v>58811.069612144078</v>
      </c>
      <c r="BW166" s="347">
        <f t="shared" si="197"/>
        <v>20418.636623490773</v>
      </c>
      <c r="BX166" s="347">
        <f t="shared" si="202"/>
        <v>79229.706235634847</v>
      </c>
      <c r="BY166" s="45">
        <v>35753.18402595941</v>
      </c>
      <c r="BZ166" s="47">
        <v>1177.5415882198174</v>
      </c>
      <c r="CA166" s="45">
        <v>23057.885586184668</v>
      </c>
      <c r="CB166" s="55">
        <v>1.6449183817990298</v>
      </c>
      <c r="CC166" s="47">
        <f t="shared" si="171"/>
        <v>2.2160181923408087</v>
      </c>
      <c r="CD166" s="45">
        <v>36612.78938535988</v>
      </c>
      <c r="CE166" s="55">
        <v>1.6062985257184605</v>
      </c>
      <c r="CF166" s="52">
        <v>5.5238298452633261</v>
      </c>
      <c r="CG166" s="53">
        <v>45.563071543943323</v>
      </c>
      <c r="CH166" s="54">
        <v>26.410599911102214</v>
      </c>
      <c r="CI166" s="53">
        <v>217.84669096928863</v>
      </c>
      <c r="CJ166" s="450">
        <v>33500.18627392756</v>
      </c>
      <c r="CK166" s="347">
        <f t="shared" si="198"/>
        <v>17944.289261944999</v>
      </c>
      <c r="CL166" s="347">
        <f t="shared" si="203"/>
        <v>51444.47553587256</v>
      </c>
      <c r="CM166" s="45">
        <v>26887.074898738254</v>
      </c>
      <c r="CN166" s="47">
        <v>1034.8461195825971</v>
      </c>
      <c r="CO166" s="45">
        <v>6613.1113751893063</v>
      </c>
      <c r="CP166" s="55">
        <v>1.24595875155983</v>
      </c>
      <c r="CQ166" s="47">
        <f t="shared" si="199"/>
        <v>1.9133533762829189</v>
      </c>
      <c r="CR166" s="45">
        <v>27642.512566033547</v>
      </c>
      <c r="CS166" s="55">
        <v>1.2119081503137954</v>
      </c>
    </row>
    <row r="167" spans="1:97" s="23" customFormat="1" ht="15" customHeight="1">
      <c r="A167" s="377" t="str">
        <f t="shared" si="182"/>
        <v>BNI- Direct Installation; LED Lamps-End of Life-BES; COM-Lighting; Retail</v>
      </c>
      <c r="B167" s="149" t="s">
        <v>122</v>
      </c>
      <c r="C167" s="15" t="s">
        <v>73</v>
      </c>
      <c r="D167" s="15" t="s">
        <v>30</v>
      </c>
      <c r="E167" s="43">
        <v>10</v>
      </c>
      <c r="F167" s="44">
        <v>82.160734254203248</v>
      </c>
      <c r="G167" s="44">
        <v>11.078160206543904</v>
      </c>
      <c r="H167" s="45">
        <v>23.5</v>
      </c>
      <c r="I167" s="46">
        <v>0.85106382978723405</v>
      </c>
      <c r="J167" s="45">
        <v>10.270091781775406</v>
      </c>
      <c r="K167" s="45">
        <v>30.270091781775406</v>
      </c>
      <c r="L167" s="45">
        <v>3.5</v>
      </c>
      <c r="M167" s="45">
        <v>33.770091781775406</v>
      </c>
      <c r="N167" s="45">
        <v>54.131376682411421</v>
      </c>
      <c r="O167" s="47">
        <v>0.82</v>
      </c>
      <c r="P167" s="47">
        <v>1.5026266406850544</v>
      </c>
      <c r="Q167" s="310">
        <f t="shared" si="183"/>
        <v>1.5026266406850544</v>
      </c>
      <c r="R167" s="311">
        <f t="shared" si="184"/>
        <v>0</v>
      </c>
      <c r="S167" s="311">
        <f t="shared" si="185"/>
        <v>19.805256422029267</v>
      </c>
      <c r="T167" s="310">
        <f t="shared" si="186"/>
        <v>2.052398468952811</v>
      </c>
      <c r="U167" s="316">
        <f t="shared" si="187"/>
        <v>0.36587387271206179</v>
      </c>
      <c r="V167" s="48">
        <v>0.36842528315436546</v>
      </c>
      <c r="W167" s="49">
        <v>2.7324114489601592</v>
      </c>
      <c r="X167" s="48" t="s">
        <v>74</v>
      </c>
      <c r="Y167" s="48" t="s">
        <v>527</v>
      </c>
      <c r="Z167" s="247">
        <f>0.027*Z3</f>
        <v>3.4020000000000002E-2</v>
      </c>
      <c r="AA167" s="247"/>
      <c r="AB167" s="386">
        <v>0</v>
      </c>
      <c r="AC167" s="387">
        <f t="shared" si="216"/>
        <v>2.7951081793279946</v>
      </c>
      <c r="AD167" s="361">
        <f t="shared" si="217"/>
        <v>0.13975540896639974</v>
      </c>
      <c r="AE167" s="361">
        <f t="shared" si="218"/>
        <v>8.1058137200511846E-2</v>
      </c>
      <c r="AF167" s="361">
        <f t="shared" si="219"/>
        <v>1.1180432717311979E-2</v>
      </c>
      <c r="AG167" s="361">
        <f t="shared" si="220"/>
        <v>0</v>
      </c>
      <c r="AH167" s="361">
        <f t="shared" si="221"/>
        <v>0.20404289709094359</v>
      </c>
      <c r="AI167" s="361">
        <f t="shared" si="222"/>
        <v>2.0599947281647322</v>
      </c>
      <c r="AJ167" s="361" t="s">
        <v>40</v>
      </c>
      <c r="AK167" s="361">
        <f t="shared" si="223"/>
        <v>0</v>
      </c>
      <c r="AL167" s="361">
        <f t="shared" si="224"/>
        <v>0.23199397888422357</v>
      </c>
      <c r="AM167" s="361">
        <f t="shared" si="225"/>
        <v>6.4287488124543879E-2</v>
      </c>
      <c r="AN167" s="361">
        <f t="shared" si="194"/>
        <v>2.7923130711486666</v>
      </c>
      <c r="AO167" s="294" t="s">
        <v>617</v>
      </c>
      <c r="AP167" s="282" t="s">
        <v>420</v>
      </c>
      <c r="AQ167" s="136" t="s">
        <v>74</v>
      </c>
      <c r="AR167" s="294"/>
      <c r="AS167" s="142"/>
      <c r="AT167" s="142" t="s">
        <v>217</v>
      </c>
      <c r="AU167" s="146" t="s">
        <v>227</v>
      </c>
      <c r="AV167" s="48"/>
      <c r="AW167" s="131" t="s">
        <v>284</v>
      </c>
      <c r="AX167" s="131"/>
      <c r="AY167" s="131"/>
      <c r="AZ167" s="48"/>
      <c r="BA167" s="48"/>
      <c r="BB167" s="89"/>
      <c r="BC167" s="51" t="s">
        <v>122</v>
      </c>
      <c r="BD167" s="52">
        <v>15.650172686605396</v>
      </c>
      <c r="BE167" s="53">
        <v>116.06888284365417</v>
      </c>
      <c r="BF167" s="54">
        <v>15.650172686605396</v>
      </c>
      <c r="BG167" s="53">
        <v>116.06888284365417</v>
      </c>
      <c r="BH167" s="450">
        <v>76471.668313931805</v>
      </c>
      <c r="BI167" s="347">
        <f t="shared" si="195"/>
        <v>27978.985438770487</v>
      </c>
      <c r="BJ167" s="347">
        <f t="shared" si="168"/>
        <v>104450.65375270229</v>
      </c>
      <c r="BK167" s="45">
        <v>50891.99555191434</v>
      </c>
      <c r="BL167" s="47">
        <v>1722.8110165626458</v>
      </c>
      <c r="BM167" s="45">
        <v>25579.672762017464</v>
      </c>
      <c r="BN167" s="55">
        <v>1.502626640685055</v>
      </c>
      <c r="BO167" s="47">
        <f t="shared" si="196"/>
        <v>2.0523984689528114</v>
      </c>
      <c r="BP167" s="45">
        <v>52149.647594005073</v>
      </c>
      <c r="BQ167" s="55">
        <v>1.4663889756126118</v>
      </c>
      <c r="BR167" s="54">
        <v>15.484723102559128</v>
      </c>
      <c r="BS167" s="53">
        <v>114.84183258857082</v>
      </c>
      <c r="BT167" s="54">
        <v>31.134895789164524</v>
      </c>
      <c r="BU167" s="53">
        <v>230.910715432225</v>
      </c>
      <c r="BV167" s="450">
        <v>80861.03316520626</v>
      </c>
      <c r="BW167" s="347">
        <f t="shared" si="197"/>
        <v>27366.215637464556</v>
      </c>
      <c r="BX167" s="347">
        <f t="shared" si="202"/>
        <v>108227.24880267082</v>
      </c>
      <c r="BY167" s="45">
        <v>49977.860942043772</v>
      </c>
      <c r="BZ167" s="47">
        <v>1685.0796068009504</v>
      </c>
      <c r="CA167" s="45">
        <v>30883.172223162488</v>
      </c>
      <c r="CB167" s="55">
        <v>1.6179370553488832</v>
      </c>
      <c r="CC167" s="47">
        <f t="shared" si="171"/>
        <v>2.1655038203450774</v>
      </c>
      <c r="CD167" s="45">
        <v>51207.969055008463</v>
      </c>
      <c r="CE167" s="55">
        <v>1.579071278502453</v>
      </c>
      <c r="CF167" s="52">
        <v>8.2462724280313715</v>
      </c>
      <c r="CG167" s="53">
        <v>61.15815125575056</v>
      </c>
      <c r="CH167" s="54">
        <v>39.381168217195899</v>
      </c>
      <c r="CI167" s="53">
        <v>292.06886668797557</v>
      </c>
      <c r="CJ167" s="450">
        <v>46217.502144330814</v>
      </c>
      <c r="CK167" s="347">
        <f t="shared" si="198"/>
        <v>24086.162755742807</v>
      </c>
      <c r="CL167" s="347">
        <f t="shared" si="203"/>
        <v>70303.664900073622</v>
      </c>
      <c r="CM167" s="45">
        <v>37902.414098522131</v>
      </c>
      <c r="CN167" s="47">
        <v>1483.1097658320989</v>
      </c>
      <c r="CO167" s="45">
        <v>8315.0880458086831</v>
      </c>
      <c r="CP167" s="55">
        <v>1.2193814891102912</v>
      </c>
      <c r="CQ167" s="47">
        <f t="shared" si="199"/>
        <v>1.8548598175654163</v>
      </c>
      <c r="CR167" s="45">
        <v>38985.084227579559</v>
      </c>
      <c r="CS167" s="55">
        <v>1.1855175655009811</v>
      </c>
    </row>
    <row r="168" spans="1:97" ht="15" customHeight="1">
      <c r="A168" s="377" t="str">
        <f t="shared" si="182"/>
        <v>BNI- Direct Installation; High-Efficiency Air Source Heat Pumps; COM-HVAC; Office</v>
      </c>
      <c r="B168" s="149" t="s">
        <v>123</v>
      </c>
      <c r="C168" s="15" t="s">
        <v>95</v>
      </c>
      <c r="D168" s="15" t="s">
        <v>66</v>
      </c>
      <c r="E168" s="43">
        <v>15</v>
      </c>
      <c r="F168" s="44">
        <v>5953.9599385737365</v>
      </c>
      <c r="G168" s="44">
        <v>811.26034286562208</v>
      </c>
      <c r="H168" s="45">
        <v>387.5</v>
      </c>
      <c r="I168" s="46">
        <v>0.5161290322580645</v>
      </c>
      <c r="J168" s="45">
        <v>744.24499232171706</v>
      </c>
      <c r="K168" s="45">
        <v>944.24499232171706</v>
      </c>
      <c r="L168" s="45">
        <v>187.5</v>
      </c>
      <c r="M168" s="45">
        <v>1131.7449923217171</v>
      </c>
      <c r="N168" s="45">
        <v>5617.3260337436404</v>
      </c>
      <c r="O168" s="47">
        <v>0.82</v>
      </c>
      <c r="P168" s="47">
        <v>4.337315506168034</v>
      </c>
      <c r="Q168" s="310">
        <f t="shared" si="183"/>
        <v>4.337315506168034</v>
      </c>
      <c r="R168" s="311">
        <f t="shared" si="184"/>
        <v>0</v>
      </c>
      <c r="S168" s="311">
        <f t="shared" si="185"/>
        <v>6680.3798018331336</v>
      </c>
      <c r="T168" s="310">
        <f t="shared" si="186"/>
        <v>9.4954485266707422</v>
      </c>
      <c r="U168" s="316">
        <f t="shared" si="187"/>
        <v>1.1892455167643214</v>
      </c>
      <c r="V168" s="48">
        <v>0.15859108930247687</v>
      </c>
      <c r="W168" s="49">
        <v>1.1639235180489067</v>
      </c>
      <c r="X168" s="48" t="s">
        <v>386</v>
      </c>
      <c r="Y168" s="48" t="s">
        <v>564</v>
      </c>
      <c r="Z168" s="247">
        <f>0.0966*Z3</f>
        <v>0.121716</v>
      </c>
      <c r="AA168" s="246"/>
      <c r="AB168" s="386">
        <v>0</v>
      </c>
      <c r="AC168" s="387">
        <f t="shared" si="216"/>
        <v>724.69218788344097</v>
      </c>
      <c r="AD168" s="365">
        <f t="shared" ref="AD168:AD183" si="226">AC168*0.082</f>
        <v>59.424759406442163</v>
      </c>
      <c r="AE168" s="365">
        <f t="shared" ref="AE168:AE191" si="227">AC168*0</f>
        <v>0</v>
      </c>
      <c r="AF168" s="365">
        <f t="shared" ref="AF168:AF183" si="228">AC168*0</f>
        <v>0</v>
      </c>
      <c r="AG168" s="365">
        <f t="shared" ref="AG168:AG183" si="229">AC168*0.034</f>
        <v>24.639534388036996</v>
      </c>
      <c r="AH168" s="365">
        <f t="shared" ref="AH168:AH183" si="230">AC168*-0.003</f>
        <v>-2.1740765636503228</v>
      </c>
      <c r="AI168" s="365">
        <f t="shared" ref="AI168:AI183" si="231">AC168*0.698</f>
        <v>505.83514714264174</v>
      </c>
      <c r="AJ168" s="365" t="s">
        <v>40</v>
      </c>
      <c r="AK168" s="365">
        <f t="shared" ref="AK168:AK183" si="232">AC168*0.189</f>
        <v>136.96682350997034</v>
      </c>
      <c r="AL168" s="365">
        <f t="shared" ref="AL168:AL183" si="233">AC168*0</f>
        <v>0</v>
      </c>
      <c r="AM168" s="365">
        <f t="shared" ref="AM168:AM183" si="234">AC168*0</f>
        <v>0</v>
      </c>
      <c r="AN168" s="365">
        <f t="shared" si="194"/>
        <v>724.69218788344097</v>
      </c>
      <c r="AO168" s="294" t="s">
        <v>623</v>
      </c>
      <c r="AP168" s="282" t="s">
        <v>455</v>
      </c>
      <c r="AQ168" s="48" t="s">
        <v>40</v>
      </c>
      <c r="AR168" s="294" t="s">
        <v>590</v>
      </c>
      <c r="AS168" s="48"/>
      <c r="AT168" s="48" t="s">
        <v>216</v>
      </c>
      <c r="AU168" s="48" t="s">
        <v>287</v>
      </c>
      <c r="AV168" s="48"/>
      <c r="AW168" s="48" t="s">
        <v>284</v>
      </c>
      <c r="AX168" s="48"/>
      <c r="AY168" s="48"/>
      <c r="AZ168" s="48"/>
      <c r="BA168" s="48"/>
      <c r="BB168" s="241"/>
      <c r="BC168" s="56" t="s">
        <v>123</v>
      </c>
      <c r="BD168" s="52">
        <v>3.5649996096333925</v>
      </c>
      <c r="BE168" s="53">
        <v>26.164060703142372</v>
      </c>
      <c r="BF168" s="54">
        <v>3.5649996096333925</v>
      </c>
      <c r="BG168" s="53">
        <v>26.164060703142372</v>
      </c>
      <c r="BH168" s="450">
        <v>24684.757850657887</v>
      </c>
      <c r="BI168" s="347">
        <f t="shared" si="195"/>
        <v>29356.237606307786</v>
      </c>
      <c r="BJ168" s="347">
        <f t="shared" si="168"/>
        <v>54040.995456965669</v>
      </c>
      <c r="BK168" s="45">
        <v>5691.2525306388361</v>
      </c>
      <c r="BL168" s="47">
        <v>5.3590201194797613</v>
      </c>
      <c r="BM168" s="45">
        <v>18993.505320019052</v>
      </c>
      <c r="BN168" s="55">
        <v>4.337315506168034</v>
      </c>
      <c r="BO168" s="47">
        <f t="shared" si="196"/>
        <v>9.4954485266707422</v>
      </c>
      <c r="BP168" s="45">
        <v>5060.2279115700949</v>
      </c>
      <c r="BQ168" s="55">
        <v>4.8781909198628695</v>
      </c>
      <c r="BR168" s="54">
        <v>4.7911728260736552</v>
      </c>
      <c r="BS168" s="53">
        <v>35.163127738330488</v>
      </c>
      <c r="BT168" s="54">
        <v>8.3561724357070482</v>
      </c>
      <c r="BU168" s="53">
        <v>61.327188441472856</v>
      </c>
      <c r="BV168" s="450">
        <v>35132.805043257038</v>
      </c>
      <c r="BW168" s="347">
        <f t="shared" si="197"/>
        <v>39453.246366432912</v>
      </c>
      <c r="BX168" s="347">
        <f t="shared" si="202"/>
        <v>74586.051409689942</v>
      </c>
      <c r="BY168" s="45">
        <v>7648.7454297151526</v>
      </c>
      <c r="BZ168" s="47">
        <v>7.2022424634918316</v>
      </c>
      <c r="CA168" s="45">
        <v>27484.059613541885</v>
      </c>
      <c r="CB168" s="55">
        <v>4.5932768146220573</v>
      </c>
      <c r="CC168" s="47">
        <f t="shared" si="171"/>
        <v>9.7514098351247664</v>
      </c>
      <c r="CD168" s="45">
        <v>6800.6813796389888</v>
      </c>
      <c r="CE168" s="55">
        <v>5.16607132168307</v>
      </c>
      <c r="CF168" s="52">
        <v>5.2398358670679297</v>
      </c>
      <c r="CG168" s="53">
        <v>38.455932317638087</v>
      </c>
      <c r="CH168" s="54">
        <v>13.596008302774978</v>
      </c>
      <c r="CI168" s="53">
        <v>99.783120759110943</v>
      </c>
      <c r="CJ168" s="450">
        <v>40863.796144808628</v>
      </c>
      <c r="CK168" s="347">
        <f t="shared" si="198"/>
        <v>46646.26316672079</v>
      </c>
      <c r="CL168" s="347">
        <f t="shared" si="203"/>
        <v>87510.059311529418</v>
      </c>
      <c r="CM168" s="45">
        <v>8567.9332070480959</v>
      </c>
      <c r="CN168" s="47">
        <v>8.5153372227540327</v>
      </c>
      <c r="CO168" s="45">
        <v>32295.862937760532</v>
      </c>
      <c r="CP168" s="55">
        <v>4.7693878041898747</v>
      </c>
      <c r="CQ168" s="47">
        <f t="shared" si="199"/>
        <v>10.213671978621692</v>
      </c>
      <c r="CR168" s="45">
        <v>7565.2522490688079</v>
      </c>
      <c r="CS168" s="55">
        <v>5.4015113838191544</v>
      </c>
    </row>
    <row r="169" spans="1:97" ht="15" customHeight="1">
      <c r="A169" s="377" t="str">
        <f t="shared" si="182"/>
        <v>BNI- Direct Installation; High-Efficiency Air Source Heat Pumps; COM-HVAC; Other Commercial</v>
      </c>
      <c r="B169" s="149" t="s">
        <v>123</v>
      </c>
      <c r="C169" s="15" t="s">
        <v>95</v>
      </c>
      <c r="D169" s="15" t="s">
        <v>56</v>
      </c>
      <c r="E169" s="43">
        <v>15</v>
      </c>
      <c r="F169" s="44">
        <v>4948.2986806238441</v>
      </c>
      <c r="G169" s="44">
        <v>650.58008731797622</v>
      </c>
      <c r="H169" s="45">
        <v>387.5</v>
      </c>
      <c r="I169" s="46">
        <v>0.5161290322580645</v>
      </c>
      <c r="J169" s="45">
        <v>618.53733507798052</v>
      </c>
      <c r="K169" s="45">
        <v>818.53733507798052</v>
      </c>
      <c r="L169" s="45">
        <v>187.5</v>
      </c>
      <c r="M169" s="45">
        <v>1006.0373350779805</v>
      </c>
      <c r="N169" s="45">
        <v>4631.473153623434</v>
      </c>
      <c r="O169" s="47">
        <v>0.82</v>
      </c>
      <c r="P169" s="47">
        <v>4.0562419715470224</v>
      </c>
      <c r="Q169" s="310">
        <f t="shared" si="183"/>
        <v>4.0562419715470224</v>
      </c>
      <c r="R169" s="311">
        <f t="shared" si="184"/>
        <v>0</v>
      </c>
      <c r="S169" s="311">
        <f t="shared" si="185"/>
        <v>5552.0216629801043</v>
      </c>
      <c r="T169" s="310">
        <f t="shared" si="186"/>
        <v>8.9186998870591534</v>
      </c>
      <c r="U169" s="316">
        <f t="shared" si="187"/>
        <v>1.1987593318200451</v>
      </c>
      <c r="V169" s="48">
        <v>0.16541793208302971</v>
      </c>
      <c r="W169" s="49">
        <v>1.2581653681599907</v>
      </c>
      <c r="X169" s="48" t="s">
        <v>386</v>
      </c>
      <c r="Y169" s="48" t="s">
        <v>564</v>
      </c>
      <c r="Z169" s="247">
        <f>0.0966*Z3</f>
        <v>0.121716</v>
      </c>
      <c r="AA169" s="246"/>
      <c r="AB169" s="386">
        <v>0</v>
      </c>
      <c r="AC169" s="387">
        <f t="shared" si="216"/>
        <v>602.28712221081184</v>
      </c>
      <c r="AD169" s="365">
        <f t="shared" si="226"/>
        <v>49.387544021286573</v>
      </c>
      <c r="AE169" s="365">
        <f t="shared" si="227"/>
        <v>0</v>
      </c>
      <c r="AF169" s="365">
        <f t="shared" si="228"/>
        <v>0</v>
      </c>
      <c r="AG169" s="365">
        <f t="shared" si="229"/>
        <v>20.477762155167603</v>
      </c>
      <c r="AH169" s="365">
        <f t="shared" si="230"/>
        <v>-1.8068613666324356</v>
      </c>
      <c r="AI169" s="365">
        <f t="shared" si="231"/>
        <v>420.39641130314664</v>
      </c>
      <c r="AJ169" s="365" t="s">
        <v>40</v>
      </c>
      <c r="AK169" s="365">
        <f t="shared" si="232"/>
        <v>113.83226609784344</v>
      </c>
      <c r="AL169" s="365">
        <f t="shared" si="233"/>
        <v>0</v>
      </c>
      <c r="AM169" s="365">
        <f t="shared" si="234"/>
        <v>0</v>
      </c>
      <c r="AN169" s="365">
        <f t="shared" si="194"/>
        <v>602.28712221081184</v>
      </c>
      <c r="AO169" s="294" t="s">
        <v>623</v>
      </c>
      <c r="AP169" s="282" t="s">
        <v>455</v>
      </c>
      <c r="AQ169" s="48" t="s">
        <v>40</v>
      </c>
      <c r="AR169" s="294" t="s">
        <v>590</v>
      </c>
      <c r="AS169" s="48"/>
      <c r="AT169" s="48" t="s">
        <v>216</v>
      </c>
      <c r="AU169" s="48" t="s">
        <v>287</v>
      </c>
      <c r="AV169" s="48"/>
      <c r="AW169" s="48" t="s">
        <v>284</v>
      </c>
      <c r="AX169" s="48"/>
      <c r="AY169" s="48"/>
      <c r="AZ169" s="48"/>
      <c r="BA169" s="48"/>
      <c r="BB169" s="241"/>
      <c r="BC169" s="56" t="s">
        <v>123</v>
      </c>
      <c r="BD169" s="52">
        <v>3.8992644755309733</v>
      </c>
      <c r="BE169" s="53">
        <v>29.657724907038062</v>
      </c>
      <c r="BF169" s="54">
        <v>3.8992644755309733</v>
      </c>
      <c r="BG169" s="53">
        <v>29.657724907038062</v>
      </c>
      <c r="BH169" s="450">
        <v>27758.824915390644</v>
      </c>
      <c r="BI169" s="347">
        <f t="shared" si="195"/>
        <v>33276.150407683315</v>
      </c>
      <c r="BJ169" s="347">
        <f t="shared" si="168"/>
        <v>61034.975323073959</v>
      </c>
      <c r="BK169" s="45">
        <v>6843.4834780834408</v>
      </c>
      <c r="BL169" s="47">
        <v>7.309170189206359</v>
      </c>
      <c r="BM169" s="45">
        <v>20915.341437307201</v>
      </c>
      <c r="BN169" s="55">
        <v>4.0562419715470215</v>
      </c>
      <c r="BO169" s="47">
        <f t="shared" si="196"/>
        <v>8.9186998870591516</v>
      </c>
      <c r="BP169" s="45">
        <v>5982.8286883043911</v>
      </c>
      <c r="BQ169" s="55">
        <v>4.6397492493233736</v>
      </c>
      <c r="BR169" s="54">
        <v>5.2661809999706257</v>
      </c>
      <c r="BS169" s="53">
        <v>40.054463704089116</v>
      </c>
      <c r="BT169" s="54">
        <v>9.165445475501599</v>
      </c>
      <c r="BU169" s="53">
        <v>69.712188611127175</v>
      </c>
      <c r="BV169" s="450">
        <v>39685.173573217588</v>
      </c>
      <c r="BW169" s="347">
        <f t="shared" si="197"/>
        <v>44941.355511732501</v>
      </c>
      <c r="BX169" s="347">
        <f t="shared" si="202"/>
        <v>84626.529084950089</v>
      </c>
      <c r="BY169" s="45">
        <v>9242.5181446530059</v>
      </c>
      <c r="BZ169" s="47">
        <v>9.8714548391100738</v>
      </c>
      <c r="CA169" s="45">
        <v>30442.655428564583</v>
      </c>
      <c r="CB169" s="55">
        <v>4.2937620410489874</v>
      </c>
      <c r="CC169" s="47">
        <f t="shared" si="171"/>
        <v>9.1562199565611184</v>
      </c>
      <c r="CD169" s="45">
        <v>8080.1543373477953</v>
      </c>
      <c r="CE169" s="55">
        <v>4.9114375686843283</v>
      </c>
      <c r="CF169" s="52">
        <v>5.7604998788934889</v>
      </c>
      <c r="CG169" s="53">
        <v>43.81424286742822</v>
      </c>
      <c r="CH169" s="54">
        <v>14.925945354395088</v>
      </c>
      <c r="CI169" s="53">
        <v>113.52643147855539</v>
      </c>
      <c r="CJ169" s="450">
        <v>46150.855337728928</v>
      </c>
      <c r="CK169" s="347">
        <f t="shared" si="198"/>
        <v>53145.784800211077</v>
      </c>
      <c r="CL169" s="347">
        <f t="shared" si="203"/>
        <v>99296.640137940005</v>
      </c>
      <c r="CM169" s="45">
        <v>10388.278401096984</v>
      </c>
      <c r="CN169" s="47">
        <v>11.673573450791578</v>
      </c>
      <c r="CO169" s="45">
        <v>35762.576936631944</v>
      </c>
      <c r="CP169" s="55">
        <v>4.4425893835166637</v>
      </c>
      <c r="CQ169" s="47">
        <f t="shared" si="199"/>
        <v>9.558527053669879</v>
      </c>
      <c r="CR169" s="45">
        <v>9013.7151272662759</v>
      </c>
      <c r="CS169" s="55">
        <v>5.1200703246238257</v>
      </c>
    </row>
    <row r="170" spans="1:97" ht="15" customHeight="1">
      <c r="A170" s="377" t="str">
        <f t="shared" si="182"/>
        <v>BNI- Direct Installation; High-Efficiency Air Source Heat Pumps; COM-HVAC; Retail</v>
      </c>
      <c r="B170" s="149" t="s">
        <v>123</v>
      </c>
      <c r="C170" s="15" t="s">
        <v>95</v>
      </c>
      <c r="D170" s="15" t="s">
        <v>30</v>
      </c>
      <c r="E170" s="43">
        <v>15</v>
      </c>
      <c r="F170" s="44">
        <v>5802.4556341401294</v>
      </c>
      <c r="G170" s="44">
        <v>703.08148685776348</v>
      </c>
      <c r="H170" s="45">
        <v>387.5</v>
      </c>
      <c r="I170" s="46">
        <v>0.5161290322580645</v>
      </c>
      <c r="J170" s="45">
        <v>725.30695426751618</v>
      </c>
      <c r="K170" s="45">
        <v>925.30695426751618</v>
      </c>
      <c r="L170" s="45">
        <v>187.5</v>
      </c>
      <c r="M170" s="45">
        <v>1112.8069542675162</v>
      </c>
      <c r="N170" s="45">
        <v>5337.2694349253516</v>
      </c>
      <c r="O170" s="47">
        <v>0.82</v>
      </c>
      <c r="P170" s="47">
        <v>4.1958983339622291</v>
      </c>
      <c r="Q170" s="310">
        <f t="shared" si="183"/>
        <v>4.1958983339622291</v>
      </c>
      <c r="R170" s="311">
        <f t="shared" si="184"/>
        <v>0</v>
      </c>
      <c r="S170" s="311">
        <f t="shared" si="185"/>
        <v>6510.3910370999438</v>
      </c>
      <c r="T170" s="310">
        <f t="shared" si="186"/>
        <v>9.3140470875659229</v>
      </c>
      <c r="U170" s="316">
        <f t="shared" si="187"/>
        <v>1.2197980852340087</v>
      </c>
      <c r="V170" s="48">
        <v>0.15946816530974445</v>
      </c>
      <c r="W170" s="49">
        <v>1.3160735584191394</v>
      </c>
      <c r="X170" s="48" t="s">
        <v>386</v>
      </c>
      <c r="Y170" s="48" t="s">
        <v>564</v>
      </c>
      <c r="Z170" s="247">
        <f>0.0966*Z3</f>
        <v>0.121716</v>
      </c>
      <c r="AA170" s="246"/>
      <c r="AB170" s="386">
        <v>0</v>
      </c>
      <c r="AC170" s="387">
        <f t="shared" si="216"/>
        <v>706.25168996499997</v>
      </c>
      <c r="AD170" s="365">
        <f t="shared" si="226"/>
        <v>57.912638577129997</v>
      </c>
      <c r="AE170" s="365">
        <f t="shared" si="227"/>
        <v>0</v>
      </c>
      <c r="AF170" s="365">
        <f t="shared" si="228"/>
        <v>0</v>
      </c>
      <c r="AG170" s="365">
        <f t="shared" si="229"/>
        <v>24.012557458810001</v>
      </c>
      <c r="AH170" s="365">
        <f t="shared" si="230"/>
        <v>-2.1187550698949997</v>
      </c>
      <c r="AI170" s="365">
        <f t="shared" si="231"/>
        <v>492.96367959556994</v>
      </c>
      <c r="AJ170" s="365" t="s">
        <v>40</v>
      </c>
      <c r="AK170" s="365">
        <f t="shared" si="232"/>
        <v>133.48156940338498</v>
      </c>
      <c r="AL170" s="365">
        <f t="shared" si="233"/>
        <v>0</v>
      </c>
      <c r="AM170" s="365">
        <f t="shared" si="234"/>
        <v>0</v>
      </c>
      <c r="AN170" s="365">
        <f t="shared" si="194"/>
        <v>706.25168996499997</v>
      </c>
      <c r="AO170" s="294" t="s">
        <v>623</v>
      </c>
      <c r="AP170" s="282" t="s">
        <v>455</v>
      </c>
      <c r="AQ170" s="48" t="s">
        <v>40</v>
      </c>
      <c r="AR170" s="294" t="s">
        <v>590</v>
      </c>
      <c r="AS170" s="48"/>
      <c r="AT170" s="48" t="s">
        <v>216</v>
      </c>
      <c r="AU170" s="48" t="s">
        <v>287</v>
      </c>
      <c r="AV170" s="48"/>
      <c r="AW170" s="48" t="s">
        <v>284</v>
      </c>
      <c r="AX170" s="48"/>
      <c r="AY170" s="48"/>
      <c r="AZ170" s="48"/>
      <c r="BA170" s="48"/>
      <c r="BB170" s="241"/>
      <c r="BC170" s="56" t="s">
        <v>123</v>
      </c>
      <c r="BD170" s="52">
        <v>6.000918298993775</v>
      </c>
      <c r="BE170" s="53">
        <v>49.524931099565826</v>
      </c>
      <c r="BF170" s="54">
        <v>6.000918298993775</v>
      </c>
      <c r="BG170" s="53">
        <v>49.524931099565826</v>
      </c>
      <c r="BH170" s="450">
        <v>45554.488942450589</v>
      </c>
      <c r="BI170" s="347">
        <f t="shared" si="195"/>
        <v>55567.278385815051</v>
      </c>
      <c r="BJ170" s="347">
        <f t="shared" si="168"/>
        <v>101121.76732826565</v>
      </c>
      <c r="BK170" s="45">
        <v>10856.909609493094</v>
      </c>
      <c r="BL170" s="47">
        <v>10.408740927399625</v>
      </c>
      <c r="BM170" s="45">
        <v>34697.579332957495</v>
      </c>
      <c r="BN170" s="55">
        <v>4.1958983339622291</v>
      </c>
      <c r="BO170" s="47">
        <f t="shared" si="196"/>
        <v>9.3140470875659247</v>
      </c>
      <c r="BP170" s="45">
        <v>9631.2803652917901</v>
      </c>
      <c r="BQ170" s="55">
        <v>4.7298476645550815</v>
      </c>
      <c r="BR170" s="54">
        <v>8.0702987812178648</v>
      </c>
      <c r="BS170" s="53">
        <v>66.60330489081025</v>
      </c>
      <c r="BT170" s="54">
        <v>14.071217080211641</v>
      </c>
      <c r="BU170" s="53">
        <v>116.12823599037608</v>
      </c>
      <c r="BV170" s="450">
        <v>64789.153093524896</v>
      </c>
      <c r="BW170" s="347">
        <f t="shared" si="197"/>
        <v>74729.319195669013</v>
      </c>
      <c r="BX170" s="347">
        <f t="shared" si="202"/>
        <v>139518.47228919392</v>
      </c>
      <c r="BY170" s="45">
        <v>14600.849407327607</v>
      </c>
      <c r="BZ170" s="47">
        <v>13.998132458242427</v>
      </c>
      <c r="CA170" s="45">
        <v>50188.303686197287</v>
      </c>
      <c r="CB170" s="55">
        <v>4.4373550665490527</v>
      </c>
      <c r="CC170" s="47">
        <f t="shared" si="171"/>
        <v>9.5555038201527474</v>
      </c>
      <c r="CD170" s="45">
        <v>12952.569310369561</v>
      </c>
      <c r="CE170" s="55">
        <v>5.0020309902264746</v>
      </c>
      <c r="CF170" s="52">
        <v>8.8263229892855808</v>
      </c>
      <c r="CG170" s="53">
        <v>72.842691089491822</v>
      </c>
      <c r="CH170" s="54">
        <v>22.897540069497225</v>
      </c>
      <c r="CI170" s="53">
        <v>188.97092707986792</v>
      </c>
      <c r="CJ170" s="450">
        <v>75269.409190264661</v>
      </c>
      <c r="CK170" s="347">
        <f t="shared" si="198"/>
        <v>88356.701646630987</v>
      </c>
      <c r="CL170" s="347">
        <f t="shared" si="203"/>
        <v>163626.11083689565</v>
      </c>
      <c r="CM170" s="45">
        <v>16363.080348808051</v>
      </c>
      <c r="CN170" s="47">
        <v>16.550783902961456</v>
      </c>
      <c r="CO170" s="45">
        <v>58906.328841456612</v>
      </c>
      <c r="CP170" s="55">
        <v>4.5999535286610982</v>
      </c>
      <c r="CQ170" s="47">
        <f t="shared" si="199"/>
        <v>9.9997132171275318</v>
      </c>
      <c r="CR170" s="45">
        <v>14414.225544234339</v>
      </c>
      <c r="CS170" s="55">
        <v>5.2218836842311154</v>
      </c>
    </row>
    <row r="171" spans="1:97" ht="15" customHeight="1">
      <c r="A171" s="377" t="str">
        <f t="shared" si="182"/>
        <v>BNI- Direct Installation; High-Efficiency Air Source Heat Pumps; COM-HVAC; School</v>
      </c>
      <c r="B171" s="149" t="s">
        <v>123</v>
      </c>
      <c r="C171" s="15" t="s">
        <v>95</v>
      </c>
      <c r="D171" s="15" t="s">
        <v>59</v>
      </c>
      <c r="E171" s="43">
        <v>15</v>
      </c>
      <c r="F171" s="44">
        <v>5837.8542120906786</v>
      </c>
      <c r="G171" s="44">
        <v>692.75344335435273</v>
      </c>
      <c r="H171" s="45">
        <v>387.5</v>
      </c>
      <c r="I171" s="46">
        <v>0.5161290322580645</v>
      </c>
      <c r="J171" s="45">
        <v>729.73177651133483</v>
      </c>
      <c r="K171" s="45">
        <v>929.73177651133483</v>
      </c>
      <c r="L171" s="45">
        <v>187.5</v>
      </c>
      <c r="M171" s="45">
        <v>1117.2317765113348</v>
      </c>
      <c r="N171" s="45">
        <v>5346.9331538755405</v>
      </c>
      <c r="O171" s="47">
        <v>0.82</v>
      </c>
      <c r="P171" s="47">
        <v>4.18573886868045</v>
      </c>
      <c r="Q171" s="310">
        <f t="shared" si="183"/>
        <v>4.18573886868045</v>
      </c>
      <c r="R171" s="311">
        <f t="shared" si="184"/>
        <v>0</v>
      </c>
      <c r="S171" s="311">
        <f t="shared" si="185"/>
        <v>6550.1084600578006</v>
      </c>
      <c r="T171" s="310">
        <f t="shared" si="186"/>
        <v>9.313359279544251</v>
      </c>
      <c r="U171" s="316">
        <f t="shared" si="187"/>
        <v>1.2250215724709741</v>
      </c>
      <c r="V171" s="48">
        <v>0.15925916316748429</v>
      </c>
      <c r="W171" s="49">
        <v>1.3420817831081706</v>
      </c>
      <c r="X171" s="48" t="s">
        <v>386</v>
      </c>
      <c r="Y171" s="48" t="s">
        <v>564</v>
      </c>
      <c r="Z171" s="247">
        <f>0.0966*Z3</f>
        <v>0.121716</v>
      </c>
      <c r="AA171" s="246"/>
      <c r="AB171" s="386">
        <v>0</v>
      </c>
      <c r="AC171" s="387">
        <f t="shared" si="216"/>
        <v>710.5602632788291</v>
      </c>
      <c r="AD171" s="365">
        <f t="shared" si="226"/>
        <v>58.265941588863988</v>
      </c>
      <c r="AE171" s="365">
        <f t="shared" si="227"/>
        <v>0</v>
      </c>
      <c r="AF171" s="365">
        <f t="shared" si="228"/>
        <v>0</v>
      </c>
      <c r="AG171" s="365">
        <f t="shared" si="229"/>
        <v>24.159048951480191</v>
      </c>
      <c r="AH171" s="365">
        <f t="shared" si="230"/>
        <v>-2.1316807898364871</v>
      </c>
      <c r="AI171" s="365">
        <f t="shared" si="231"/>
        <v>495.97106376862268</v>
      </c>
      <c r="AJ171" s="365" t="s">
        <v>40</v>
      </c>
      <c r="AK171" s="365">
        <f t="shared" si="232"/>
        <v>134.2958897596987</v>
      </c>
      <c r="AL171" s="365">
        <f t="shared" si="233"/>
        <v>0</v>
      </c>
      <c r="AM171" s="365">
        <f t="shared" si="234"/>
        <v>0</v>
      </c>
      <c r="AN171" s="365">
        <f t="shared" si="194"/>
        <v>710.5602632788291</v>
      </c>
      <c r="AO171" s="294" t="s">
        <v>623</v>
      </c>
      <c r="AP171" s="282" t="s">
        <v>455</v>
      </c>
      <c r="AQ171" s="48" t="s">
        <v>40</v>
      </c>
      <c r="AR171" s="294" t="s">
        <v>590</v>
      </c>
      <c r="AS171" s="48"/>
      <c r="AT171" s="48" t="s">
        <v>216</v>
      </c>
      <c r="AU171" s="48" t="s">
        <v>287</v>
      </c>
      <c r="AV171" s="48"/>
      <c r="AW171" s="48" t="s">
        <v>284</v>
      </c>
      <c r="AX171" s="48"/>
      <c r="AY171" s="48"/>
      <c r="AZ171" s="48"/>
      <c r="BA171" s="48"/>
      <c r="BB171" s="241"/>
      <c r="BC171" s="56" t="s">
        <v>123</v>
      </c>
      <c r="BD171" s="52">
        <v>5.8924166386144776</v>
      </c>
      <c r="BE171" s="53">
        <v>49.655573166935731</v>
      </c>
      <c r="BF171" s="54">
        <v>5.8924166386144776</v>
      </c>
      <c r="BG171" s="53">
        <v>49.655573166935731</v>
      </c>
      <c r="BH171" s="450">
        <v>45479.900798327319</v>
      </c>
      <c r="BI171" s="347">
        <f t="shared" si="195"/>
        <v>55713.859591790846</v>
      </c>
      <c r="BJ171" s="347">
        <f t="shared" si="168"/>
        <v>101193.76039011817</v>
      </c>
      <c r="BK171" s="45">
        <v>10865.441496751757</v>
      </c>
      <c r="BL171" s="47">
        <v>10.372916971347598</v>
      </c>
      <c r="BM171" s="45">
        <v>34614.45930157556</v>
      </c>
      <c r="BN171" s="55">
        <v>4.18573886868045</v>
      </c>
      <c r="BO171" s="47">
        <f t="shared" si="196"/>
        <v>9.3133592795442528</v>
      </c>
      <c r="BP171" s="45">
        <v>9644.0305233755771</v>
      </c>
      <c r="BQ171" s="55">
        <v>4.7158603125624046</v>
      </c>
      <c r="BR171" s="54">
        <v>7.923130143637696</v>
      </c>
      <c r="BS171" s="53">
        <v>66.768457271050139</v>
      </c>
      <c r="BT171" s="54">
        <v>13.815546782252174</v>
      </c>
      <c r="BU171" s="53">
        <v>116.42403043798586</v>
      </c>
      <c r="BV171" s="450">
        <v>64657.514350963851</v>
      </c>
      <c r="BW171" s="347">
        <f t="shared" si="197"/>
        <v>74914.621185699478</v>
      </c>
      <c r="BX171" s="347">
        <f t="shared" si="202"/>
        <v>139572.13553666332</v>
      </c>
      <c r="BY171" s="45">
        <v>14610.016963615159</v>
      </c>
      <c r="BZ171" s="47">
        <v>13.94775287859823</v>
      </c>
      <c r="CA171" s="45">
        <v>50047.497387348689</v>
      </c>
      <c r="CB171" s="55">
        <v>4.4255605254933768</v>
      </c>
      <c r="CC171" s="47">
        <f t="shared" si="171"/>
        <v>9.5531809363571778</v>
      </c>
      <c r="CD171" s="45">
        <v>12967.669062160217</v>
      </c>
      <c r="CE171" s="55">
        <v>4.9860552456289229</v>
      </c>
      <c r="CF171" s="52">
        <v>8.6653011059362548</v>
      </c>
      <c r="CG171" s="53">
        <v>73.022754409389734</v>
      </c>
      <c r="CH171" s="54">
        <v>22.480847888188428</v>
      </c>
      <c r="CI171" s="53">
        <v>189.4467848473756</v>
      </c>
      <c r="CJ171" s="450">
        <v>75100.369468397344</v>
      </c>
      <c r="CK171" s="347">
        <f t="shared" si="198"/>
        <v>88575.114788646519</v>
      </c>
      <c r="CL171" s="347">
        <f t="shared" si="203"/>
        <v>163675.48425704386</v>
      </c>
      <c r="CM171" s="45">
        <v>16371.561508412706</v>
      </c>
      <c r="CN171" s="47">
        <v>16.491090693806303</v>
      </c>
      <c r="CO171" s="45">
        <v>58728.807959984639</v>
      </c>
      <c r="CP171" s="55">
        <v>4.5872453540736595</v>
      </c>
      <c r="CQ171" s="47">
        <f t="shared" si="199"/>
        <v>9.9975487477439113</v>
      </c>
      <c r="CR171" s="45">
        <v>14429.735579217013</v>
      </c>
      <c r="CS171" s="55">
        <v>5.2045561788785353</v>
      </c>
    </row>
    <row r="172" spans="1:97" ht="15" customHeight="1">
      <c r="A172" s="377" t="str">
        <f t="shared" si="182"/>
        <v>BNI- Direct Installation; High-Efficiency Air Source Heat Pumps; COM-HVAC; Office</v>
      </c>
      <c r="B172" s="149" t="s">
        <v>123</v>
      </c>
      <c r="C172" s="15" t="s">
        <v>95</v>
      </c>
      <c r="D172" s="15" t="s">
        <v>66</v>
      </c>
      <c r="E172" s="43">
        <v>15</v>
      </c>
      <c r="F172" s="44">
        <v>6173.9643815060508</v>
      </c>
      <c r="G172" s="44">
        <v>841.23717872723262</v>
      </c>
      <c r="H172" s="45">
        <v>3500</v>
      </c>
      <c r="I172" s="46">
        <v>0.5714285714285714</v>
      </c>
      <c r="J172" s="45">
        <v>771.74554768825635</v>
      </c>
      <c r="K172" s="45">
        <v>2771.7455476882565</v>
      </c>
      <c r="L172" s="45">
        <v>1500</v>
      </c>
      <c r="M172" s="45">
        <v>4271.7455476882569</v>
      </c>
      <c r="N172" s="45">
        <v>5824.8915359594648</v>
      </c>
      <c r="O172" s="47">
        <v>0.82</v>
      </c>
      <c r="P172" s="47">
        <v>1.3115718813794606</v>
      </c>
      <c r="Q172" s="310">
        <f t="shared" si="183"/>
        <v>1.3115718813794606</v>
      </c>
      <c r="R172" s="311">
        <f t="shared" si="184"/>
        <v>0</v>
      </c>
      <c r="S172" s="311">
        <f t="shared" si="185"/>
        <v>6927.2261447782375</v>
      </c>
      <c r="T172" s="310">
        <f t="shared" si="186"/>
        <v>2.871352861224131</v>
      </c>
      <c r="U172" s="316">
        <f t="shared" si="187"/>
        <v>1.1892455167643219</v>
      </c>
      <c r="V172" s="48">
        <v>0.4489409683008454</v>
      </c>
      <c r="W172" s="49">
        <v>3.2948443290176819</v>
      </c>
      <c r="X172" s="48" t="s">
        <v>386</v>
      </c>
      <c r="Y172" s="48" t="s">
        <v>564</v>
      </c>
      <c r="Z172" s="247">
        <f>0.0966*Z3</f>
        <v>0.121716</v>
      </c>
      <c r="AA172" s="246"/>
      <c r="AB172" s="386">
        <v>0</v>
      </c>
      <c r="AC172" s="387">
        <f t="shared" si="216"/>
        <v>751.47024865939056</v>
      </c>
      <c r="AD172" s="365">
        <f t="shared" si="226"/>
        <v>61.620560390070025</v>
      </c>
      <c r="AE172" s="365">
        <f t="shared" si="227"/>
        <v>0</v>
      </c>
      <c r="AF172" s="365">
        <f t="shared" si="228"/>
        <v>0</v>
      </c>
      <c r="AG172" s="365">
        <f t="shared" si="229"/>
        <v>25.549988454419282</v>
      </c>
      <c r="AH172" s="365">
        <f t="shared" si="230"/>
        <v>-2.2544107459781717</v>
      </c>
      <c r="AI172" s="365">
        <f t="shared" si="231"/>
        <v>524.52623356425454</v>
      </c>
      <c r="AJ172" s="365" t="s">
        <v>40</v>
      </c>
      <c r="AK172" s="365">
        <f t="shared" si="232"/>
        <v>142.02787699662483</v>
      </c>
      <c r="AL172" s="365">
        <f t="shared" si="233"/>
        <v>0</v>
      </c>
      <c r="AM172" s="365">
        <f t="shared" si="234"/>
        <v>0</v>
      </c>
      <c r="AN172" s="365">
        <f t="shared" si="194"/>
        <v>751.47024865939056</v>
      </c>
      <c r="AO172" s="294" t="s">
        <v>623</v>
      </c>
      <c r="AP172" s="282" t="s">
        <v>455</v>
      </c>
      <c r="AQ172" s="48" t="s">
        <v>40</v>
      </c>
      <c r="AR172" s="294" t="s">
        <v>590</v>
      </c>
      <c r="AS172" s="48"/>
      <c r="AT172" s="48" t="s">
        <v>216</v>
      </c>
      <c r="AU172" s="48" t="s">
        <v>287</v>
      </c>
      <c r="AV172" s="48"/>
      <c r="AW172" s="48" t="s">
        <v>284</v>
      </c>
      <c r="AX172" s="48"/>
      <c r="AY172" s="48"/>
      <c r="AZ172" s="48"/>
      <c r="BA172" s="48"/>
      <c r="BB172" s="241"/>
      <c r="BC172" s="56" t="s">
        <v>123</v>
      </c>
      <c r="BD172" s="52">
        <v>46.390002538413995</v>
      </c>
      <c r="BE172" s="53">
        <v>340.46310668707446</v>
      </c>
      <c r="BF172" s="54">
        <v>46.390002538413995</v>
      </c>
      <c r="BG172" s="53">
        <v>340.46310668707446</v>
      </c>
      <c r="BH172" s="450">
        <v>321213.49361659912</v>
      </c>
      <c r="BI172" s="347">
        <f t="shared" si="195"/>
        <v>381717.86948185996</v>
      </c>
      <c r="BJ172" s="347">
        <f t="shared" si="168"/>
        <v>702931.36309845909</v>
      </c>
      <c r="BK172" s="45">
        <v>244907.27361336778</v>
      </c>
      <c r="BL172" s="47">
        <v>67.2</v>
      </c>
      <c r="BM172" s="45">
        <v>76306.220003231341</v>
      </c>
      <c r="BN172" s="55">
        <v>1.3115718813794606</v>
      </c>
      <c r="BO172" s="47">
        <f t="shared" si="196"/>
        <v>2.8701939012565569</v>
      </c>
      <c r="BP172" s="45">
        <v>186399.80095952348</v>
      </c>
      <c r="BQ172" s="55">
        <v>1.7232501964224216</v>
      </c>
      <c r="BR172" s="54">
        <v>47.225801703789003</v>
      </c>
      <c r="BS172" s="53">
        <v>346.59716068231631</v>
      </c>
      <c r="BT172" s="54">
        <v>93.615804242202998</v>
      </c>
      <c r="BU172" s="53">
        <v>687.06026736939077</v>
      </c>
      <c r="BV172" s="450">
        <v>346298.27486945852</v>
      </c>
      <c r="BW172" s="347">
        <f t="shared" si="197"/>
        <v>389102.29255219357</v>
      </c>
      <c r="BX172" s="347">
        <f t="shared" si="202"/>
        <v>735400.56742165214</v>
      </c>
      <c r="BY172" s="45">
        <v>249319.71775390909</v>
      </c>
      <c r="BZ172" s="47">
        <v>68.5</v>
      </c>
      <c r="CA172" s="45">
        <v>96978.557115549425</v>
      </c>
      <c r="CB172" s="55">
        <v>1.3889726732775787</v>
      </c>
      <c r="CC172" s="47">
        <f t="shared" si="171"/>
        <v>2.949628589534699</v>
      </c>
      <c r="CD172" s="45">
        <v>189758.12795980828</v>
      </c>
      <c r="CE172" s="55">
        <v>1.8249456747528952</v>
      </c>
      <c r="CF172" s="52">
        <v>43.803789517521082</v>
      </c>
      <c r="CG172" s="53">
        <v>321.48250587941885</v>
      </c>
      <c r="CH172" s="54">
        <v>137.41959375972408</v>
      </c>
      <c r="CI172" s="53">
        <v>1008.5427732488097</v>
      </c>
      <c r="CJ172" s="450">
        <v>341611.67842375877</v>
      </c>
      <c r="CK172" s="347">
        <f t="shared" si="198"/>
        <v>389670.32509606535</v>
      </c>
      <c r="CL172" s="347">
        <f t="shared" si="203"/>
        <v>731282.00351982412</v>
      </c>
      <c r="CM172" s="45">
        <v>246030.66326412139</v>
      </c>
      <c r="CN172" s="47">
        <v>68.599999999999994</v>
      </c>
      <c r="CO172" s="45">
        <v>95581.015159637376</v>
      </c>
      <c r="CP172" s="55">
        <v>1.3884922874716159</v>
      </c>
      <c r="CQ172" s="47">
        <f t="shared" si="199"/>
        <v>2.9723205791416767</v>
      </c>
      <c r="CR172" s="45">
        <v>186305.56227906258</v>
      </c>
      <c r="CS172" s="55">
        <v>1.8336096584817307</v>
      </c>
    </row>
    <row r="173" spans="1:97" ht="15" customHeight="1">
      <c r="A173" s="377" t="str">
        <f t="shared" si="182"/>
        <v>BNI- Direct Installation; High-Efficiency Air Source Heat Pumps; COM-HVAC; Other Commercial</v>
      </c>
      <c r="B173" s="149" t="s">
        <v>123</v>
      </c>
      <c r="C173" s="15" t="s">
        <v>95</v>
      </c>
      <c r="D173" s="15" t="s">
        <v>56</v>
      </c>
      <c r="E173" s="43">
        <v>15</v>
      </c>
      <c r="F173" s="44">
        <v>6173.9643815060508</v>
      </c>
      <c r="G173" s="44">
        <v>811.7251091059627</v>
      </c>
      <c r="H173" s="45">
        <v>3500</v>
      </c>
      <c r="I173" s="46">
        <v>0.5714285714285714</v>
      </c>
      <c r="J173" s="45">
        <v>771.74554768825635</v>
      </c>
      <c r="K173" s="45">
        <v>2771.7455476882565</v>
      </c>
      <c r="L173" s="45">
        <v>1500</v>
      </c>
      <c r="M173" s="45">
        <v>4271.7455476882569</v>
      </c>
      <c r="N173" s="45">
        <v>5778.6629566927431</v>
      </c>
      <c r="O173" s="47">
        <v>0.82</v>
      </c>
      <c r="P173" s="47">
        <v>1.3011627425469097</v>
      </c>
      <c r="Q173" s="310">
        <f t="shared" si="183"/>
        <v>1.3011627425469097</v>
      </c>
      <c r="R173" s="311">
        <f t="shared" si="184"/>
        <v>0</v>
      </c>
      <c r="S173" s="311">
        <f t="shared" si="185"/>
        <v>6927.2261447782375</v>
      </c>
      <c r="T173" s="310">
        <f t="shared" si="186"/>
        <v>2.8609437223915801</v>
      </c>
      <c r="U173" s="316">
        <f t="shared" si="187"/>
        <v>1.1987593318200449</v>
      </c>
      <c r="V173" s="48">
        <v>0.4489409683008454</v>
      </c>
      <c r="W173" s="49">
        <v>3.414635714227281</v>
      </c>
      <c r="X173" s="48" t="s">
        <v>386</v>
      </c>
      <c r="Y173" s="48" t="s">
        <v>564</v>
      </c>
      <c r="Z173" s="247">
        <f>0.0966*Z3</f>
        <v>0.121716</v>
      </c>
      <c r="AA173" s="246"/>
      <c r="AB173" s="386">
        <v>0</v>
      </c>
      <c r="AC173" s="387">
        <f t="shared" si="216"/>
        <v>751.47024865939056</v>
      </c>
      <c r="AD173" s="365">
        <f t="shared" si="226"/>
        <v>61.620560390070025</v>
      </c>
      <c r="AE173" s="365">
        <f t="shared" si="227"/>
        <v>0</v>
      </c>
      <c r="AF173" s="365">
        <f t="shared" si="228"/>
        <v>0</v>
      </c>
      <c r="AG173" s="365">
        <f t="shared" si="229"/>
        <v>25.549988454419282</v>
      </c>
      <c r="AH173" s="365">
        <f t="shared" si="230"/>
        <v>-2.2544107459781717</v>
      </c>
      <c r="AI173" s="365">
        <f t="shared" si="231"/>
        <v>524.52623356425454</v>
      </c>
      <c r="AJ173" s="365" t="s">
        <v>40</v>
      </c>
      <c r="AK173" s="365">
        <f t="shared" si="232"/>
        <v>142.02787699662483</v>
      </c>
      <c r="AL173" s="365">
        <f t="shared" si="233"/>
        <v>0</v>
      </c>
      <c r="AM173" s="365">
        <f t="shared" si="234"/>
        <v>0</v>
      </c>
      <c r="AN173" s="365">
        <f t="shared" si="194"/>
        <v>751.47024865939056</v>
      </c>
      <c r="AO173" s="294" t="s">
        <v>623</v>
      </c>
      <c r="AP173" s="282" t="s">
        <v>455</v>
      </c>
      <c r="AQ173" s="48" t="s">
        <v>40</v>
      </c>
      <c r="AR173" s="294" t="s">
        <v>590</v>
      </c>
      <c r="AS173" s="48"/>
      <c r="AT173" s="48" t="s">
        <v>216</v>
      </c>
      <c r="AU173" s="48" t="s">
        <v>287</v>
      </c>
      <c r="AV173" s="48"/>
      <c r="AW173" s="48" t="s">
        <v>284</v>
      </c>
      <c r="AX173" s="48"/>
      <c r="AY173" s="48"/>
      <c r="AZ173" s="48"/>
      <c r="BA173" s="48"/>
      <c r="BB173" s="241"/>
      <c r="BC173" s="56" t="s">
        <v>123</v>
      </c>
      <c r="BD173" s="52">
        <v>60.722064961621527</v>
      </c>
      <c r="BE173" s="53">
        <v>461.85076947719369</v>
      </c>
      <c r="BF173" s="54">
        <v>60.722064961621527</v>
      </c>
      <c r="BG173" s="53">
        <v>461.85076947719369</v>
      </c>
      <c r="BH173" s="450">
        <v>432279.7749032143</v>
      </c>
      <c r="BI173" s="347">
        <f t="shared" si="195"/>
        <v>518045.68001109565</v>
      </c>
      <c r="BJ173" s="347">
        <f t="shared" si="168"/>
        <v>950325.45491431002</v>
      </c>
      <c r="BK173" s="45">
        <v>332225.75529411901</v>
      </c>
      <c r="BL173" s="47">
        <v>91.2</v>
      </c>
      <c r="BM173" s="45">
        <v>100054.0196090953</v>
      </c>
      <c r="BN173" s="55">
        <v>1.3011627425469094</v>
      </c>
      <c r="BO173" s="47">
        <f t="shared" si="196"/>
        <v>2.8604809824963398</v>
      </c>
      <c r="BP173" s="45">
        <v>252858.20934095353</v>
      </c>
      <c r="BQ173" s="55">
        <v>1.7095738201654709</v>
      </c>
      <c r="BR173" s="54">
        <v>61.816081957476278</v>
      </c>
      <c r="BS173" s="53">
        <v>470.17184010738379</v>
      </c>
      <c r="BT173" s="54">
        <v>122.53814691909781</v>
      </c>
      <c r="BU173" s="53">
        <v>932.02260958457748</v>
      </c>
      <c r="BV173" s="450">
        <v>465836.99688870815</v>
      </c>
      <c r="BW173" s="347">
        <f t="shared" si="197"/>
        <v>527702.23325691652</v>
      </c>
      <c r="BX173" s="347">
        <f t="shared" si="202"/>
        <v>993539.23014562461</v>
      </c>
      <c r="BY173" s="45">
        <v>338211.39861804363</v>
      </c>
      <c r="BZ173" s="47">
        <v>92.9</v>
      </c>
      <c r="CA173" s="45">
        <v>127625.59827066452</v>
      </c>
      <c r="CB173" s="55">
        <v>1.3773545149340087</v>
      </c>
      <c r="CC173" s="47">
        <f t="shared" si="171"/>
        <v>2.9376278688574606</v>
      </c>
      <c r="CD173" s="45">
        <v>257413.90386048675</v>
      </c>
      <c r="CE173" s="55">
        <v>1.809680789974665</v>
      </c>
      <c r="CF173" s="52">
        <v>57.336848611844204</v>
      </c>
      <c r="CG173" s="53">
        <v>436.10288397660014</v>
      </c>
      <c r="CH173" s="54">
        <v>179.87499553094202</v>
      </c>
      <c r="CI173" s="53">
        <v>1368.1254935611776</v>
      </c>
      <c r="CJ173" s="450">
        <v>459360.23981216934</v>
      </c>
      <c r="CK173" s="347">
        <f t="shared" si="198"/>
        <v>528838.29834466008</v>
      </c>
      <c r="CL173" s="347">
        <f t="shared" si="203"/>
        <v>988198.53815682943</v>
      </c>
      <c r="CM173" s="45">
        <v>333749.67481559637</v>
      </c>
      <c r="CN173" s="47">
        <v>93.1</v>
      </c>
      <c r="CO173" s="45">
        <v>125610.56499657297</v>
      </c>
      <c r="CP173" s="55">
        <v>1.3763616101378238</v>
      </c>
      <c r="CQ173" s="47">
        <f t="shared" si="199"/>
        <v>2.9608973812568644</v>
      </c>
      <c r="CR173" s="45">
        <v>252730.37109290107</v>
      </c>
      <c r="CS173" s="55">
        <v>1.8175901765415969</v>
      </c>
    </row>
    <row r="174" spans="1:97" ht="15" customHeight="1">
      <c r="A174" s="377" t="str">
        <f t="shared" si="182"/>
        <v>BNI- Direct Installation; High-Efficiency Air Source Heat Pumps; COM-HVAC; Retail</v>
      </c>
      <c r="B174" s="149" t="s">
        <v>123</v>
      </c>
      <c r="C174" s="15" t="s">
        <v>95</v>
      </c>
      <c r="D174" s="15" t="s">
        <v>30</v>
      </c>
      <c r="E174" s="43">
        <v>15</v>
      </c>
      <c r="F174" s="44">
        <v>6173.9643815060508</v>
      </c>
      <c r="G174" s="44">
        <v>748.09706973303093</v>
      </c>
      <c r="H174" s="45">
        <v>3500</v>
      </c>
      <c r="I174" s="46">
        <v>0.5714285714285714</v>
      </c>
      <c r="J174" s="45">
        <v>771.74554768825635</v>
      </c>
      <c r="K174" s="45">
        <v>2771.7455476882565</v>
      </c>
      <c r="L174" s="45">
        <v>1500</v>
      </c>
      <c r="M174" s="45">
        <v>4271.7455476882569</v>
      </c>
      <c r="N174" s="45">
        <v>5678.9941127422771</v>
      </c>
      <c r="O174" s="47">
        <v>0.82</v>
      </c>
      <c r="P174" s="47">
        <v>1.2787206331328507</v>
      </c>
      <c r="Q174" s="310">
        <f t="shared" si="183"/>
        <v>1.2787206331328507</v>
      </c>
      <c r="R174" s="311">
        <f t="shared" si="184"/>
        <v>0</v>
      </c>
      <c r="S174" s="311">
        <f t="shared" si="185"/>
        <v>6927.2261447782375</v>
      </c>
      <c r="T174" s="310">
        <f t="shared" si="186"/>
        <v>2.8385016129775216</v>
      </c>
      <c r="U174" s="316">
        <f t="shared" si="187"/>
        <v>1.2197980852340089</v>
      </c>
      <c r="V174" s="48">
        <v>0.4489409683008454</v>
      </c>
      <c r="W174" s="49">
        <v>3.705061361458605</v>
      </c>
      <c r="X174" s="48" t="s">
        <v>386</v>
      </c>
      <c r="Y174" s="48" t="s">
        <v>564</v>
      </c>
      <c r="Z174" s="247">
        <f>0.0966*Z3</f>
        <v>0.121716</v>
      </c>
      <c r="AA174" s="246"/>
      <c r="AB174" s="386">
        <v>0</v>
      </c>
      <c r="AC174" s="387">
        <f t="shared" si="216"/>
        <v>751.47024865939056</v>
      </c>
      <c r="AD174" s="365">
        <f t="shared" si="226"/>
        <v>61.620560390070025</v>
      </c>
      <c r="AE174" s="365">
        <f t="shared" si="227"/>
        <v>0</v>
      </c>
      <c r="AF174" s="365">
        <f t="shared" si="228"/>
        <v>0</v>
      </c>
      <c r="AG174" s="365">
        <f t="shared" si="229"/>
        <v>25.549988454419282</v>
      </c>
      <c r="AH174" s="365">
        <f t="shared" si="230"/>
        <v>-2.2544107459781717</v>
      </c>
      <c r="AI174" s="365">
        <f t="shared" si="231"/>
        <v>524.52623356425454</v>
      </c>
      <c r="AJ174" s="365" t="s">
        <v>40</v>
      </c>
      <c r="AK174" s="365">
        <f t="shared" si="232"/>
        <v>142.02787699662483</v>
      </c>
      <c r="AL174" s="365">
        <f t="shared" si="233"/>
        <v>0</v>
      </c>
      <c r="AM174" s="365">
        <f t="shared" si="234"/>
        <v>0</v>
      </c>
      <c r="AN174" s="365">
        <f t="shared" si="194"/>
        <v>751.47024865939056</v>
      </c>
      <c r="AO174" s="294" t="s">
        <v>623</v>
      </c>
      <c r="AP174" s="282" t="s">
        <v>455</v>
      </c>
      <c r="AQ174" s="48" t="s">
        <v>40</v>
      </c>
      <c r="AR174" s="294" t="s">
        <v>590</v>
      </c>
      <c r="AS174" s="48"/>
      <c r="AT174" s="48" t="s">
        <v>216</v>
      </c>
      <c r="AU174" s="48" t="s">
        <v>287</v>
      </c>
      <c r="AV174" s="48"/>
      <c r="AW174" s="48" t="s">
        <v>284</v>
      </c>
      <c r="AX174" s="48"/>
      <c r="AY174" s="48"/>
      <c r="AZ174" s="48"/>
      <c r="BA174" s="48"/>
      <c r="BB174" s="241"/>
      <c r="BC174" s="56" t="s">
        <v>123</v>
      </c>
      <c r="BD174" s="52">
        <v>80.084426423304862</v>
      </c>
      <c r="BE174" s="53">
        <v>660.9281285211739</v>
      </c>
      <c r="BF174" s="54">
        <v>80.084426423304862</v>
      </c>
      <c r="BG174" s="53">
        <v>660.9281285211739</v>
      </c>
      <c r="BH174" s="450">
        <v>607941.14103747497</v>
      </c>
      <c r="BI174" s="347">
        <f t="shared" si="195"/>
        <v>741282.46975271916</v>
      </c>
      <c r="BJ174" s="347">
        <f t="shared" si="168"/>
        <v>1349223.610790194</v>
      </c>
      <c r="BK174" s="45">
        <v>475429.21048206312</v>
      </c>
      <c r="BL174" s="47">
        <v>130.5</v>
      </c>
      <c r="BM174" s="45">
        <v>132511.93055541185</v>
      </c>
      <c r="BN174" s="55">
        <v>1.2787206331328504</v>
      </c>
      <c r="BO174" s="47">
        <f t="shared" si="196"/>
        <v>2.8379064244330801</v>
      </c>
      <c r="BP174" s="45">
        <v>361850.87072629441</v>
      </c>
      <c r="BQ174" s="55">
        <v>1.6800875449525292</v>
      </c>
      <c r="BR174" s="54">
        <v>81.525375168940627</v>
      </c>
      <c r="BS174" s="53">
        <v>672.8201230110144</v>
      </c>
      <c r="BT174" s="54">
        <v>161.60980159224547</v>
      </c>
      <c r="BU174" s="53">
        <v>1333.7482515321883</v>
      </c>
      <c r="BV174" s="450">
        <v>654493.7375949868</v>
      </c>
      <c r="BW174" s="347">
        <f t="shared" si="197"/>
        <v>754915.25080564269</v>
      </c>
      <c r="BX174" s="347">
        <f t="shared" si="202"/>
        <v>1409408.9884006295</v>
      </c>
      <c r="BY174" s="45">
        <v>483983.54688776622</v>
      </c>
      <c r="BZ174" s="47">
        <v>132.9</v>
      </c>
      <c r="CA174" s="45">
        <v>170510.19070722058</v>
      </c>
      <c r="CB174" s="55">
        <v>1.3523057587467147</v>
      </c>
      <c r="CC174" s="47">
        <f t="shared" si="171"/>
        <v>2.9121010362103603</v>
      </c>
      <c r="CD174" s="45">
        <v>368361.60672787647</v>
      </c>
      <c r="CE174" s="55">
        <v>1.7767696894603016</v>
      </c>
      <c r="CF174" s="52">
        <v>75.617618794109632</v>
      </c>
      <c r="CG174" s="53">
        <v>624.06404721748368</v>
      </c>
      <c r="CH174" s="54">
        <v>237.22742038635511</v>
      </c>
      <c r="CI174" s="53">
        <v>1957.812298749672</v>
      </c>
      <c r="CJ174" s="450">
        <v>644854.43121858605</v>
      </c>
      <c r="CK174" s="347">
        <f t="shared" si="198"/>
        <v>757187.38098113006</v>
      </c>
      <c r="CL174" s="347">
        <f t="shared" si="203"/>
        <v>1402041.812199716</v>
      </c>
      <c r="CM174" s="45">
        <v>477596.41239638272</v>
      </c>
      <c r="CN174" s="47">
        <v>133.30000000000001</v>
      </c>
      <c r="CO174" s="45">
        <v>167258.01882220333</v>
      </c>
      <c r="CP174" s="55">
        <v>1.3502078627077019</v>
      </c>
      <c r="CQ174" s="47">
        <f t="shared" si="199"/>
        <v>2.9356204858509005</v>
      </c>
      <c r="CR174" s="45">
        <v>361657.63638351701</v>
      </c>
      <c r="CS174" s="55">
        <v>1.7830521641046042</v>
      </c>
    </row>
    <row r="175" spans="1:97" ht="15" customHeight="1">
      <c r="A175" s="377" t="str">
        <f t="shared" si="182"/>
        <v>BNI- Direct Installation; High-Efficiency Air Source Heat Pumps; COM-HVAC; School</v>
      </c>
      <c r="B175" s="149" t="s">
        <v>123</v>
      </c>
      <c r="C175" s="15" t="s">
        <v>95</v>
      </c>
      <c r="D175" s="15" t="s">
        <v>59</v>
      </c>
      <c r="E175" s="43">
        <v>15</v>
      </c>
      <c r="F175" s="44">
        <v>6173.9643815060508</v>
      </c>
      <c r="G175" s="44">
        <v>732.63821415364396</v>
      </c>
      <c r="H175" s="45">
        <v>3500</v>
      </c>
      <c r="I175" s="46">
        <v>0.5714285714285714</v>
      </c>
      <c r="J175" s="45">
        <v>771.74554768825635</v>
      </c>
      <c r="K175" s="45">
        <v>2771.7455476882565</v>
      </c>
      <c r="L175" s="45">
        <v>1500</v>
      </c>
      <c r="M175" s="45">
        <v>4271.7455476882569</v>
      </c>
      <c r="N175" s="45">
        <v>5654.778903856708</v>
      </c>
      <c r="O175" s="47">
        <v>0.82</v>
      </c>
      <c r="P175" s="47">
        <v>1.2732681733093543</v>
      </c>
      <c r="Q175" s="310">
        <f t="shared" si="183"/>
        <v>1.2732681733093543</v>
      </c>
      <c r="R175" s="311">
        <f t="shared" si="184"/>
        <v>0</v>
      </c>
      <c r="S175" s="311">
        <f t="shared" si="185"/>
        <v>6927.2261447782375</v>
      </c>
      <c r="T175" s="310">
        <f t="shared" si="186"/>
        <v>2.8330491531540249</v>
      </c>
      <c r="U175" s="316">
        <f t="shared" si="187"/>
        <v>1.2250215724709748</v>
      </c>
      <c r="V175" s="48">
        <v>0.4489409683008454</v>
      </c>
      <c r="W175" s="49">
        <v>3.7832391133053629</v>
      </c>
      <c r="X175" s="48" t="s">
        <v>386</v>
      </c>
      <c r="Y175" s="48" t="s">
        <v>564</v>
      </c>
      <c r="Z175" s="247">
        <f>0.0966*Z3</f>
        <v>0.121716</v>
      </c>
      <c r="AA175" s="246"/>
      <c r="AB175" s="386">
        <v>0</v>
      </c>
      <c r="AC175" s="387">
        <f t="shared" si="216"/>
        <v>751.47024865939056</v>
      </c>
      <c r="AD175" s="365">
        <f t="shared" si="226"/>
        <v>61.620560390070025</v>
      </c>
      <c r="AE175" s="365">
        <f t="shared" si="227"/>
        <v>0</v>
      </c>
      <c r="AF175" s="365">
        <f t="shared" si="228"/>
        <v>0</v>
      </c>
      <c r="AG175" s="365">
        <f t="shared" si="229"/>
        <v>25.549988454419282</v>
      </c>
      <c r="AH175" s="365">
        <f t="shared" si="230"/>
        <v>-2.2544107459781717</v>
      </c>
      <c r="AI175" s="365">
        <f t="shared" si="231"/>
        <v>524.52623356425454</v>
      </c>
      <c r="AJ175" s="365" t="s">
        <v>40</v>
      </c>
      <c r="AK175" s="365">
        <f t="shared" si="232"/>
        <v>142.02787699662483</v>
      </c>
      <c r="AL175" s="365">
        <f t="shared" si="233"/>
        <v>0</v>
      </c>
      <c r="AM175" s="365">
        <f t="shared" si="234"/>
        <v>0</v>
      </c>
      <c r="AN175" s="365">
        <f t="shared" si="194"/>
        <v>751.47024865939056</v>
      </c>
      <c r="AO175" s="294" t="s">
        <v>623</v>
      </c>
      <c r="AP175" s="282" t="s">
        <v>455</v>
      </c>
      <c r="AQ175" s="48" t="s">
        <v>40</v>
      </c>
      <c r="AR175" s="294" t="s">
        <v>590</v>
      </c>
      <c r="AS175" s="48"/>
      <c r="AT175" s="48" t="s">
        <v>216</v>
      </c>
      <c r="AU175" s="48" t="s">
        <v>287</v>
      </c>
      <c r="AV175" s="48"/>
      <c r="AW175" s="48" t="s">
        <v>284</v>
      </c>
      <c r="AX175" s="48"/>
      <c r="AY175" s="48"/>
      <c r="AZ175" s="48"/>
      <c r="BA175" s="48"/>
      <c r="BB175" s="241"/>
      <c r="BC175" s="56" t="s">
        <v>123</v>
      </c>
      <c r="BD175" s="52">
        <v>78.173237114045079</v>
      </c>
      <c r="BE175" s="53">
        <v>658.76823267633347</v>
      </c>
      <c r="BF175" s="54">
        <v>78.173237114045079</v>
      </c>
      <c r="BG175" s="53">
        <v>658.76823267633347</v>
      </c>
      <c r="BH175" s="450">
        <v>603370.61804693961</v>
      </c>
      <c r="BI175" s="347">
        <f t="shared" si="195"/>
        <v>739010.33957723179</v>
      </c>
      <c r="BJ175" s="347">
        <f t="shared" si="168"/>
        <v>1342380.9576241714</v>
      </c>
      <c r="BK175" s="45">
        <v>473875.52025172964</v>
      </c>
      <c r="BL175" s="47">
        <v>130.1</v>
      </c>
      <c r="BM175" s="45">
        <v>129495.09779520996</v>
      </c>
      <c r="BN175" s="55">
        <v>1.273268173309354</v>
      </c>
      <c r="BO175" s="47">
        <f t="shared" si="196"/>
        <v>2.8327712664099614</v>
      </c>
      <c r="BP175" s="45">
        <v>360668.35154091439</v>
      </c>
      <c r="BQ175" s="55">
        <v>1.6729236581726883</v>
      </c>
      <c r="BR175" s="54">
        <v>79.579798077176207</v>
      </c>
      <c r="BS175" s="53">
        <v>670.62136443908275</v>
      </c>
      <c r="BT175" s="54">
        <v>157.75303519122127</v>
      </c>
      <c r="BU175" s="53">
        <v>1329.3895971154161</v>
      </c>
      <c r="BV175" s="450">
        <v>649419.08601029695</v>
      </c>
      <c r="BW175" s="347">
        <f t="shared" si="197"/>
        <v>752643.12063015543</v>
      </c>
      <c r="BX175" s="347">
        <f t="shared" si="202"/>
        <v>1402062.2066404524</v>
      </c>
      <c r="BY175" s="45">
        <v>482401.90130970156</v>
      </c>
      <c r="BZ175" s="47">
        <v>132.5</v>
      </c>
      <c r="CA175" s="45">
        <v>167017.18470059539</v>
      </c>
      <c r="CB175" s="55">
        <v>1.3462199967436914</v>
      </c>
      <c r="CC175" s="47">
        <f t="shared" si="171"/>
        <v>2.9064193213872302</v>
      </c>
      <c r="CD175" s="45">
        <v>367157.81062745844</v>
      </c>
      <c r="CE175" s="55">
        <v>1.7687737185829302</v>
      </c>
      <c r="CF175" s="52">
        <v>73.813028425102132</v>
      </c>
      <c r="CG175" s="53">
        <v>622.02462222657675</v>
      </c>
      <c r="CH175" s="54">
        <v>231.56606361632342</v>
      </c>
      <c r="CI175" s="53">
        <v>1951.414219341993</v>
      </c>
      <c r="CJ175" s="450">
        <v>639722.22529104387</v>
      </c>
      <c r="CK175" s="347">
        <f t="shared" si="198"/>
        <v>754347.2182617709</v>
      </c>
      <c r="CL175" s="347">
        <f t="shared" si="203"/>
        <v>1394069.4435528149</v>
      </c>
      <c r="CM175" s="45">
        <v>476035.63980685204</v>
      </c>
      <c r="CN175" s="47">
        <v>132.80000000000001</v>
      </c>
      <c r="CO175" s="45">
        <v>163686.58548419183</v>
      </c>
      <c r="CP175" s="55">
        <v>1.3438536357290527</v>
      </c>
      <c r="CQ175" s="47">
        <f t="shared" si="199"/>
        <v>2.9284980513611298</v>
      </c>
      <c r="CR175" s="45">
        <v>360475.74868291727</v>
      </c>
      <c r="CS175" s="55">
        <v>1.7746609241493196</v>
      </c>
    </row>
    <row r="176" spans="1:97" s="23" customFormat="1" ht="15" customHeight="1">
      <c r="A176" s="377" t="str">
        <f t="shared" si="182"/>
        <v>BNI- Direct Installation; Ground Source Heat Pump; COM-HVAC; Office</v>
      </c>
      <c r="B176" s="42" t="s">
        <v>124</v>
      </c>
      <c r="C176" s="15" t="s">
        <v>95</v>
      </c>
      <c r="D176" s="15" t="s">
        <v>66</v>
      </c>
      <c r="E176" s="43">
        <v>15</v>
      </c>
      <c r="F176" s="44">
        <v>16035.27</v>
      </c>
      <c r="G176" s="44">
        <v>2184.8952247500442</v>
      </c>
      <c r="H176" s="45">
        <v>18000</v>
      </c>
      <c r="I176" s="46">
        <v>0.28888888888888886</v>
      </c>
      <c r="J176" s="45">
        <v>2004.4087500000001</v>
      </c>
      <c r="K176" s="45">
        <v>7204.4087499999987</v>
      </c>
      <c r="L176" s="45">
        <v>12800</v>
      </c>
      <c r="M176" s="45">
        <v>20004.408749999999</v>
      </c>
      <c r="N176" s="45">
        <v>15128.643887161561</v>
      </c>
      <c r="O176" s="47">
        <v>0.82</v>
      </c>
      <c r="P176" s="47">
        <v>0.73998959178757084</v>
      </c>
      <c r="Q176" s="310">
        <f t="shared" si="183"/>
        <v>0.73998959178757084</v>
      </c>
      <c r="R176" s="311">
        <f t="shared" si="184"/>
        <v>0</v>
      </c>
      <c r="S176" s="311">
        <f t="shared" si="185"/>
        <v>17991.67191753085</v>
      </c>
      <c r="T176" s="310">
        <f t="shared" si="186"/>
        <v>1.6200188962731998</v>
      </c>
      <c r="U176" s="316">
        <f t="shared" si="187"/>
        <v>1.1892455167643214</v>
      </c>
      <c r="V176" s="48">
        <v>0.44928515391384111</v>
      </c>
      <c r="W176" s="49">
        <v>3.2973703582624632</v>
      </c>
      <c r="X176" s="48" t="s">
        <v>386</v>
      </c>
      <c r="Y176" s="48" t="s">
        <v>564</v>
      </c>
      <c r="Z176" s="247">
        <f>0.0966*Z3</f>
        <v>0.121716</v>
      </c>
      <c r="AA176" s="246"/>
      <c r="AB176" s="386">
        <v>0</v>
      </c>
      <c r="AC176" s="387">
        <f t="shared" si="216"/>
        <v>1951.7489233200001</v>
      </c>
      <c r="AD176" s="365">
        <f t="shared" si="226"/>
        <v>160.04341171224002</v>
      </c>
      <c r="AE176" s="365">
        <f t="shared" si="227"/>
        <v>0</v>
      </c>
      <c r="AF176" s="365">
        <f t="shared" si="228"/>
        <v>0</v>
      </c>
      <c r="AG176" s="365">
        <f t="shared" si="229"/>
        <v>66.359463392880002</v>
      </c>
      <c r="AH176" s="365">
        <f t="shared" si="230"/>
        <v>-5.8552467699600008</v>
      </c>
      <c r="AI176" s="365">
        <f t="shared" si="231"/>
        <v>1362.32074847736</v>
      </c>
      <c r="AJ176" s="365" t="s">
        <v>40</v>
      </c>
      <c r="AK176" s="365">
        <f t="shared" si="232"/>
        <v>368.88054650748001</v>
      </c>
      <c r="AL176" s="365">
        <f t="shared" si="233"/>
        <v>0</v>
      </c>
      <c r="AM176" s="365">
        <f t="shared" si="234"/>
        <v>0</v>
      </c>
      <c r="AN176" s="365">
        <f t="shared" si="194"/>
        <v>1951.7489233199999</v>
      </c>
      <c r="AO176" s="294" t="s">
        <v>623</v>
      </c>
      <c r="AP176" s="282" t="s">
        <v>455</v>
      </c>
      <c r="AQ176" s="136" t="s">
        <v>40</v>
      </c>
      <c r="AR176" s="294" t="s">
        <v>590</v>
      </c>
      <c r="AS176" s="142"/>
      <c r="AT176" s="142" t="s">
        <v>216</v>
      </c>
      <c r="AU176" s="146" t="s">
        <v>287</v>
      </c>
      <c r="AV176" s="48"/>
      <c r="AW176" s="131" t="s">
        <v>284</v>
      </c>
      <c r="AX176" s="131"/>
      <c r="AY176" s="131"/>
      <c r="AZ176" s="48"/>
      <c r="BA176" s="48"/>
      <c r="BB176" s="50"/>
      <c r="BC176" s="51" t="s">
        <v>124</v>
      </c>
      <c r="BD176" s="52">
        <v>84.393974234574614</v>
      </c>
      <c r="BE176" s="53">
        <v>619.37988966004764</v>
      </c>
      <c r="BF176" s="54">
        <v>84.393974234574614</v>
      </c>
      <c r="BG176" s="53">
        <v>619.37988966004764</v>
      </c>
      <c r="BH176" s="450">
        <v>584360.46175314044</v>
      </c>
      <c r="BI176" s="347">
        <f t="shared" si="195"/>
        <v>694948.0593142513</v>
      </c>
      <c r="BJ176" s="347">
        <f t="shared" si="168"/>
        <v>1279308.5210673916</v>
      </c>
      <c r="BK176" s="45">
        <v>789687.40673976019</v>
      </c>
      <c r="BL176" s="47">
        <v>47.104995977848617</v>
      </c>
      <c r="BM176" s="45">
        <v>-205326.94498661975</v>
      </c>
      <c r="BN176" s="55">
        <v>0.73998959178757073</v>
      </c>
      <c r="BO176" s="47">
        <f t="shared" si="196"/>
        <v>1.6200188962731996</v>
      </c>
      <c r="BP176" s="45">
        <v>339363.64519152738</v>
      </c>
      <c r="BQ176" s="55">
        <v>1.7219300594892646</v>
      </c>
      <c r="BR176" s="54">
        <v>78.607696467225281</v>
      </c>
      <c r="BS176" s="53">
        <v>576.91353921751852</v>
      </c>
      <c r="BT176" s="54">
        <v>163.0016707017999</v>
      </c>
      <c r="BU176" s="53">
        <v>1196.2934288775662</v>
      </c>
      <c r="BV176" s="450">
        <v>576416.04156987986</v>
      </c>
      <c r="BW176" s="347">
        <f t="shared" si="197"/>
        <v>647300.55199464422</v>
      </c>
      <c r="BX176" s="347">
        <f t="shared" si="202"/>
        <v>1223716.5935645241</v>
      </c>
      <c r="BY176" s="45">
        <v>735544.31505322061</v>
      </c>
      <c r="BZ176" s="47">
        <v>43.87535081147557</v>
      </c>
      <c r="CA176" s="45">
        <v>-159128.27348334074</v>
      </c>
      <c r="CB176" s="55">
        <v>0.78365916202910635</v>
      </c>
      <c r="CC176" s="47">
        <f t="shared" si="171"/>
        <v>1.6636884665147356</v>
      </c>
      <c r="CD176" s="45">
        <v>316095.96129551413</v>
      </c>
      <c r="CE176" s="55">
        <v>1.8235476315719066</v>
      </c>
      <c r="CF176" s="52">
        <v>80.713393343154067</v>
      </c>
      <c r="CG176" s="53">
        <v>592.36756079310112</v>
      </c>
      <c r="CH176" s="54">
        <v>243.71506404495398</v>
      </c>
      <c r="CI176" s="53">
        <v>1788.6609896706673</v>
      </c>
      <c r="CJ176" s="450">
        <v>629457.81803200173</v>
      </c>
      <c r="CK176" s="347">
        <f t="shared" si="198"/>
        <v>664640.0595922292</v>
      </c>
      <c r="CL176" s="347">
        <f t="shared" si="203"/>
        <v>1294097.8776242309</v>
      </c>
      <c r="CM176" s="45">
        <v>755247.64482781244</v>
      </c>
      <c r="CN176" s="47">
        <v>45.050657979680459</v>
      </c>
      <c r="CO176" s="45">
        <v>-125789.82679581072</v>
      </c>
      <c r="CP176" s="55">
        <v>0.83344558879824204</v>
      </c>
      <c r="CQ176" s="47">
        <f t="shared" si="199"/>
        <v>1.713474893283871</v>
      </c>
      <c r="CR176" s="45">
        <v>324563.35454206722</v>
      </c>
      <c r="CS176" s="55">
        <v>1.9393989161842256</v>
      </c>
    </row>
    <row r="177" spans="1:97" s="23" customFormat="1" ht="15" customHeight="1">
      <c r="A177" s="377" t="str">
        <f t="shared" si="182"/>
        <v>BNI- Direct Installation; Ground Source Heat Pump; COM-HVAC; Other Commercial</v>
      </c>
      <c r="B177" s="42" t="s">
        <v>124</v>
      </c>
      <c r="C177" s="15" t="s">
        <v>95</v>
      </c>
      <c r="D177" s="15" t="s">
        <v>56</v>
      </c>
      <c r="E177" s="43">
        <v>15</v>
      </c>
      <c r="F177" s="44">
        <v>16035.27</v>
      </c>
      <c r="G177" s="44">
        <v>2108.245283902731</v>
      </c>
      <c r="H177" s="45">
        <v>18000</v>
      </c>
      <c r="I177" s="46">
        <v>0.28888888888888886</v>
      </c>
      <c r="J177" s="45">
        <v>2004.4087500000001</v>
      </c>
      <c r="K177" s="45">
        <v>7204.4087499999987</v>
      </c>
      <c r="L177" s="45">
        <v>12800</v>
      </c>
      <c r="M177" s="45">
        <v>20004.408749999999</v>
      </c>
      <c r="N177" s="45">
        <v>15008.577151357451</v>
      </c>
      <c r="O177" s="47">
        <v>0.82</v>
      </c>
      <c r="P177" s="47">
        <v>0.7341167498145803</v>
      </c>
      <c r="Q177" s="310">
        <f t="shared" si="183"/>
        <v>0.7341167498145803</v>
      </c>
      <c r="R177" s="311">
        <f t="shared" si="184"/>
        <v>0</v>
      </c>
      <c r="S177" s="311">
        <f t="shared" si="185"/>
        <v>17991.67191753085</v>
      </c>
      <c r="T177" s="310">
        <f t="shared" si="186"/>
        <v>1.6141460543002095</v>
      </c>
      <c r="U177" s="316">
        <f t="shared" si="187"/>
        <v>1.1987593318200447</v>
      </c>
      <c r="V177" s="48">
        <v>0.44928515391384111</v>
      </c>
      <c r="W177" s="49">
        <v>3.4172535828769304</v>
      </c>
      <c r="X177" s="48" t="s">
        <v>386</v>
      </c>
      <c r="Y177" s="48" t="s">
        <v>564</v>
      </c>
      <c r="Z177" s="247">
        <f>0.0966*Z3</f>
        <v>0.121716</v>
      </c>
      <c r="AA177" s="246"/>
      <c r="AB177" s="386">
        <v>0</v>
      </c>
      <c r="AC177" s="387">
        <f t="shared" si="216"/>
        <v>1951.7489233200001</v>
      </c>
      <c r="AD177" s="365">
        <f t="shared" si="226"/>
        <v>160.04341171224002</v>
      </c>
      <c r="AE177" s="365">
        <f t="shared" si="227"/>
        <v>0</v>
      </c>
      <c r="AF177" s="365">
        <f t="shared" si="228"/>
        <v>0</v>
      </c>
      <c r="AG177" s="365">
        <f t="shared" si="229"/>
        <v>66.359463392880002</v>
      </c>
      <c r="AH177" s="365">
        <f t="shared" si="230"/>
        <v>-5.8552467699600008</v>
      </c>
      <c r="AI177" s="365">
        <f t="shared" si="231"/>
        <v>1362.32074847736</v>
      </c>
      <c r="AJ177" s="365" t="s">
        <v>40</v>
      </c>
      <c r="AK177" s="365">
        <f t="shared" si="232"/>
        <v>368.88054650748001</v>
      </c>
      <c r="AL177" s="365">
        <f t="shared" si="233"/>
        <v>0</v>
      </c>
      <c r="AM177" s="365">
        <f t="shared" si="234"/>
        <v>0</v>
      </c>
      <c r="AN177" s="365">
        <f t="shared" si="194"/>
        <v>1951.7489233199999</v>
      </c>
      <c r="AO177" s="294" t="s">
        <v>623</v>
      </c>
      <c r="AP177" s="282" t="s">
        <v>455</v>
      </c>
      <c r="AQ177" s="136" t="s">
        <v>40</v>
      </c>
      <c r="AR177" s="294" t="s">
        <v>590</v>
      </c>
      <c r="AS177" s="142"/>
      <c r="AT177" s="142" t="s">
        <v>216</v>
      </c>
      <c r="AU177" s="146" t="s">
        <v>287</v>
      </c>
      <c r="AV177" s="48"/>
      <c r="AW177" s="131" t="s">
        <v>284</v>
      </c>
      <c r="AX177" s="131"/>
      <c r="AY177" s="131"/>
      <c r="AZ177" s="48"/>
      <c r="BA177" s="48"/>
      <c r="BB177" s="50"/>
      <c r="BC177" s="51" t="s">
        <v>124</v>
      </c>
      <c r="BD177" s="52">
        <v>110.46725814679067</v>
      </c>
      <c r="BE177" s="53">
        <v>840.21167938503254</v>
      </c>
      <c r="BF177" s="54">
        <v>110.46725814679067</v>
      </c>
      <c r="BG177" s="53">
        <v>840.21167938503254</v>
      </c>
      <c r="BH177" s="450">
        <v>786415.30909812369</v>
      </c>
      <c r="BI177" s="347">
        <f t="shared" si="195"/>
        <v>942722.69046752073</v>
      </c>
      <c r="BJ177" s="347">
        <f t="shared" si="168"/>
        <v>1729137.9995656444</v>
      </c>
      <c r="BK177" s="45">
        <v>1071240.1117352967</v>
      </c>
      <c r="BL177" s="47">
        <v>63.899665518194709</v>
      </c>
      <c r="BM177" s="45">
        <v>-284824.80263717298</v>
      </c>
      <c r="BN177" s="55">
        <v>0.73411674981458019</v>
      </c>
      <c r="BO177" s="47">
        <f t="shared" si="196"/>
        <v>1.6141460543002093</v>
      </c>
      <c r="BP177" s="45">
        <v>460359.30938135524</v>
      </c>
      <c r="BQ177" s="55">
        <v>1.7082641603466917</v>
      </c>
      <c r="BR177" s="54">
        <v>102.8933259362022</v>
      </c>
      <c r="BS177" s="53">
        <v>782.60450773105038</v>
      </c>
      <c r="BT177" s="54">
        <v>213.36058408299286</v>
      </c>
      <c r="BU177" s="53">
        <v>1622.8161871160828</v>
      </c>
      <c r="BV177" s="450">
        <v>775389.12911018671</v>
      </c>
      <c r="BW177" s="347">
        <f t="shared" si="197"/>
        <v>878087.08829210815</v>
      </c>
      <c r="BX177" s="347">
        <f t="shared" si="202"/>
        <v>1653476.2174022947</v>
      </c>
      <c r="BY177" s="45">
        <v>997793.00963772321</v>
      </c>
      <c r="BZ177" s="47">
        <v>59.518532655541648</v>
      </c>
      <c r="CA177" s="45">
        <v>-222403.8805275365</v>
      </c>
      <c r="CB177" s="55">
        <v>0.77710419056925795</v>
      </c>
      <c r="CC177" s="47">
        <f t="shared" si="171"/>
        <v>1.6571334950548868</v>
      </c>
      <c r="CD177" s="45">
        <v>428795.83745074499</v>
      </c>
      <c r="CE177" s="55">
        <v>1.8082944408229109</v>
      </c>
      <c r="CF177" s="52">
        <v>105.64957201279499</v>
      </c>
      <c r="CG177" s="53">
        <v>803.56845835011177</v>
      </c>
      <c r="CH177" s="54">
        <v>319.01015609578781</v>
      </c>
      <c r="CI177" s="53">
        <v>2426.3846454661943</v>
      </c>
      <c r="CJ177" s="450">
        <v>846422.74402617489</v>
      </c>
      <c r="CK177" s="347">
        <f t="shared" si="198"/>
        <v>901608.77028645365</v>
      </c>
      <c r="CL177" s="347">
        <f t="shared" si="203"/>
        <v>1748031.5143126287</v>
      </c>
      <c r="CM177" s="45">
        <v>1024521.3036552659</v>
      </c>
      <c r="CN177" s="47">
        <v>61.112880205528626</v>
      </c>
      <c r="CO177" s="45">
        <v>-178098.55962909106</v>
      </c>
      <c r="CP177" s="55">
        <v>0.82616412270425743</v>
      </c>
      <c r="CQ177" s="47">
        <f t="shared" si="199"/>
        <v>1.7061934271898866</v>
      </c>
      <c r="CR177" s="45">
        <v>440282.1688904122</v>
      </c>
      <c r="CS177" s="55">
        <v>1.922455197673137</v>
      </c>
    </row>
    <row r="178" spans="1:97" s="23" customFormat="1" ht="15" customHeight="1">
      <c r="A178" s="377" t="str">
        <f t="shared" si="182"/>
        <v>BNI- Direct Installation; Ground Source Heat Pump; COM-HVAC; Retail</v>
      </c>
      <c r="B178" s="42" t="s">
        <v>124</v>
      </c>
      <c r="C178" s="15" t="s">
        <v>95</v>
      </c>
      <c r="D178" s="15" t="s">
        <v>30</v>
      </c>
      <c r="E178" s="43">
        <v>15</v>
      </c>
      <c r="F178" s="44">
        <v>16035.27</v>
      </c>
      <c r="G178" s="44">
        <v>1942.9879665829462</v>
      </c>
      <c r="H178" s="45">
        <v>18000</v>
      </c>
      <c r="I178" s="46">
        <v>0.28888888888888886</v>
      </c>
      <c r="J178" s="45">
        <v>2004.4087500000001</v>
      </c>
      <c r="K178" s="45">
        <v>7204.4087499999987</v>
      </c>
      <c r="L178" s="45">
        <v>12800</v>
      </c>
      <c r="M178" s="45">
        <v>20004.408749999999</v>
      </c>
      <c r="N178" s="45">
        <v>14749.713198704756</v>
      </c>
      <c r="O178" s="47">
        <v>0.82</v>
      </c>
      <c r="P178" s="47">
        <v>0.72145489908422211</v>
      </c>
      <c r="Q178" s="310">
        <f t="shared" si="183"/>
        <v>0.72145489908422211</v>
      </c>
      <c r="R178" s="311">
        <f t="shared" si="184"/>
        <v>0</v>
      </c>
      <c r="S178" s="311">
        <f t="shared" si="185"/>
        <v>17991.67191753085</v>
      </c>
      <c r="T178" s="310">
        <f t="shared" si="186"/>
        <v>1.6014842035698515</v>
      </c>
      <c r="U178" s="316">
        <f t="shared" si="187"/>
        <v>1.2197980852340091</v>
      </c>
      <c r="V178" s="48">
        <v>0.44928515391384111</v>
      </c>
      <c r="W178" s="49">
        <v>3.7079018881779793</v>
      </c>
      <c r="X178" s="48" t="s">
        <v>386</v>
      </c>
      <c r="Y178" s="48" t="s">
        <v>564</v>
      </c>
      <c r="Z178" s="247">
        <f>0.0966*Z3</f>
        <v>0.121716</v>
      </c>
      <c r="AA178" s="246"/>
      <c r="AB178" s="386">
        <v>0</v>
      </c>
      <c r="AC178" s="387">
        <f t="shared" si="216"/>
        <v>1951.7489233200001</v>
      </c>
      <c r="AD178" s="365">
        <f t="shared" si="226"/>
        <v>160.04341171224002</v>
      </c>
      <c r="AE178" s="365">
        <f t="shared" si="227"/>
        <v>0</v>
      </c>
      <c r="AF178" s="365">
        <f t="shared" si="228"/>
        <v>0</v>
      </c>
      <c r="AG178" s="365">
        <f t="shared" si="229"/>
        <v>66.359463392880002</v>
      </c>
      <c r="AH178" s="365">
        <f t="shared" si="230"/>
        <v>-5.8552467699600008</v>
      </c>
      <c r="AI178" s="365">
        <f t="shared" si="231"/>
        <v>1362.32074847736</v>
      </c>
      <c r="AJ178" s="365" t="s">
        <v>40</v>
      </c>
      <c r="AK178" s="365">
        <f t="shared" si="232"/>
        <v>368.88054650748001</v>
      </c>
      <c r="AL178" s="365">
        <f t="shared" si="233"/>
        <v>0</v>
      </c>
      <c r="AM178" s="365">
        <f t="shared" si="234"/>
        <v>0</v>
      </c>
      <c r="AN178" s="365">
        <f t="shared" si="194"/>
        <v>1951.7489233199999</v>
      </c>
      <c r="AO178" s="294" t="s">
        <v>623</v>
      </c>
      <c r="AP178" s="282" t="s">
        <v>455</v>
      </c>
      <c r="AQ178" s="136" t="s">
        <v>40</v>
      </c>
      <c r="AR178" s="294" t="s">
        <v>590</v>
      </c>
      <c r="AS178" s="142"/>
      <c r="AT178" s="142" t="s">
        <v>216</v>
      </c>
      <c r="AU178" s="146" t="s">
        <v>287</v>
      </c>
      <c r="AV178" s="48"/>
      <c r="AW178" s="131" t="s">
        <v>284</v>
      </c>
      <c r="AX178" s="131"/>
      <c r="AY178" s="131"/>
      <c r="AZ178" s="48"/>
      <c r="BA178" s="48"/>
      <c r="BB178" s="50"/>
      <c r="BC178" s="51" t="s">
        <v>124</v>
      </c>
      <c r="BD178" s="52">
        <v>145.66122301021045</v>
      </c>
      <c r="BE178" s="53">
        <v>1202.1263536730328</v>
      </c>
      <c r="BF178" s="54">
        <v>145.66122301021045</v>
      </c>
      <c r="BG178" s="53">
        <v>1202.1263536730328</v>
      </c>
      <c r="BH178" s="450">
        <v>1105751.1937923059</v>
      </c>
      <c r="BI178" s="347">
        <f t="shared" si="195"/>
        <v>1348793.1889330742</v>
      </c>
      <c r="BJ178" s="347">
        <f t="shared" si="168"/>
        <v>2454544.3827253804</v>
      </c>
      <c r="BK178" s="45">
        <v>1532668.4941718325</v>
      </c>
      <c r="BL178" s="47">
        <v>91.423951600549728</v>
      </c>
      <c r="BM178" s="45">
        <v>-426917.30037952657</v>
      </c>
      <c r="BN178" s="55">
        <v>0.721454899084222</v>
      </c>
      <c r="BO178" s="47">
        <f t="shared" si="196"/>
        <v>1.6014842035698513</v>
      </c>
      <c r="BP178" s="45">
        <v>658655.516870577</v>
      </c>
      <c r="BQ178" s="55">
        <v>1.6788004737984776</v>
      </c>
      <c r="BR178" s="54">
        <v>135.67429794934992</v>
      </c>
      <c r="BS178" s="53">
        <v>1119.7053389395744</v>
      </c>
      <c r="BT178" s="54">
        <v>281.33552095956037</v>
      </c>
      <c r="BU178" s="53">
        <v>2321.8316926126072</v>
      </c>
      <c r="BV178" s="450">
        <v>1089206.6203489972</v>
      </c>
      <c r="BW178" s="347">
        <f t="shared" si="197"/>
        <v>1256316.3016593109</v>
      </c>
      <c r="BX178" s="347">
        <f t="shared" si="202"/>
        <v>2345522.9220083081</v>
      </c>
      <c r="BY178" s="45">
        <v>1427584.6216207754</v>
      </c>
      <c r="BZ178" s="47">
        <v>85.155679684842767</v>
      </c>
      <c r="CA178" s="45">
        <v>-338378.00127177825</v>
      </c>
      <c r="CB178" s="55">
        <v>0.76297166826607554</v>
      </c>
      <c r="CC178" s="47">
        <f t="shared" si="171"/>
        <v>1.6430009727517045</v>
      </c>
      <c r="CD178" s="45">
        <v>613496.32383367838</v>
      </c>
      <c r="CE178" s="55">
        <v>1.7754085526424215</v>
      </c>
      <c r="CF178" s="52">
        <v>139.30866148085082</v>
      </c>
      <c r="CG178" s="53">
        <v>1149.6993489427664</v>
      </c>
      <c r="CH178" s="54">
        <v>420.64418244041121</v>
      </c>
      <c r="CI178" s="53">
        <v>3471.5310415553736</v>
      </c>
      <c r="CJ178" s="450">
        <v>1188001.0121404985</v>
      </c>
      <c r="CK178" s="347">
        <f t="shared" si="198"/>
        <v>1289969.7660205953</v>
      </c>
      <c r="CL178" s="347">
        <f t="shared" si="203"/>
        <v>2477970.7781610936</v>
      </c>
      <c r="CM178" s="45">
        <v>1465825.9213022157</v>
      </c>
      <c r="CN178" s="47">
        <v>87.43678009534429</v>
      </c>
      <c r="CO178" s="45">
        <v>-277824.90916171717</v>
      </c>
      <c r="CP178" s="55">
        <v>0.81046527754475639</v>
      </c>
      <c r="CQ178" s="47">
        <f t="shared" si="199"/>
        <v>1.6904945820303854</v>
      </c>
      <c r="CR178" s="45">
        <v>629930.30359072413</v>
      </c>
      <c r="CS178" s="55">
        <v>1.8859245306483332</v>
      </c>
    </row>
    <row r="179" spans="1:97" s="23" customFormat="1" ht="15" customHeight="1">
      <c r="A179" s="377" t="str">
        <f t="shared" si="182"/>
        <v>BNI- Direct Installation; Ground Source Heat Pump; COM-HVAC; School</v>
      </c>
      <c r="B179" s="42" t="s">
        <v>124</v>
      </c>
      <c r="C179" s="15" t="s">
        <v>95</v>
      </c>
      <c r="D179" s="15" t="s">
        <v>59</v>
      </c>
      <c r="E179" s="43">
        <v>15</v>
      </c>
      <c r="F179" s="44">
        <v>16035.27</v>
      </c>
      <c r="G179" s="44">
        <v>1902.8376016328316</v>
      </c>
      <c r="H179" s="45">
        <v>18000</v>
      </c>
      <c r="I179" s="46">
        <v>0.28888888888888886</v>
      </c>
      <c r="J179" s="45">
        <v>2004.4087500000001</v>
      </c>
      <c r="K179" s="45">
        <v>7204.4087499999987</v>
      </c>
      <c r="L179" s="45">
        <v>12800</v>
      </c>
      <c r="M179" s="45">
        <v>20004.408749999999</v>
      </c>
      <c r="N179" s="45">
        <v>14686.820478793767</v>
      </c>
      <c r="O179" s="47">
        <v>0.82</v>
      </c>
      <c r="P179" s="47">
        <v>0.71837861819080784</v>
      </c>
      <c r="Q179" s="310">
        <f t="shared" si="183"/>
        <v>0.71837861819080784</v>
      </c>
      <c r="R179" s="311">
        <f t="shared" si="184"/>
        <v>0</v>
      </c>
      <c r="S179" s="311">
        <f t="shared" si="185"/>
        <v>17991.67191753085</v>
      </c>
      <c r="T179" s="310">
        <f t="shared" si="186"/>
        <v>1.5984079226764372</v>
      </c>
      <c r="U179" s="316">
        <f t="shared" si="187"/>
        <v>1.2250215724709745</v>
      </c>
      <c r="V179" s="48">
        <v>0.44928515391384111</v>
      </c>
      <c r="W179" s="49">
        <v>3.7861395758723027</v>
      </c>
      <c r="X179" s="48" t="s">
        <v>386</v>
      </c>
      <c r="Y179" s="48" t="s">
        <v>564</v>
      </c>
      <c r="Z179" s="247">
        <f>0.0966*Z3</f>
        <v>0.121716</v>
      </c>
      <c r="AA179" s="246"/>
      <c r="AB179" s="386">
        <v>0</v>
      </c>
      <c r="AC179" s="387">
        <f t="shared" si="216"/>
        <v>1951.7489233200001</v>
      </c>
      <c r="AD179" s="365">
        <f t="shared" si="226"/>
        <v>160.04341171224002</v>
      </c>
      <c r="AE179" s="365">
        <f t="shared" si="227"/>
        <v>0</v>
      </c>
      <c r="AF179" s="365">
        <f t="shared" si="228"/>
        <v>0</v>
      </c>
      <c r="AG179" s="365">
        <f t="shared" si="229"/>
        <v>66.359463392880002</v>
      </c>
      <c r="AH179" s="365">
        <f t="shared" si="230"/>
        <v>-5.8552467699600008</v>
      </c>
      <c r="AI179" s="365">
        <f t="shared" si="231"/>
        <v>1362.32074847736</v>
      </c>
      <c r="AJ179" s="365" t="s">
        <v>40</v>
      </c>
      <c r="AK179" s="365">
        <f t="shared" si="232"/>
        <v>368.88054650748001</v>
      </c>
      <c r="AL179" s="365">
        <f t="shared" si="233"/>
        <v>0</v>
      </c>
      <c r="AM179" s="365">
        <f t="shared" si="234"/>
        <v>0</v>
      </c>
      <c r="AN179" s="365">
        <f t="shared" si="194"/>
        <v>1951.7489233199999</v>
      </c>
      <c r="AO179" s="294" t="s">
        <v>623</v>
      </c>
      <c r="AP179" s="282" t="s">
        <v>455</v>
      </c>
      <c r="AQ179" s="136" t="s">
        <v>40</v>
      </c>
      <c r="AR179" s="294" t="s">
        <v>590</v>
      </c>
      <c r="AS179" s="142"/>
      <c r="AT179" s="142" t="s">
        <v>216</v>
      </c>
      <c r="AU179" s="146" t="s">
        <v>287</v>
      </c>
      <c r="AV179" s="48"/>
      <c r="AW179" s="131" t="s">
        <v>284</v>
      </c>
      <c r="AX179" s="131"/>
      <c r="AY179" s="131"/>
      <c r="AZ179" s="48"/>
      <c r="BA179" s="48"/>
      <c r="BB179" s="50"/>
      <c r="BC179" s="51" t="s">
        <v>124</v>
      </c>
      <c r="BD179" s="52">
        <v>142.1850643533532</v>
      </c>
      <c r="BE179" s="53">
        <v>1198.1978361773693</v>
      </c>
      <c r="BF179" s="54">
        <v>142.1850643533532</v>
      </c>
      <c r="BG179" s="53">
        <v>1198.1978361773693</v>
      </c>
      <c r="BH179" s="450">
        <v>1097438.1172263494</v>
      </c>
      <c r="BI179" s="347">
        <f t="shared" si="195"/>
        <v>1344385.3680542083</v>
      </c>
      <c r="BJ179" s="347">
        <f t="shared" si="168"/>
        <v>2441823.4852805575</v>
      </c>
      <c r="BK179" s="45">
        <v>1527659.773602644</v>
      </c>
      <c r="BL179" s="47">
        <v>91.125180516887824</v>
      </c>
      <c r="BM179" s="45">
        <v>-430221.65637629456</v>
      </c>
      <c r="BN179" s="55">
        <v>0.71837861819080762</v>
      </c>
      <c r="BO179" s="47">
        <f t="shared" si="196"/>
        <v>1.5984079226764365</v>
      </c>
      <c r="BP179" s="45">
        <v>656503.0478611961</v>
      </c>
      <c r="BQ179" s="55">
        <v>1.6716420750850496</v>
      </c>
      <c r="BR179" s="54">
        <v>132.43647407568514</v>
      </c>
      <c r="BS179" s="53">
        <v>1116.046171165262</v>
      </c>
      <c r="BT179" s="54">
        <v>274.62153842903837</v>
      </c>
      <c r="BU179" s="53">
        <v>2314.2440073426314</v>
      </c>
      <c r="BV179" s="450">
        <v>1080761.39958597</v>
      </c>
      <c r="BW179" s="347">
        <f t="shared" si="197"/>
        <v>1252210.6928303591</v>
      </c>
      <c r="BX179" s="347">
        <f t="shared" si="202"/>
        <v>2332972.0924163293</v>
      </c>
      <c r="BY179" s="45">
        <v>1422919.3123997925</v>
      </c>
      <c r="BZ179" s="47">
        <v>84.877393149924984</v>
      </c>
      <c r="CA179" s="45">
        <v>-342157.91281382251</v>
      </c>
      <c r="CB179" s="55">
        <v>0.75953807792743788</v>
      </c>
      <c r="CC179" s="47">
        <f t="shared" si="171"/>
        <v>1.6395673824130672</v>
      </c>
      <c r="CD179" s="45">
        <v>611491.43388650962</v>
      </c>
      <c r="CE179" s="55">
        <v>1.7674187072693401</v>
      </c>
      <c r="CF179" s="52">
        <v>135.98410467997931</v>
      </c>
      <c r="CG179" s="53">
        <v>1145.9421615279209</v>
      </c>
      <c r="CH179" s="54">
        <v>410.60564310901765</v>
      </c>
      <c r="CI179" s="53">
        <v>3460.1861688705521</v>
      </c>
      <c r="CJ179" s="450">
        <v>1178546.0630213434</v>
      </c>
      <c r="CK179" s="347">
        <f t="shared" si="198"/>
        <v>1285754.17854994</v>
      </c>
      <c r="CL179" s="347">
        <f t="shared" si="203"/>
        <v>2464300.2415712834</v>
      </c>
      <c r="CM179" s="45">
        <v>1461035.6405136464</v>
      </c>
      <c r="CN179" s="47">
        <v>87.151038983921609</v>
      </c>
      <c r="CO179" s="45">
        <v>-282489.57749230298</v>
      </c>
      <c r="CP179" s="55">
        <v>0.80665113864505722</v>
      </c>
      <c r="CQ179" s="47">
        <f t="shared" si="199"/>
        <v>1.6866804431306865</v>
      </c>
      <c r="CR179" s="45">
        <v>627871.70782735595</v>
      </c>
      <c r="CS179" s="55">
        <v>1.8770491620007901</v>
      </c>
    </row>
    <row r="180" spans="1:97" s="23" customFormat="1" ht="15" customHeight="1">
      <c r="A180" s="377" t="str">
        <f t="shared" si="182"/>
        <v>BNI- Direct Installation; Ground/Water Source Heat Pumps; COM-HVAC; Office</v>
      </c>
      <c r="B180" s="42" t="s">
        <v>125</v>
      </c>
      <c r="C180" s="15" t="s">
        <v>95</v>
      </c>
      <c r="D180" s="15" t="s">
        <v>66</v>
      </c>
      <c r="E180" s="43">
        <v>15</v>
      </c>
      <c r="F180" s="44">
        <v>1886.1213059321503</v>
      </c>
      <c r="G180" s="44">
        <v>256.99457724319404</v>
      </c>
      <c r="H180" s="45">
        <v>387.5</v>
      </c>
      <c r="I180" s="46">
        <v>0.70967741935483875</v>
      </c>
      <c r="J180" s="45">
        <v>235.76516324151879</v>
      </c>
      <c r="K180" s="45">
        <v>510.76516324151879</v>
      </c>
      <c r="L180" s="45">
        <v>112.5</v>
      </c>
      <c r="M180" s="45">
        <v>623.26516324151885</v>
      </c>
      <c r="N180" s="45">
        <v>1779.4809545106261</v>
      </c>
      <c r="O180" s="47">
        <v>0.82</v>
      </c>
      <c r="P180" s="47">
        <v>2.6361958616516206</v>
      </c>
      <c r="Q180" s="310">
        <f t="shared" si="183"/>
        <v>2.6361958616516206</v>
      </c>
      <c r="R180" s="311">
        <f t="shared" si="184"/>
        <v>0</v>
      </c>
      <c r="S180" s="311">
        <f t="shared" si="185"/>
        <v>2116.2397473192582</v>
      </c>
      <c r="T180" s="310">
        <f t="shared" si="186"/>
        <v>5.7712799714334686</v>
      </c>
      <c r="U180" s="316">
        <f t="shared" si="187"/>
        <v>1.1892455167643219</v>
      </c>
      <c r="V180" s="48">
        <v>0.27080186286803581</v>
      </c>
      <c r="W180" s="49">
        <v>1.9874550222831417</v>
      </c>
      <c r="X180" s="48" t="s">
        <v>386</v>
      </c>
      <c r="Y180" s="48" t="s">
        <v>564</v>
      </c>
      <c r="Z180" s="247">
        <f>0.0966*Z3</f>
        <v>0.121716</v>
      </c>
      <c r="AA180" s="246"/>
      <c r="AB180" s="386">
        <v>0</v>
      </c>
      <c r="AC180" s="387">
        <f t="shared" si="216"/>
        <v>229.57114087283762</v>
      </c>
      <c r="AD180" s="365">
        <f t="shared" si="226"/>
        <v>18.824833551572684</v>
      </c>
      <c r="AE180" s="365">
        <f t="shared" si="227"/>
        <v>0</v>
      </c>
      <c r="AF180" s="365">
        <f t="shared" si="228"/>
        <v>0</v>
      </c>
      <c r="AG180" s="365">
        <f t="shared" si="229"/>
        <v>7.8054187896764793</v>
      </c>
      <c r="AH180" s="365">
        <f t="shared" si="230"/>
        <v>-0.68871342261851287</v>
      </c>
      <c r="AI180" s="365">
        <f t="shared" si="231"/>
        <v>160.24065632924064</v>
      </c>
      <c r="AJ180" s="365" t="s">
        <v>40</v>
      </c>
      <c r="AK180" s="365">
        <f t="shared" si="232"/>
        <v>43.388945624966311</v>
      </c>
      <c r="AL180" s="365">
        <f t="shared" si="233"/>
        <v>0</v>
      </c>
      <c r="AM180" s="365">
        <f t="shared" si="234"/>
        <v>0</v>
      </c>
      <c r="AN180" s="365">
        <f t="shared" si="194"/>
        <v>229.57114087283759</v>
      </c>
      <c r="AO180" s="294" t="s">
        <v>623</v>
      </c>
      <c r="AP180" s="282" t="s">
        <v>455</v>
      </c>
      <c r="AQ180" s="136" t="s">
        <v>40</v>
      </c>
      <c r="AR180" s="294" t="s">
        <v>590</v>
      </c>
      <c r="AS180" s="142"/>
      <c r="AT180" s="142" t="s">
        <v>216</v>
      </c>
      <c r="AU180" s="146" t="s">
        <v>287</v>
      </c>
      <c r="AV180" s="48"/>
      <c r="AW180" s="131" t="s">
        <v>284</v>
      </c>
      <c r="AX180" s="131"/>
      <c r="AY180" s="131"/>
      <c r="AZ180" s="48"/>
      <c r="BA180" s="48"/>
      <c r="BB180" s="50"/>
      <c r="BC180" s="51" t="s">
        <v>125</v>
      </c>
      <c r="BD180" s="52">
        <v>0.54140367795682653</v>
      </c>
      <c r="BE180" s="53">
        <v>3.9734418642541303</v>
      </c>
      <c r="BF180" s="54">
        <v>0.54140367795682653</v>
      </c>
      <c r="BG180" s="53">
        <v>3.9734418642541303</v>
      </c>
      <c r="BH180" s="450">
        <v>3748.7854567238401</v>
      </c>
      <c r="BI180" s="347">
        <f t="shared" si="195"/>
        <v>4458.2262977201171</v>
      </c>
      <c r="BJ180" s="347">
        <f t="shared" si="168"/>
        <v>8207.0117544439563</v>
      </c>
      <c r="BK180" s="45">
        <v>1422.043601257747</v>
      </c>
      <c r="BL180" s="47">
        <v>2.5691140833973098</v>
      </c>
      <c r="BM180" s="45">
        <v>2326.7418554660931</v>
      </c>
      <c r="BN180" s="55">
        <v>2.6361958616516206</v>
      </c>
      <c r="BO180" s="47">
        <f t="shared" si="196"/>
        <v>5.7712799714334677</v>
      </c>
      <c r="BP180" s="45">
        <v>1312.2139741925118</v>
      </c>
      <c r="BQ180" s="55">
        <v>2.8568400660652196</v>
      </c>
      <c r="BR180" s="54">
        <v>0.54912007932153695</v>
      </c>
      <c r="BS180" s="53">
        <v>4.0300736779492947</v>
      </c>
      <c r="BT180" s="54">
        <v>1.0905237572783635</v>
      </c>
      <c r="BU180" s="53">
        <v>8.0035155422034254</v>
      </c>
      <c r="BV180" s="450">
        <v>4026.5983700594693</v>
      </c>
      <c r="BW180" s="347">
        <f t="shared" si="197"/>
        <v>4521.7675422453503</v>
      </c>
      <c r="BX180" s="347">
        <f t="shared" si="202"/>
        <v>8548.3659123048201</v>
      </c>
      <c r="BY180" s="45">
        <v>1442.3113970489271</v>
      </c>
      <c r="BZ180" s="47">
        <v>2.605730597518598</v>
      </c>
      <c r="CA180" s="45">
        <v>2584.2869730105422</v>
      </c>
      <c r="CB180" s="55">
        <v>2.7917676989159061</v>
      </c>
      <c r="CC180" s="47">
        <f t="shared" si="171"/>
        <v>5.9268518086977551</v>
      </c>
      <c r="CD180" s="45">
        <v>1330.916414005007</v>
      </c>
      <c r="CE180" s="55">
        <v>3.0254329480711633</v>
      </c>
      <c r="CF180" s="52">
        <v>0.56931478574035654</v>
      </c>
      <c r="CG180" s="53">
        <v>4.1782856225442817</v>
      </c>
      <c r="CH180" s="54">
        <v>1.6598385430187201</v>
      </c>
      <c r="CI180" s="53">
        <v>12.181801164747707</v>
      </c>
      <c r="CJ180" s="450">
        <v>4439.9030688985004</v>
      </c>
      <c r="CK180" s="347">
        <f t="shared" si="198"/>
        <v>4688.0622589175528</v>
      </c>
      <c r="CL180" s="347">
        <f t="shared" si="203"/>
        <v>9127.9653278160531</v>
      </c>
      <c r="CM180" s="45">
        <v>1495.3545406613562</v>
      </c>
      <c r="CN180" s="47">
        <v>2.7015602100296547</v>
      </c>
      <c r="CO180" s="45">
        <v>2944.5485282371442</v>
      </c>
      <c r="CP180" s="55">
        <v>2.9691306965469524</v>
      </c>
      <c r="CQ180" s="47">
        <f t="shared" si="199"/>
        <v>6.1042148063288009</v>
      </c>
      <c r="CR180" s="45">
        <v>1379.8628416825882</v>
      </c>
      <c r="CS180" s="55">
        <v>3.2176408660186371</v>
      </c>
    </row>
    <row r="181" spans="1:97" s="23" customFormat="1" ht="15" customHeight="1">
      <c r="A181" s="377" t="str">
        <f t="shared" si="182"/>
        <v>BNI- Direct Installation; Ground/Water Source Heat Pumps; COM-HVAC; Other Commercial</v>
      </c>
      <c r="B181" s="42" t="s">
        <v>125</v>
      </c>
      <c r="C181" s="15" t="s">
        <v>95</v>
      </c>
      <c r="D181" s="15" t="s">
        <v>56</v>
      </c>
      <c r="E181" s="43">
        <v>15</v>
      </c>
      <c r="F181" s="44">
        <v>1605.1577067109411</v>
      </c>
      <c r="G181" s="44">
        <v>211.03892638499158</v>
      </c>
      <c r="H181" s="45">
        <v>387.5</v>
      </c>
      <c r="I181" s="46">
        <v>0.70967741935483875</v>
      </c>
      <c r="J181" s="45">
        <v>200.64471333886763</v>
      </c>
      <c r="K181" s="45">
        <v>475.64471333886763</v>
      </c>
      <c r="L181" s="45">
        <v>112.5</v>
      </c>
      <c r="M181" s="45">
        <v>588.14471333886763</v>
      </c>
      <c r="N181" s="45">
        <v>1502.3840123220348</v>
      </c>
      <c r="O181" s="47">
        <v>0.82</v>
      </c>
      <c r="P181" s="47">
        <v>2.3764804277599878</v>
      </c>
      <c r="Q181" s="310">
        <f t="shared" si="183"/>
        <v>2.3764804277599878</v>
      </c>
      <c r="R181" s="311">
        <f t="shared" si="184"/>
        <v>0</v>
      </c>
      <c r="S181" s="311">
        <f t="shared" si="185"/>
        <v>1800.9968547482804</v>
      </c>
      <c r="T181" s="310">
        <f t="shared" si="186"/>
        <v>5.2253085174249652</v>
      </c>
      <c r="U181" s="316">
        <f t="shared" si="187"/>
        <v>1.1987593318200449</v>
      </c>
      <c r="V181" s="48">
        <v>0.29632272975438068</v>
      </c>
      <c r="W181" s="49">
        <v>2.2538245502214322</v>
      </c>
      <c r="X181" s="48" t="s">
        <v>386</v>
      </c>
      <c r="Y181" s="48" t="s">
        <v>564</v>
      </c>
      <c r="Z181" s="247">
        <f>0.0966*Z3</f>
        <v>0.121716</v>
      </c>
      <c r="AA181" s="246"/>
      <c r="AB181" s="386">
        <v>0</v>
      </c>
      <c r="AC181" s="387">
        <f t="shared" si="216"/>
        <v>195.37337543002891</v>
      </c>
      <c r="AD181" s="365">
        <f t="shared" si="226"/>
        <v>16.020616785262373</v>
      </c>
      <c r="AE181" s="365">
        <f t="shared" si="227"/>
        <v>0</v>
      </c>
      <c r="AF181" s="365">
        <f t="shared" si="228"/>
        <v>0</v>
      </c>
      <c r="AG181" s="365">
        <f t="shared" si="229"/>
        <v>6.642694764620984</v>
      </c>
      <c r="AH181" s="365">
        <f t="shared" si="230"/>
        <v>-0.58612012629008681</v>
      </c>
      <c r="AI181" s="365">
        <f t="shared" si="231"/>
        <v>136.37061605016018</v>
      </c>
      <c r="AJ181" s="365" t="s">
        <v>40</v>
      </c>
      <c r="AK181" s="365">
        <f t="shared" si="232"/>
        <v>36.925567956275465</v>
      </c>
      <c r="AL181" s="365">
        <f t="shared" si="233"/>
        <v>0</v>
      </c>
      <c r="AM181" s="365">
        <f t="shared" si="234"/>
        <v>0</v>
      </c>
      <c r="AN181" s="365">
        <f t="shared" si="194"/>
        <v>195.37337543002891</v>
      </c>
      <c r="AO181" s="294" t="s">
        <v>623</v>
      </c>
      <c r="AP181" s="282" t="s">
        <v>455</v>
      </c>
      <c r="AQ181" s="136" t="s">
        <v>40</v>
      </c>
      <c r="AR181" s="294" t="s">
        <v>590</v>
      </c>
      <c r="AS181" s="142"/>
      <c r="AT181" s="142" t="s">
        <v>216</v>
      </c>
      <c r="AU181" s="146" t="s">
        <v>287</v>
      </c>
      <c r="AV181" s="48"/>
      <c r="AW181" s="131" t="s">
        <v>284</v>
      </c>
      <c r="AX181" s="131"/>
      <c r="AY181" s="131"/>
      <c r="AZ181" s="48"/>
      <c r="BA181" s="48"/>
      <c r="BB181" s="50"/>
      <c r="BC181" s="51" t="s">
        <v>125</v>
      </c>
      <c r="BD181" s="52">
        <v>0.60366795901406267</v>
      </c>
      <c r="BE181" s="53">
        <v>4.5914860035735954</v>
      </c>
      <c r="BF181" s="54">
        <v>0.60366795901406267</v>
      </c>
      <c r="BG181" s="53">
        <v>4.5914860035735954</v>
      </c>
      <c r="BH181" s="450">
        <v>4297.506180065081</v>
      </c>
      <c r="BI181" s="347">
        <f t="shared" si="195"/>
        <v>5151.6756369073291</v>
      </c>
      <c r="BJ181" s="347">
        <f t="shared" si="168"/>
        <v>9449.1818169724102</v>
      </c>
      <c r="BK181" s="45">
        <v>1808.3490736407221</v>
      </c>
      <c r="BL181" s="47">
        <v>3.488363262799381</v>
      </c>
      <c r="BM181" s="45">
        <v>2489.157106424359</v>
      </c>
      <c r="BN181" s="55">
        <v>2.3764804277599878</v>
      </c>
      <c r="BO181" s="47">
        <f t="shared" si="196"/>
        <v>5.2253085174249652</v>
      </c>
      <c r="BP181" s="45">
        <v>1659.2215441560486</v>
      </c>
      <c r="BQ181" s="55">
        <v>2.5900737579025215</v>
      </c>
      <c r="BR181" s="54">
        <v>0.61263608026863414</v>
      </c>
      <c r="BS181" s="53">
        <v>4.6596973482438804</v>
      </c>
      <c r="BT181" s="54">
        <v>1.2163040392826969</v>
      </c>
      <c r="BU181" s="53">
        <v>9.2511833518174758</v>
      </c>
      <c r="BV181" s="450">
        <v>4616.7363375493596</v>
      </c>
      <c r="BW181" s="347">
        <f t="shared" si="197"/>
        <v>5228.2091866611781</v>
      </c>
      <c r="BX181" s="347">
        <f t="shared" si="202"/>
        <v>9844.9455242105378</v>
      </c>
      <c r="BY181" s="45">
        <v>1835.2139975129271</v>
      </c>
      <c r="BZ181" s="47">
        <v>3.5401865611103798</v>
      </c>
      <c r="CA181" s="45">
        <v>2781.5223400364325</v>
      </c>
      <c r="CB181" s="55">
        <v>2.515639235427551</v>
      </c>
      <c r="CC181" s="47">
        <f t="shared" si="171"/>
        <v>5.3644673250925283</v>
      </c>
      <c r="CD181" s="45">
        <v>1683.8710220254582</v>
      </c>
      <c r="CE181" s="55">
        <v>2.7417398821888868</v>
      </c>
      <c r="CF181" s="52">
        <v>0.6355334499963522</v>
      </c>
      <c r="CG181" s="53">
        <v>4.8338542685402217</v>
      </c>
      <c r="CH181" s="54">
        <v>1.851837489279049</v>
      </c>
      <c r="CI181" s="53">
        <v>14.085037620357697</v>
      </c>
      <c r="CJ181" s="450">
        <v>5091.6435951220583</v>
      </c>
      <c r="CK181" s="347">
        <f t="shared" si="198"/>
        <v>5423.6143262153819</v>
      </c>
      <c r="CL181" s="347">
        <f t="shared" si="203"/>
        <v>10515.257921337441</v>
      </c>
      <c r="CM181" s="45">
        <v>1903.8054089298171</v>
      </c>
      <c r="CN181" s="47">
        <v>3.6725015898943498</v>
      </c>
      <c r="CO181" s="45">
        <v>3187.8381861922412</v>
      </c>
      <c r="CP181" s="55">
        <v>2.6744558930443501</v>
      </c>
      <c r="CQ181" s="47">
        <f t="shared" si="199"/>
        <v>5.5232839827093283</v>
      </c>
      <c r="CR181" s="45">
        <v>1746.8059659618339</v>
      </c>
      <c r="CS181" s="55">
        <v>2.9148306648463245</v>
      </c>
    </row>
    <row r="182" spans="1:97" s="23" customFormat="1" ht="15" customHeight="1">
      <c r="A182" s="377" t="str">
        <f t="shared" si="182"/>
        <v>BNI- Direct Installation; Ground/Water Source Heat Pumps; COM-HVAC; Retail</v>
      </c>
      <c r="B182" s="42" t="s">
        <v>125</v>
      </c>
      <c r="C182" s="15" t="s">
        <v>95</v>
      </c>
      <c r="D182" s="15" t="s">
        <v>30</v>
      </c>
      <c r="E182" s="43">
        <v>15</v>
      </c>
      <c r="F182" s="44">
        <v>1843.8246899361666</v>
      </c>
      <c r="G182" s="44">
        <v>223.41558234033499</v>
      </c>
      <c r="H182" s="45">
        <v>387.5</v>
      </c>
      <c r="I182" s="46">
        <v>0.70967741935483875</v>
      </c>
      <c r="J182" s="45">
        <v>230.47808624202082</v>
      </c>
      <c r="K182" s="45">
        <v>505.47808624202082</v>
      </c>
      <c r="L182" s="45">
        <v>112.5</v>
      </c>
      <c r="M182" s="45">
        <v>617.97808624202082</v>
      </c>
      <c r="N182" s="45">
        <v>1696.0042060563483</v>
      </c>
      <c r="O182" s="47">
        <v>0.82</v>
      </c>
      <c r="P182" s="47">
        <v>2.5367606729149892</v>
      </c>
      <c r="Q182" s="310">
        <f t="shared" si="183"/>
        <v>2.5367606729149892</v>
      </c>
      <c r="R182" s="311">
        <f t="shared" si="184"/>
        <v>0</v>
      </c>
      <c r="S182" s="311">
        <f t="shared" si="185"/>
        <v>2068.7826830963591</v>
      </c>
      <c r="T182" s="310">
        <f t="shared" si="186"/>
        <v>5.6310964844336286</v>
      </c>
      <c r="U182" s="316">
        <f t="shared" si="187"/>
        <v>1.2197980852340087</v>
      </c>
      <c r="V182" s="48">
        <v>0.27414650047858974</v>
      </c>
      <c r="W182" s="49">
        <v>2.262501482425753</v>
      </c>
      <c r="X182" s="48" t="s">
        <v>386</v>
      </c>
      <c r="Y182" s="48" t="s">
        <v>564</v>
      </c>
      <c r="Z182" s="247">
        <f>0.0966*Z3</f>
        <v>0.121716</v>
      </c>
      <c r="AA182" s="246"/>
      <c r="AB182" s="386">
        <v>0</v>
      </c>
      <c r="AC182" s="387">
        <f t="shared" si="216"/>
        <v>224.42296596027046</v>
      </c>
      <c r="AD182" s="365">
        <f t="shared" si="226"/>
        <v>18.402683208742179</v>
      </c>
      <c r="AE182" s="365">
        <f t="shared" si="227"/>
        <v>0</v>
      </c>
      <c r="AF182" s="365">
        <f t="shared" si="228"/>
        <v>0</v>
      </c>
      <c r="AG182" s="365">
        <f t="shared" si="229"/>
        <v>7.6303808426491964</v>
      </c>
      <c r="AH182" s="365">
        <f t="shared" si="230"/>
        <v>-0.67326889788081135</v>
      </c>
      <c r="AI182" s="365">
        <f t="shared" si="231"/>
        <v>156.64723024026878</v>
      </c>
      <c r="AJ182" s="365" t="s">
        <v>40</v>
      </c>
      <c r="AK182" s="365">
        <f t="shared" si="232"/>
        <v>42.415940566491116</v>
      </c>
      <c r="AL182" s="365">
        <f t="shared" si="233"/>
        <v>0</v>
      </c>
      <c r="AM182" s="365">
        <f t="shared" si="234"/>
        <v>0</v>
      </c>
      <c r="AN182" s="365">
        <f t="shared" si="194"/>
        <v>224.42296596027046</v>
      </c>
      <c r="AO182" s="294" t="s">
        <v>623</v>
      </c>
      <c r="AP182" s="282" t="s">
        <v>455</v>
      </c>
      <c r="AQ182" s="136" t="s">
        <v>40</v>
      </c>
      <c r="AR182" s="294" t="s">
        <v>590</v>
      </c>
      <c r="AS182" s="142"/>
      <c r="AT182" s="142" t="s">
        <v>216</v>
      </c>
      <c r="AU182" s="146" t="s">
        <v>287</v>
      </c>
      <c r="AV182" s="48"/>
      <c r="AW182" s="131" t="s">
        <v>284</v>
      </c>
      <c r="AX182" s="131"/>
      <c r="AY182" s="131"/>
      <c r="AZ182" s="48"/>
      <c r="BA182" s="48"/>
      <c r="BB182" s="50"/>
      <c r="BC182" s="51" t="s">
        <v>125</v>
      </c>
      <c r="BD182" s="52">
        <v>0.91364967806166075</v>
      </c>
      <c r="BE182" s="53">
        <v>7.5402521915239928</v>
      </c>
      <c r="BF182" s="54">
        <v>0.91364967806166075</v>
      </c>
      <c r="BG182" s="53">
        <v>7.5402521915239928</v>
      </c>
      <c r="BH182" s="450">
        <v>6935.7458446838682</v>
      </c>
      <c r="BI182" s="347">
        <f t="shared" si="195"/>
        <v>8460.209501015117</v>
      </c>
      <c r="BJ182" s="347">
        <f t="shared" si="168"/>
        <v>15395.955345698985</v>
      </c>
      <c r="BK182" s="45">
        <v>2734.0954622707904</v>
      </c>
      <c r="BL182" s="47">
        <v>4.9871495658173854</v>
      </c>
      <c r="BM182" s="45">
        <v>4201.6503824130778</v>
      </c>
      <c r="BN182" s="55">
        <v>2.5367606729149887</v>
      </c>
      <c r="BO182" s="47">
        <f t="shared" si="196"/>
        <v>5.6310964844336286</v>
      </c>
      <c r="BP182" s="45">
        <v>2520.8948183320972</v>
      </c>
      <c r="BQ182" s="55">
        <v>2.7513031461077677</v>
      </c>
      <c r="BR182" s="54">
        <v>0.92676688687147035</v>
      </c>
      <c r="BS182" s="53">
        <v>7.6485071002157792</v>
      </c>
      <c r="BT182" s="54">
        <v>1.840416564933131</v>
      </c>
      <c r="BU182" s="53">
        <v>15.188759291739771</v>
      </c>
      <c r="BV182" s="450">
        <v>7440.1758030653791</v>
      </c>
      <c r="BW182" s="347">
        <f t="shared" si="197"/>
        <v>8581.6721767695562</v>
      </c>
      <c r="BX182" s="347">
        <f t="shared" si="202"/>
        <v>16021.847979834936</v>
      </c>
      <c r="BY182" s="45">
        <v>2773.3486924154613</v>
      </c>
      <c r="BZ182" s="47">
        <v>5.058749746708779</v>
      </c>
      <c r="CA182" s="45">
        <v>4666.8271106499178</v>
      </c>
      <c r="CB182" s="55">
        <v>2.682740840851614</v>
      </c>
      <c r="CC182" s="47">
        <f t="shared" si="171"/>
        <v>5.7770766523702548</v>
      </c>
      <c r="CD182" s="45">
        <v>2557.0871407436612</v>
      </c>
      <c r="CE182" s="55">
        <v>2.9096293530699158</v>
      </c>
      <c r="CF182" s="52">
        <v>0.96094110773554486</v>
      </c>
      <c r="CG182" s="53">
        <v>7.9305432569084022</v>
      </c>
      <c r="CH182" s="54">
        <v>2.8013576726686757</v>
      </c>
      <c r="CI182" s="53">
        <v>23.119302548648172</v>
      </c>
      <c r="CJ182" s="450">
        <v>8194.7453694698052</v>
      </c>
      <c r="CK182" s="347">
        <f t="shared" si="198"/>
        <v>8898.1184854438088</v>
      </c>
      <c r="CL182" s="347">
        <f t="shared" si="203"/>
        <v>17092.863854913616</v>
      </c>
      <c r="CM182" s="45">
        <v>2875.6150034914231</v>
      </c>
      <c r="CN182" s="47">
        <v>5.2452894619155899</v>
      </c>
      <c r="CO182" s="45">
        <v>5319.1303659783825</v>
      </c>
      <c r="CP182" s="55">
        <v>2.8497366161743378</v>
      </c>
      <c r="CQ182" s="47">
        <f t="shared" si="199"/>
        <v>5.9440724276929782</v>
      </c>
      <c r="CR182" s="45">
        <v>2651.3788789945315</v>
      </c>
      <c r="CS182" s="55">
        <v>3.0907485287721141</v>
      </c>
    </row>
    <row r="183" spans="1:97" s="23" customFormat="1" ht="15" customHeight="1">
      <c r="A183" s="377" t="str">
        <f t="shared" si="182"/>
        <v>BNI- Direct Installation; Ground/Water Source Heat Pumps; COM-HVAC; School</v>
      </c>
      <c r="B183" s="42" t="s">
        <v>125</v>
      </c>
      <c r="C183" s="15" t="s">
        <v>95</v>
      </c>
      <c r="D183" s="15" t="s">
        <v>59</v>
      </c>
      <c r="E183" s="43">
        <v>15</v>
      </c>
      <c r="F183" s="44">
        <v>1853.5346684589399</v>
      </c>
      <c r="G183" s="44">
        <v>219.95111171023095</v>
      </c>
      <c r="H183" s="45">
        <v>387.5</v>
      </c>
      <c r="I183" s="46">
        <v>0.70967741935483875</v>
      </c>
      <c r="J183" s="45">
        <v>231.69183355736749</v>
      </c>
      <c r="K183" s="45">
        <v>506.69183355736749</v>
      </c>
      <c r="L183" s="45">
        <v>112.5</v>
      </c>
      <c r="M183" s="45">
        <v>619.19183355736754</v>
      </c>
      <c r="N183" s="45">
        <v>1697.6658906820385</v>
      </c>
      <c r="O183" s="47">
        <v>0.82</v>
      </c>
      <c r="P183" s="47">
        <v>2.5336367661453703</v>
      </c>
      <c r="Q183" s="310">
        <f t="shared" si="183"/>
        <v>2.5336367661453703</v>
      </c>
      <c r="R183" s="311">
        <f t="shared" si="184"/>
        <v>0</v>
      </c>
      <c r="S183" s="311">
        <f t="shared" si="185"/>
        <v>2079.6773389336486</v>
      </c>
      <c r="T183" s="310">
        <f t="shared" si="186"/>
        <v>5.6373964614790468</v>
      </c>
      <c r="U183" s="316">
        <f t="shared" si="187"/>
        <v>1.2250215724709748</v>
      </c>
      <c r="V183" s="48">
        <v>0.27336517745235361</v>
      </c>
      <c r="W183" s="49">
        <v>2.303656615406863</v>
      </c>
      <c r="X183" s="48" t="s">
        <v>386</v>
      </c>
      <c r="Y183" s="48" t="s">
        <v>564</v>
      </c>
      <c r="Z183" s="247">
        <f>0.0966*Z3</f>
        <v>0.121716</v>
      </c>
      <c r="AA183" s="246"/>
      <c r="AB183" s="386">
        <v>0</v>
      </c>
      <c r="AC183" s="387">
        <f t="shared" si="216"/>
        <v>225.60482570614835</v>
      </c>
      <c r="AD183" s="365">
        <f t="shared" si="226"/>
        <v>18.499595707904167</v>
      </c>
      <c r="AE183" s="365">
        <f t="shared" si="227"/>
        <v>0</v>
      </c>
      <c r="AF183" s="365">
        <f t="shared" si="228"/>
        <v>0</v>
      </c>
      <c r="AG183" s="365">
        <f t="shared" si="229"/>
        <v>7.6705640740090439</v>
      </c>
      <c r="AH183" s="365">
        <f t="shared" si="230"/>
        <v>-0.676814477118445</v>
      </c>
      <c r="AI183" s="365">
        <f t="shared" si="231"/>
        <v>157.47216834289154</v>
      </c>
      <c r="AJ183" s="365" t="s">
        <v>40</v>
      </c>
      <c r="AK183" s="365">
        <f t="shared" si="232"/>
        <v>42.639312058462039</v>
      </c>
      <c r="AL183" s="365">
        <f t="shared" si="233"/>
        <v>0</v>
      </c>
      <c r="AM183" s="365">
        <f t="shared" si="234"/>
        <v>0</v>
      </c>
      <c r="AN183" s="365">
        <f t="shared" si="194"/>
        <v>225.60482570614835</v>
      </c>
      <c r="AO183" s="294" t="s">
        <v>623</v>
      </c>
      <c r="AP183" s="282" t="s">
        <v>455</v>
      </c>
      <c r="AQ183" s="136" t="s">
        <v>40</v>
      </c>
      <c r="AR183" s="294" t="s">
        <v>590</v>
      </c>
      <c r="AS183" s="142"/>
      <c r="AT183" s="142" t="s">
        <v>216</v>
      </c>
      <c r="AU183" s="146" t="s">
        <v>287</v>
      </c>
      <c r="AV183" s="48"/>
      <c r="AW183" s="131" t="s">
        <v>284</v>
      </c>
      <c r="AX183" s="131"/>
      <c r="AY183" s="131"/>
      <c r="AZ183" s="48"/>
      <c r="BA183" s="48"/>
      <c r="BB183" s="50"/>
      <c r="BC183" s="51" t="s">
        <v>125</v>
      </c>
      <c r="BD183" s="52">
        <v>0.89650715030142858</v>
      </c>
      <c r="BE183" s="53">
        <v>7.5548928608926591</v>
      </c>
      <c r="BF183" s="54">
        <v>0.89650715030142858</v>
      </c>
      <c r="BG183" s="53">
        <v>7.5548928608926591</v>
      </c>
      <c r="BH183" s="450">
        <v>6919.5813468966289</v>
      </c>
      <c r="BI183" s="347">
        <f t="shared" si="195"/>
        <v>8476.6364224161352</v>
      </c>
      <c r="BJ183" s="347">
        <f t="shared" si="168"/>
        <v>15396.217769312763</v>
      </c>
      <c r="BK183" s="45">
        <v>2731.086570638915</v>
      </c>
      <c r="BL183" s="47">
        <v>4.9706564077155599</v>
      </c>
      <c r="BM183" s="45">
        <v>4188.494776257714</v>
      </c>
      <c r="BN183" s="55">
        <v>2.5336367661453698</v>
      </c>
      <c r="BO183" s="47">
        <f t="shared" si="196"/>
        <v>5.6373964614790468</v>
      </c>
      <c r="BP183" s="45">
        <v>2518.5910092090744</v>
      </c>
      <c r="BQ183" s="55">
        <v>2.747401750262588</v>
      </c>
      <c r="BR183" s="54">
        <v>0.90935707488656248</v>
      </c>
      <c r="BS183" s="53">
        <v>7.6631795638805782</v>
      </c>
      <c r="BT183" s="54">
        <v>1.8058642251879911</v>
      </c>
      <c r="BU183" s="53">
        <v>15.218072424773236</v>
      </c>
      <c r="BV183" s="450">
        <v>7420.9014687007812</v>
      </c>
      <c r="BW183" s="347">
        <f t="shared" si="197"/>
        <v>8598.1347715670836</v>
      </c>
      <c r="BX183" s="347">
        <f t="shared" si="202"/>
        <v>16019.036240267866</v>
      </c>
      <c r="BY183" s="45">
        <v>2770.2321105895799</v>
      </c>
      <c r="BZ183" s="47">
        <v>5.0419024205959717</v>
      </c>
      <c r="CA183" s="45">
        <v>4650.6693581112013</v>
      </c>
      <c r="CB183" s="55">
        <v>2.6788013323264144</v>
      </c>
      <c r="CC183" s="47">
        <f t="shared" si="171"/>
        <v>5.7825610276600914</v>
      </c>
      <c r="CD183" s="45">
        <v>2554.6907821091027</v>
      </c>
      <c r="CE183" s="55">
        <v>2.9048139683559784</v>
      </c>
      <c r="CF183" s="52">
        <v>0.9428689967913223</v>
      </c>
      <c r="CG183" s="53">
        <v>7.9455855429828501</v>
      </c>
      <c r="CH183" s="54">
        <v>2.7487332219793132</v>
      </c>
      <c r="CI183" s="53">
        <v>23.163657967756087</v>
      </c>
      <c r="CJ183" s="450">
        <v>8171.6502581562272</v>
      </c>
      <c r="CK183" s="347">
        <f t="shared" si="198"/>
        <v>8914.9960232676876</v>
      </c>
      <c r="CL183" s="347">
        <f t="shared" si="203"/>
        <v>17086.646281423913</v>
      </c>
      <c r="CM183" s="45">
        <v>2872.321602948472</v>
      </c>
      <c r="CN183" s="47">
        <v>5.2277082441131082</v>
      </c>
      <c r="CO183" s="45">
        <v>5299.3286552077552</v>
      </c>
      <c r="CP183" s="55">
        <v>2.8449635478728887</v>
      </c>
      <c r="CQ183" s="47">
        <f t="shared" si="199"/>
        <v>5.9487232432065644</v>
      </c>
      <c r="CR183" s="45">
        <v>2648.8370755126371</v>
      </c>
      <c r="CS183" s="55">
        <v>3.084995424482551</v>
      </c>
    </row>
    <row r="184" spans="1:97" s="23" customFormat="1" ht="15" customHeight="1">
      <c r="A184" s="377" t="str">
        <f t="shared" si="182"/>
        <v>BNI- Direct Installation; Faucet Aerator; COM-Other; Office</v>
      </c>
      <c r="B184" s="149" t="s">
        <v>126</v>
      </c>
      <c r="C184" s="15" t="s">
        <v>29</v>
      </c>
      <c r="D184" s="15" t="s">
        <v>66</v>
      </c>
      <c r="E184" s="43">
        <v>10</v>
      </c>
      <c r="F184" s="44">
        <v>197.27970000000002</v>
      </c>
      <c r="G184" s="44">
        <v>22.520535225357275</v>
      </c>
      <c r="H184" s="45">
        <v>5</v>
      </c>
      <c r="I184" s="46">
        <v>0.75</v>
      </c>
      <c r="J184" s="45">
        <v>24.659962500000002</v>
      </c>
      <c r="K184" s="45">
        <v>28.409962500000002</v>
      </c>
      <c r="L184" s="45">
        <v>1.25</v>
      </c>
      <c r="M184" s="45">
        <v>29.659962500000002</v>
      </c>
      <c r="N184" s="45">
        <v>125.41736182987613</v>
      </c>
      <c r="O184" s="47">
        <v>0.82</v>
      </c>
      <c r="P184" s="47">
        <v>3.5758821556355791</v>
      </c>
      <c r="Q184" s="310">
        <f t="shared" si="183"/>
        <v>3.5758821556355791</v>
      </c>
      <c r="R184" s="311">
        <f t="shared" si="184"/>
        <v>0</v>
      </c>
      <c r="S184" s="311">
        <f t="shared" si="185"/>
        <v>399.66051417827845</v>
      </c>
      <c r="T184" s="310">
        <f t="shared" si="186"/>
        <v>14.970946444269067</v>
      </c>
      <c r="U184" s="316">
        <f t="shared" si="187"/>
        <v>3.1866442440433622</v>
      </c>
      <c r="V184" s="48">
        <v>0.14400854472102298</v>
      </c>
      <c r="W184" s="49">
        <v>1.2615136459106644</v>
      </c>
      <c r="X184" s="48" t="s">
        <v>190</v>
      </c>
      <c r="Y184" s="48" t="s">
        <v>533</v>
      </c>
      <c r="Z184" s="246" t="s">
        <v>190</v>
      </c>
      <c r="AA184" s="257">
        <f>5460/264.172</f>
        <v>20.668352437048586</v>
      </c>
      <c r="AB184" s="386">
        <v>0</v>
      </c>
      <c r="AC184" s="387">
        <f>(AA184*AC3)</f>
        <v>56.403933800705595</v>
      </c>
      <c r="AD184" s="337">
        <f t="shared" ref="AD184:AD191" si="235">AC184*0.01</f>
        <v>0.56403933800705597</v>
      </c>
      <c r="AE184" s="337">
        <f t="shared" si="227"/>
        <v>0</v>
      </c>
      <c r="AF184" s="337">
        <f t="shared" ref="AF184:AF191" si="236">AD184*0</f>
        <v>0</v>
      </c>
      <c r="AG184" s="337">
        <f t="shared" ref="AG184:AG191" si="237">AE184*0</f>
        <v>0</v>
      </c>
      <c r="AH184" s="337">
        <f t="shared" ref="AH184:AH191" si="238">AF184*0</f>
        <v>0</v>
      </c>
      <c r="AI184" s="337">
        <f t="shared" ref="AI184:AI191" si="239">AC184*0.99</f>
        <v>55.839894462698538</v>
      </c>
      <c r="AJ184" s="337" t="s">
        <v>40</v>
      </c>
      <c r="AK184" s="337">
        <f t="shared" ref="AK184:AK191" si="240">AH184*0</f>
        <v>0</v>
      </c>
      <c r="AL184" s="337">
        <f t="shared" ref="AL184:AL191" si="241">AI184*0</f>
        <v>0</v>
      </c>
      <c r="AM184" s="337">
        <f t="shared" ref="AM184:AM191" si="242">AK184*0</f>
        <v>0</v>
      </c>
      <c r="AN184" s="337">
        <f t="shared" si="194"/>
        <v>56.403933800705595</v>
      </c>
      <c r="AO184" s="294" t="s">
        <v>624</v>
      </c>
      <c r="AP184" s="282" t="s">
        <v>502</v>
      </c>
      <c r="AQ184" s="136" t="s">
        <v>190</v>
      </c>
      <c r="AR184" s="294" t="s">
        <v>588</v>
      </c>
      <c r="AS184" s="142"/>
      <c r="AT184" s="142"/>
      <c r="AU184" s="146"/>
      <c r="AV184" s="48"/>
      <c r="AW184" s="131" t="s">
        <v>284</v>
      </c>
      <c r="AX184" s="131"/>
      <c r="AY184" s="131"/>
      <c r="AZ184" s="48"/>
      <c r="BA184" s="48"/>
      <c r="BB184" s="50"/>
      <c r="BC184" s="51" t="s">
        <v>126</v>
      </c>
      <c r="BD184" s="52">
        <v>9.7539248806653465</v>
      </c>
      <c r="BE184" s="53">
        <v>85.444300280819306</v>
      </c>
      <c r="BF184" s="54">
        <v>9.7539248806653465</v>
      </c>
      <c r="BG184" s="53">
        <v>85.444300280819306</v>
      </c>
      <c r="BH184" s="450">
        <v>54319.824719016222</v>
      </c>
      <c r="BI184" s="347">
        <f t="shared" si="195"/>
        <v>173097.95677829735</v>
      </c>
      <c r="BJ184" s="347">
        <f t="shared" si="168"/>
        <v>227417.78149731358</v>
      </c>
      <c r="BK184" s="45">
        <v>15190.608178574434</v>
      </c>
      <c r="BL184" s="47">
        <v>528.18595220958423</v>
      </c>
      <c r="BM184" s="45">
        <v>39129.21654044179</v>
      </c>
      <c r="BN184" s="55">
        <v>3.5758821556355804</v>
      </c>
      <c r="BO184" s="47">
        <f t="shared" si="196"/>
        <v>14.970946444269071</v>
      </c>
      <c r="BP184" s="45">
        <v>15005.743095301079</v>
      </c>
      <c r="BQ184" s="55">
        <v>3.6199356722311213</v>
      </c>
      <c r="BR184" s="54">
        <v>9.0424252340047406</v>
      </c>
      <c r="BS184" s="53">
        <v>79.211569333765013</v>
      </c>
      <c r="BT184" s="54">
        <v>18.796350114670087</v>
      </c>
      <c r="BU184" s="53">
        <v>164.65586961458433</v>
      </c>
      <c r="BV184" s="450">
        <v>53634.921561624047</v>
      </c>
      <c r="BW184" s="347">
        <f t="shared" si="197"/>
        <v>160471.33348641996</v>
      </c>
      <c r="BX184" s="347">
        <f t="shared" si="202"/>
        <v>214106.255048044</v>
      </c>
      <c r="BY184" s="45">
        <v>14082.529893797015</v>
      </c>
      <c r="BZ184" s="47">
        <v>489.6574497896865</v>
      </c>
      <c r="CA184" s="45">
        <v>39552.391667827033</v>
      </c>
      <c r="CB184" s="55">
        <v>3.8086140747514992</v>
      </c>
      <c r="CC184" s="47">
        <f t="shared" si="171"/>
        <v>15.20367836338499</v>
      </c>
      <c r="CD184" s="45">
        <v>13911.149786370624</v>
      </c>
      <c r="CE184" s="55">
        <v>3.8555347606257953</v>
      </c>
      <c r="CF184" s="52">
        <v>8.4847275213595061</v>
      </c>
      <c r="CG184" s="53">
        <v>74.326142040835634</v>
      </c>
      <c r="CH184" s="54">
        <v>27.281077636029593</v>
      </c>
      <c r="CI184" s="53">
        <v>238.98201165541997</v>
      </c>
      <c r="CJ184" s="450">
        <v>53856.768743150766</v>
      </c>
      <c r="CK184" s="347">
        <f t="shared" si="198"/>
        <v>150574.15509516757</v>
      </c>
      <c r="CL184" s="347">
        <f t="shared" si="203"/>
        <v>204430.92383831833</v>
      </c>
      <c r="CM184" s="45">
        <v>13213.980305961451</v>
      </c>
      <c r="CN184" s="47">
        <v>459.45749428433544</v>
      </c>
      <c r="CO184" s="45">
        <v>40642.788437189316</v>
      </c>
      <c r="CP184" s="55">
        <v>4.0757415628093092</v>
      </c>
      <c r="CQ184" s="47">
        <f t="shared" si="199"/>
        <v>15.470805851442799</v>
      </c>
      <c r="CR184" s="45">
        <v>13053.170182961934</v>
      </c>
      <c r="CS184" s="55">
        <v>4.1259531583713684</v>
      </c>
    </row>
    <row r="185" spans="1:97" s="23" customFormat="1" ht="15" customHeight="1">
      <c r="A185" s="377" t="str">
        <f t="shared" si="182"/>
        <v>BNI- Direct Installation; Faucet Aerator; COM-Other; Other Commercial</v>
      </c>
      <c r="B185" s="149" t="s">
        <v>126</v>
      </c>
      <c r="C185" s="15" t="s">
        <v>29</v>
      </c>
      <c r="D185" s="15" t="s">
        <v>56</v>
      </c>
      <c r="E185" s="43">
        <v>10</v>
      </c>
      <c r="F185" s="44">
        <v>197.27970000000002</v>
      </c>
      <c r="G185" s="44">
        <v>22.520535225357275</v>
      </c>
      <c r="H185" s="45">
        <v>5</v>
      </c>
      <c r="I185" s="46">
        <v>0.75</v>
      </c>
      <c r="J185" s="45">
        <v>24.659962500000002</v>
      </c>
      <c r="K185" s="45">
        <v>28.409962500000002</v>
      </c>
      <c r="L185" s="45">
        <v>1.25</v>
      </c>
      <c r="M185" s="45">
        <v>29.659962500000002</v>
      </c>
      <c r="N185" s="45">
        <v>125.41736182987613</v>
      </c>
      <c r="O185" s="47">
        <v>0.82</v>
      </c>
      <c r="P185" s="47">
        <v>3.5758821556355791</v>
      </c>
      <c r="Q185" s="310">
        <f t="shared" si="183"/>
        <v>3.5758821556355791</v>
      </c>
      <c r="R185" s="311">
        <f t="shared" si="184"/>
        <v>0</v>
      </c>
      <c r="S185" s="311">
        <f t="shared" si="185"/>
        <v>399.66051417827845</v>
      </c>
      <c r="T185" s="310">
        <f t="shared" si="186"/>
        <v>14.970946444269067</v>
      </c>
      <c r="U185" s="316">
        <f t="shared" si="187"/>
        <v>3.1866442440433622</v>
      </c>
      <c r="V185" s="48">
        <v>0.14400854472102298</v>
      </c>
      <c r="W185" s="49">
        <v>1.2615136459106644</v>
      </c>
      <c r="X185" s="48" t="s">
        <v>190</v>
      </c>
      <c r="Y185" s="48" t="s">
        <v>533</v>
      </c>
      <c r="Z185" s="246" t="s">
        <v>190</v>
      </c>
      <c r="AA185" s="257">
        <f>5460/264.172</f>
        <v>20.668352437048586</v>
      </c>
      <c r="AB185" s="386">
        <v>0</v>
      </c>
      <c r="AC185" s="387">
        <f>(AA185*AC3)</f>
        <v>56.403933800705595</v>
      </c>
      <c r="AD185" s="337">
        <f t="shared" si="235"/>
        <v>0.56403933800705597</v>
      </c>
      <c r="AE185" s="337">
        <f t="shared" si="227"/>
        <v>0</v>
      </c>
      <c r="AF185" s="337">
        <f t="shared" si="236"/>
        <v>0</v>
      </c>
      <c r="AG185" s="337">
        <f t="shared" si="237"/>
        <v>0</v>
      </c>
      <c r="AH185" s="337">
        <f t="shared" si="238"/>
        <v>0</v>
      </c>
      <c r="AI185" s="337">
        <f t="shared" si="239"/>
        <v>55.839894462698538</v>
      </c>
      <c r="AJ185" s="337" t="s">
        <v>40</v>
      </c>
      <c r="AK185" s="337">
        <f t="shared" si="240"/>
        <v>0</v>
      </c>
      <c r="AL185" s="337">
        <f t="shared" si="241"/>
        <v>0</v>
      </c>
      <c r="AM185" s="337">
        <f t="shared" si="242"/>
        <v>0</v>
      </c>
      <c r="AN185" s="337">
        <f t="shared" si="194"/>
        <v>56.403933800705595</v>
      </c>
      <c r="AO185" s="294" t="s">
        <v>624</v>
      </c>
      <c r="AP185" s="282" t="s">
        <v>502</v>
      </c>
      <c r="AQ185" s="136" t="s">
        <v>190</v>
      </c>
      <c r="AR185" s="294" t="s">
        <v>588</v>
      </c>
      <c r="AS185" s="142"/>
      <c r="AT185" s="142"/>
      <c r="AU185" s="146"/>
      <c r="AV185" s="48"/>
      <c r="AW185" s="131" t="s">
        <v>284</v>
      </c>
      <c r="AX185" s="131"/>
      <c r="AY185" s="131"/>
      <c r="AZ185" s="48"/>
      <c r="BA185" s="48"/>
      <c r="BB185" s="50"/>
      <c r="BC185" s="51" t="s">
        <v>126</v>
      </c>
      <c r="BD185" s="52">
        <v>13.231559082548493</v>
      </c>
      <c r="BE185" s="53">
        <v>115.90834676958842</v>
      </c>
      <c r="BF185" s="54">
        <v>13.231559082548493</v>
      </c>
      <c r="BG185" s="53">
        <v>115.90834676958842</v>
      </c>
      <c r="BH185" s="450">
        <v>73686.846978701942</v>
      </c>
      <c r="BI185" s="347">
        <f t="shared" si="195"/>
        <v>234813.76678638454</v>
      </c>
      <c r="BJ185" s="347">
        <f t="shared" si="168"/>
        <v>308500.61376508651</v>
      </c>
      <c r="BK185" s="45">
        <v>20606.620624388222</v>
      </c>
      <c r="BL185" s="47">
        <v>716.50373759660567</v>
      </c>
      <c r="BM185" s="45">
        <v>53080.226354313723</v>
      </c>
      <c r="BN185" s="55">
        <v>3.5758821556355791</v>
      </c>
      <c r="BO185" s="47">
        <f t="shared" si="196"/>
        <v>14.970946444269069</v>
      </c>
      <c r="BP185" s="45">
        <v>20355.84431622941</v>
      </c>
      <c r="BQ185" s="55">
        <v>3.6199356722311204</v>
      </c>
      <c r="BR185" s="54">
        <v>12.266383552986694</v>
      </c>
      <c r="BS185" s="53">
        <v>107.45341721245698</v>
      </c>
      <c r="BT185" s="54">
        <v>25.497942635535185</v>
      </c>
      <c r="BU185" s="53">
        <v>223.3617639820454</v>
      </c>
      <c r="BV185" s="450">
        <v>72757.750568412564</v>
      </c>
      <c r="BW185" s="347">
        <f t="shared" si="197"/>
        <v>217685.28628816665</v>
      </c>
      <c r="BX185" s="347">
        <f t="shared" si="202"/>
        <v>290443.03685657925</v>
      </c>
      <c r="BY185" s="45">
        <v>19103.471535944424</v>
      </c>
      <c r="BZ185" s="47">
        <v>664.23840211698553</v>
      </c>
      <c r="CA185" s="45">
        <v>53654.279032468141</v>
      </c>
      <c r="CB185" s="55">
        <v>3.8086140747514987</v>
      </c>
      <c r="CC185" s="47">
        <f t="shared" si="171"/>
        <v>15.20367836338499</v>
      </c>
      <c r="CD185" s="45">
        <v>18870.98809520348</v>
      </c>
      <c r="CE185" s="55">
        <v>3.8555347606257944</v>
      </c>
      <c r="CF185" s="52">
        <v>11.509846023187285</v>
      </c>
      <c r="CG185" s="53">
        <v>100.82615478622836</v>
      </c>
      <c r="CH185" s="54">
        <v>37.007788658722475</v>
      </c>
      <c r="CI185" s="53">
        <v>324.18791876827379</v>
      </c>
      <c r="CJ185" s="450">
        <v>73058.694457726946</v>
      </c>
      <c r="CK185" s="347">
        <f t="shared" si="198"/>
        <v>204259.3985315403</v>
      </c>
      <c r="CL185" s="347">
        <f t="shared" si="203"/>
        <v>277318.09298926726</v>
      </c>
      <c r="CM185" s="45">
        <v>17925.251965036117</v>
      </c>
      <c r="CN185" s="47">
        <v>623.27104790335227</v>
      </c>
      <c r="CO185" s="45">
        <v>55133.442492690825</v>
      </c>
      <c r="CP185" s="55">
        <v>4.0757415628093092</v>
      </c>
      <c r="CQ185" s="47">
        <f t="shared" si="199"/>
        <v>15.470805851442798</v>
      </c>
      <c r="CR185" s="45">
        <v>17707.107098269942</v>
      </c>
      <c r="CS185" s="55">
        <v>4.1259531583713684</v>
      </c>
    </row>
    <row r="186" spans="1:97" s="23" customFormat="1" ht="15" customHeight="1">
      <c r="A186" s="377" t="str">
        <f t="shared" si="182"/>
        <v>BNI- Direct Installation; Faucet Aerator; COM-Other; Retail</v>
      </c>
      <c r="B186" s="149" t="s">
        <v>126</v>
      </c>
      <c r="C186" s="15" t="s">
        <v>29</v>
      </c>
      <c r="D186" s="15" t="s">
        <v>30</v>
      </c>
      <c r="E186" s="43">
        <v>10</v>
      </c>
      <c r="F186" s="44">
        <v>197.27970000000002</v>
      </c>
      <c r="G186" s="44">
        <v>22.520535225357275</v>
      </c>
      <c r="H186" s="45">
        <v>5</v>
      </c>
      <c r="I186" s="46">
        <v>0.75</v>
      </c>
      <c r="J186" s="45">
        <v>24.659962500000002</v>
      </c>
      <c r="K186" s="45">
        <v>28.409962500000002</v>
      </c>
      <c r="L186" s="45">
        <v>1.25</v>
      </c>
      <c r="M186" s="45">
        <v>29.659962500000002</v>
      </c>
      <c r="N186" s="45">
        <v>125.41736182987613</v>
      </c>
      <c r="O186" s="47">
        <v>0.82</v>
      </c>
      <c r="P186" s="47">
        <v>3.5758821556355791</v>
      </c>
      <c r="Q186" s="310">
        <f t="shared" si="183"/>
        <v>3.5758821556355791</v>
      </c>
      <c r="R186" s="311">
        <f t="shared" si="184"/>
        <v>0</v>
      </c>
      <c r="S186" s="311">
        <f t="shared" si="185"/>
        <v>399.66051417827845</v>
      </c>
      <c r="T186" s="310">
        <f t="shared" si="186"/>
        <v>14.970946444269067</v>
      </c>
      <c r="U186" s="316">
        <f t="shared" si="187"/>
        <v>3.1866442440433622</v>
      </c>
      <c r="V186" s="48">
        <v>0.14400854472102298</v>
      </c>
      <c r="W186" s="49">
        <v>1.2615136459106644</v>
      </c>
      <c r="X186" s="48" t="s">
        <v>190</v>
      </c>
      <c r="Y186" s="48" t="s">
        <v>533</v>
      </c>
      <c r="Z186" s="246" t="s">
        <v>190</v>
      </c>
      <c r="AA186" s="257">
        <f>5460/264.172</f>
        <v>20.668352437048586</v>
      </c>
      <c r="AB186" s="386">
        <v>0</v>
      </c>
      <c r="AC186" s="387">
        <f>(AA186*AC3)</f>
        <v>56.403933800705595</v>
      </c>
      <c r="AD186" s="337">
        <f t="shared" si="235"/>
        <v>0.56403933800705597</v>
      </c>
      <c r="AE186" s="337">
        <f t="shared" si="227"/>
        <v>0</v>
      </c>
      <c r="AF186" s="337">
        <f t="shared" si="236"/>
        <v>0</v>
      </c>
      <c r="AG186" s="337">
        <f t="shared" si="237"/>
        <v>0</v>
      </c>
      <c r="AH186" s="337">
        <f t="shared" si="238"/>
        <v>0</v>
      </c>
      <c r="AI186" s="337">
        <f t="shared" si="239"/>
        <v>55.839894462698538</v>
      </c>
      <c r="AJ186" s="337" t="s">
        <v>40</v>
      </c>
      <c r="AK186" s="337">
        <f t="shared" si="240"/>
        <v>0</v>
      </c>
      <c r="AL186" s="337">
        <f t="shared" si="241"/>
        <v>0</v>
      </c>
      <c r="AM186" s="337">
        <f t="shared" si="242"/>
        <v>0</v>
      </c>
      <c r="AN186" s="337">
        <f t="shared" si="194"/>
        <v>56.403933800705595</v>
      </c>
      <c r="AO186" s="294" t="s">
        <v>624</v>
      </c>
      <c r="AP186" s="282" t="s">
        <v>502</v>
      </c>
      <c r="AQ186" s="136" t="s">
        <v>190</v>
      </c>
      <c r="AR186" s="294" t="s">
        <v>588</v>
      </c>
      <c r="AS186" s="142"/>
      <c r="AT186" s="142"/>
      <c r="AU186" s="146"/>
      <c r="AV186" s="48"/>
      <c r="AW186" s="131" t="s">
        <v>284</v>
      </c>
      <c r="AX186" s="131"/>
      <c r="AY186" s="131"/>
      <c r="AZ186" s="48"/>
      <c r="BA186" s="48"/>
      <c r="BB186" s="50"/>
      <c r="BC186" s="51" t="s">
        <v>126</v>
      </c>
      <c r="BD186" s="52">
        <v>18.930950692038994</v>
      </c>
      <c r="BE186" s="53">
        <v>165.8349695452674</v>
      </c>
      <c r="BF186" s="54">
        <v>18.930950692038994</v>
      </c>
      <c r="BG186" s="53">
        <v>165.8349695452674</v>
      </c>
      <c r="BH186" s="450">
        <v>105426.88568314577</v>
      </c>
      <c r="BI186" s="347">
        <f t="shared" si="195"/>
        <v>335957.97842961398</v>
      </c>
      <c r="BJ186" s="347">
        <f t="shared" si="168"/>
        <v>441384.86411275977</v>
      </c>
      <c r="BK186" s="45">
        <v>29482.762880480645</v>
      </c>
      <c r="BL186" s="47">
        <v>1025.1321739546997</v>
      </c>
      <c r="BM186" s="45">
        <v>75944.122802665122</v>
      </c>
      <c r="BN186" s="55">
        <v>3.5758821556355791</v>
      </c>
      <c r="BO186" s="47">
        <f t="shared" si="196"/>
        <v>14.970946444269067</v>
      </c>
      <c r="BP186" s="45">
        <v>29123.966619596496</v>
      </c>
      <c r="BQ186" s="55">
        <v>3.6199356722311209</v>
      </c>
      <c r="BR186" s="54">
        <v>17.550033277446783</v>
      </c>
      <c r="BS186" s="53">
        <v>153.73814455645521</v>
      </c>
      <c r="BT186" s="54">
        <v>36.48098396948577</v>
      </c>
      <c r="BU186" s="53">
        <v>319.57311410172258</v>
      </c>
      <c r="BV186" s="450">
        <v>104097.58818905556</v>
      </c>
      <c r="BW186" s="347">
        <f t="shared" si="197"/>
        <v>311451.53759990196</v>
      </c>
      <c r="BX186" s="347">
        <f t="shared" si="202"/>
        <v>415549.12578895752</v>
      </c>
      <c r="BY186" s="45">
        <v>27332.143962590286</v>
      </c>
      <c r="BZ186" s="47">
        <v>950.35394996048001</v>
      </c>
      <c r="CA186" s="45">
        <v>76765.444226465275</v>
      </c>
      <c r="CB186" s="55">
        <v>3.8086140747514987</v>
      </c>
      <c r="CC186" s="47">
        <f t="shared" si="171"/>
        <v>15.203678363384986</v>
      </c>
      <c r="CD186" s="45">
        <v>26999.520080104121</v>
      </c>
      <c r="CE186" s="55">
        <v>3.8555347606257939</v>
      </c>
      <c r="CF186" s="52">
        <v>16.46762306531998</v>
      </c>
      <c r="CG186" s="53">
        <v>144.25624016171076</v>
      </c>
      <c r="CH186" s="54">
        <v>52.948607034805754</v>
      </c>
      <c r="CI186" s="53">
        <v>463.82935426343334</v>
      </c>
      <c r="CJ186" s="450">
        <v>104528.16132817979</v>
      </c>
      <c r="CK186" s="347">
        <f t="shared" si="198"/>
        <v>292242.55266230908</v>
      </c>
      <c r="CL186" s="347">
        <f t="shared" si="203"/>
        <v>396770.7139904889</v>
      </c>
      <c r="CM186" s="45">
        <v>25646.415435656592</v>
      </c>
      <c r="CN186" s="47">
        <v>891.74022517089827</v>
      </c>
      <c r="CO186" s="45">
        <v>78881.745892523206</v>
      </c>
      <c r="CP186" s="55">
        <v>4.0757415628093092</v>
      </c>
      <c r="CQ186" s="47">
        <f t="shared" si="199"/>
        <v>15.470805851442798</v>
      </c>
      <c r="CR186" s="45">
        <v>25334.306356846777</v>
      </c>
      <c r="CS186" s="55">
        <v>4.1259531583713684</v>
      </c>
    </row>
    <row r="187" spans="1:97" s="23" customFormat="1" ht="15" customHeight="1">
      <c r="A187" s="377" t="str">
        <f t="shared" si="182"/>
        <v>BNI- Direct Installation; DHW Tank Wrap; COM-Other; Office</v>
      </c>
      <c r="B187" s="149" t="s">
        <v>127</v>
      </c>
      <c r="C187" s="15" t="s">
        <v>29</v>
      </c>
      <c r="D187" s="15" t="s">
        <v>66</v>
      </c>
      <c r="E187" s="43">
        <v>7</v>
      </c>
      <c r="F187" s="44">
        <v>258.44292865622174</v>
      </c>
      <c r="G187" s="44">
        <v>29.502645627233509</v>
      </c>
      <c r="H187" s="45">
        <v>16</v>
      </c>
      <c r="I187" s="46">
        <v>1</v>
      </c>
      <c r="J187" s="45">
        <v>32.305366082027717</v>
      </c>
      <c r="K187" s="45">
        <v>48.305366082027717</v>
      </c>
      <c r="L187" s="45">
        <v>0</v>
      </c>
      <c r="M187" s="45">
        <v>48.305366082027717</v>
      </c>
      <c r="N187" s="45">
        <v>114.19851749382056</v>
      </c>
      <c r="O187" s="47">
        <v>0.82</v>
      </c>
      <c r="P187" s="47">
        <v>2.061464604948601</v>
      </c>
      <c r="Q187" s="310">
        <f t="shared" si="183"/>
        <v>2.061464604948601</v>
      </c>
      <c r="R187" s="311">
        <f t="shared" si="184"/>
        <v>0</v>
      </c>
      <c r="S187" s="311">
        <f t="shared" si="185"/>
        <v>81.397943715549431</v>
      </c>
      <c r="T187" s="310">
        <f t="shared" si="186"/>
        <v>3.5308267610228548</v>
      </c>
      <c r="U187" s="316">
        <f t="shared" si="187"/>
        <v>0.71277583546523704</v>
      </c>
      <c r="V187" s="48">
        <v>0.18690921950618755</v>
      </c>
      <c r="W187" s="49">
        <v>1.6373231978029001</v>
      </c>
      <c r="X187" s="48" t="s">
        <v>191</v>
      </c>
      <c r="Y187" s="48" t="s">
        <v>534</v>
      </c>
      <c r="Z187" s="247">
        <f>(1.35*Z3)/29.3001</f>
        <v>5.8054409370616483E-2</v>
      </c>
      <c r="AA187" s="247"/>
      <c r="AB187" s="386">
        <v>0</v>
      </c>
      <c r="AC187" s="387">
        <f>Z187*F187</f>
        <v>15.003751579149327</v>
      </c>
      <c r="AD187" s="337">
        <f t="shared" si="235"/>
        <v>0.15003751579149327</v>
      </c>
      <c r="AE187" s="337">
        <f t="shared" si="227"/>
        <v>0</v>
      </c>
      <c r="AF187" s="337">
        <f t="shared" si="236"/>
        <v>0</v>
      </c>
      <c r="AG187" s="337">
        <f t="shared" si="237"/>
        <v>0</v>
      </c>
      <c r="AH187" s="337">
        <f t="shared" si="238"/>
        <v>0</v>
      </c>
      <c r="AI187" s="337">
        <f t="shared" si="239"/>
        <v>14.853714063357833</v>
      </c>
      <c r="AJ187" s="337" t="s">
        <v>40</v>
      </c>
      <c r="AK187" s="337">
        <f t="shared" si="240"/>
        <v>0</v>
      </c>
      <c r="AL187" s="337">
        <f t="shared" si="241"/>
        <v>0</v>
      </c>
      <c r="AM187" s="337">
        <f t="shared" si="242"/>
        <v>0</v>
      </c>
      <c r="AN187" s="337">
        <f t="shared" si="194"/>
        <v>15.003751579149327</v>
      </c>
      <c r="AO187" s="294" t="s">
        <v>610</v>
      </c>
      <c r="AP187" s="282" t="s">
        <v>343</v>
      </c>
      <c r="AQ187" s="136"/>
      <c r="AR187" s="294" t="s">
        <v>589</v>
      </c>
      <c r="AS187" s="142"/>
      <c r="AT187" s="142"/>
      <c r="AU187" s="146"/>
      <c r="AV187" s="48"/>
      <c r="AW187" s="131" t="s">
        <v>284</v>
      </c>
      <c r="AX187" s="131"/>
      <c r="AY187" s="131"/>
      <c r="AZ187" s="48"/>
      <c r="BA187" s="48"/>
      <c r="BB187" s="50"/>
      <c r="BC187" s="51" t="s">
        <v>127</v>
      </c>
      <c r="BD187" s="52">
        <v>2.7651948581287948</v>
      </c>
      <c r="BE187" s="53">
        <v>24.223083803042119</v>
      </c>
      <c r="BF187" s="54">
        <v>2.7651948581287948</v>
      </c>
      <c r="BG187" s="53">
        <v>24.223083803042119</v>
      </c>
      <c r="BH187" s="450">
        <v>10703.485964267231</v>
      </c>
      <c r="BI187" s="347">
        <f t="shared" si="195"/>
        <v>7629.1861505710131</v>
      </c>
      <c r="BJ187" s="347">
        <f t="shared" si="168"/>
        <v>18332.672114838242</v>
      </c>
      <c r="BK187" s="45">
        <v>5192.1754749381707</v>
      </c>
      <c r="BL187" s="47">
        <v>114.30123569202065</v>
      </c>
      <c r="BM187" s="45">
        <v>5511.3104893290601</v>
      </c>
      <c r="BN187" s="55">
        <v>2.061464604948601</v>
      </c>
      <c r="BO187" s="47">
        <f t="shared" si="196"/>
        <v>3.5308267610228543</v>
      </c>
      <c r="BP187" s="45">
        <v>5521.3630337311897</v>
      </c>
      <c r="BQ187" s="55">
        <v>1.9385586310621747</v>
      </c>
      <c r="BR187" s="54">
        <v>2.7611888752981315</v>
      </c>
      <c r="BS187" s="53">
        <v>24.187991426989324</v>
      </c>
      <c r="BT187" s="54">
        <v>5.5263837334269263</v>
      </c>
      <c r="BU187" s="53">
        <v>48.411075230031443</v>
      </c>
      <c r="BV187" s="450">
        <v>11635.728540889208</v>
      </c>
      <c r="BW187" s="347">
        <f t="shared" si="197"/>
        <v>7618.1336243299484</v>
      </c>
      <c r="BX187" s="347">
        <f t="shared" si="202"/>
        <v>19253.862165219158</v>
      </c>
      <c r="BY187" s="45">
        <v>5184.6534857571005</v>
      </c>
      <c r="BZ187" s="47">
        <v>114.13564563012687</v>
      </c>
      <c r="CA187" s="45">
        <v>6451.0750551321071</v>
      </c>
      <c r="CB187" s="55">
        <v>2.2442634927973542</v>
      </c>
      <c r="CC187" s="47">
        <f t="shared" si="171"/>
        <v>3.7136256488716084</v>
      </c>
      <c r="CD187" s="45">
        <v>5513.3641451718668</v>
      </c>
      <c r="CE187" s="55">
        <v>2.1104589202726225</v>
      </c>
      <c r="CF187" s="52">
        <v>2.7604528388027729</v>
      </c>
      <c r="CG187" s="53">
        <v>24.181543753453134</v>
      </c>
      <c r="CH187" s="54">
        <v>8.286836572229701</v>
      </c>
      <c r="CI187" s="53">
        <v>72.592618983484584</v>
      </c>
      <c r="CJ187" s="450">
        <v>12686.950226292871</v>
      </c>
      <c r="CK187" s="347">
        <f t="shared" si="198"/>
        <v>7616.1028960359936</v>
      </c>
      <c r="CL187" s="347">
        <f t="shared" si="203"/>
        <v>20303.053122328864</v>
      </c>
      <c r="CM187" s="45">
        <v>5183.2714382574013</v>
      </c>
      <c r="CN187" s="47">
        <v>114.10522105419273</v>
      </c>
      <c r="CO187" s="45">
        <v>7503.6787880354696</v>
      </c>
      <c r="CP187" s="55">
        <v>2.4476723585516451</v>
      </c>
      <c r="CQ187" s="47">
        <f t="shared" si="199"/>
        <v>3.9170345146258985</v>
      </c>
      <c r="CR187" s="45">
        <v>5511.8944748934755</v>
      </c>
      <c r="CS187" s="55">
        <v>2.30174040596778</v>
      </c>
    </row>
    <row r="188" spans="1:97" s="23" customFormat="1" ht="15" customHeight="1">
      <c r="A188" s="377" t="str">
        <f t="shared" si="182"/>
        <v>BNI- Direct Installation; DHW Tank Wrap; COM-Other; Retail</v>
      </c>
      <c r="B188" s="149" t="s">
        <v>127</v>
      </c>
      <c r="C188" s="15" t="s">
        <v>29</v>
      </c>
      <c r="D188" s="15" t="s">
        <v>30</v>
      </c>
      <c r="E188" s="43">
        <v>7</v>
      </c>
      <c r="F188" s="44">
        <v>258.44292865622174</v>
      </c>
      <c r="G188" s="44">
        <v>29.502645627233509</v>
      </c>
      <c r="H188" s="45">
        <v>16</v>
      </c>
      <c r="I188" s="46">
        <v>1</v>
      </c>
      <c r="J188" s="45">
        <v>32.305366082027717</v>
      </c>
      <c r="K188" s="45">
        <v>48.305366082027717</v>
      </c>
      <c r="L188" s="45">
        <v>0</v>
      </c>
      <c r="M188" s="45">
        <v>48.305366082027717</v>
      </c>
      <c r="N188" s="45">
        <v>114.19851749382056</v>
      </c>
      <c r="O188" s="47">
        <v>0.82</v>
      </c>
      <c r="P188" s="47">
        <v>2.061464604948601</v>
      </c>
      <c r="Q188" s="310">
        <f t="shared" si="183"/>
        <v>2.061464604948601</v>
      </c>
      <c r="R188" s="311">
        <f t="shared" si="184"/>
        <v>0</v>
      </c>
      <c r="S188" s="311">
        <f t="shared" si="185"/>
        <v>81.397943715549431</v>
      </c>
      <c r="T188" s="310">
        <f t="shared" si="186"/>
        <v>3.5308267610228548</v>
      </c>
      <c r="U188" s="316">
        <f t="shared" si="187"/>
        <v>0.71277583546523704</v>
      </c>
      <c r="V188" s="48">
        <v>0.18690921950618755</v>
      </c>
      <c r="W188" s="49">
        <v>1.6373231978029001</v>
      </c>
      <c r="X188" s="48" t="s">
        <v>191</v>
      </c>
      <c r="Y188" s="48" t="s">
        <v>534</v>
      </c>
      <c r="Z188" s="247">
        <f>(1.35*Z3)/29.3001</f>
        <v>5.8054409370616483E-2</v>
      </c>
      <c r="AA188" s="247"/>
      <c r="AB188" s="386">
        <v>0</v>
      </c>
      <c r="AC188" s="387">
        <f>Z188*F188</f>
        <v>15.003751579149327</v>
      </c>
      <c r="AD188" s="337">
        <f t="shared" si="235"/>
        <v>0.15003751579149327</v>
      </c>
      <c r="AE188" s="337">
        <f t="shared" si="227"/>
        <v>0</v>
      </c>
      <c r="AF188" s="337">
        <f t="shared" si="236"/>
        <v>0</v>
      </c>
      <c r="AG188" s="337">
        <f t="shared" si="237"/>
        <v>0</v>
      </c>
      <c r="AH188" s="337">
        <f t="shared" si="238"/>
        <v>0</v>
      </c>
      <c r="AI188" s="337">
        <f t="shared" si="239"/>
        <v>14.853714063357833</v>
      </c>
      <c r="AJ188" s="337" t="s">
        <v>40</v>
      </c>
      <c r="AK188" s="337">
        <f t="shared" si="240"/>
        <v>0</v>
      </c>
      <c r="AL188" s="337">
        <f t="shared" si="241"/>
        <v>0</v>
      </c>
      <c r="AM188" s="337">
        <f t="shared" si="242"/>
        <v>0</v>
      </c>
      <c r="AN188" s="337">
        <f t="shared" si="194"/>
        <v>15.003751579149327</v>
      </c>
      <c r="AO188" s="294" t="s">
        <v>610</v>
      </c>
      <c r="AP188" s="282" t="s">
        <v>343</v>
      </c>
      <c r="AQ188" s="136"/>
      <c r="AR188" s="294" t="s">
        <v>589</v>
      </c>
      <c r="AS188" s="142"/>
      <c r="AT188" s="142"/>
      <c r="AU188" s="146"/>
      <c r="AV188" s="48"/>
      <c r="AW188" s="131" t="s">
        <v>284</v>
      </c>
      <c r="AX188" s="131"/>
      <c r="AY188" s="131"/>
      <c r="AZ188" s="48"/>
      <c r="BA188" s="48"/>
      <c r="BB188" s="50"/>
      <c r="BC188" s="51" t="s">
        <v>127</v>
      </c>
      <c r="BD188" s="52">
        <v>5.3668413642268229</v>
      </c>
      <c r="BE188" s="53">
        <v>47.013485411755426</v>
      </c>
      <c r="BF188" s="54">
        <v>5.3668413642268229</v>
      </c>
      <c r="BG188" s="53">
        <v>47.013485411755426</v>
      </c>
      <c r="BH188" s="450">
        <v>20773.910759158156</v>
      </c>
      <c r="BI188" s="347">
        <f t="shared" si="195"/>
        <v>14807.141597239231</v>
      </c>
      <c r="BJ188" s="347">
        <f t="shared" si="168"/>
        <v>35581.052356397384</v>
      </c>
      <c r="BK188" s="45">
        <v>10077.258037460275</v>
      </c>
      <c r="BL188" s="47">
        <v>221.84208750817933</v>
      </c>
      <c r="BM188" s="45">
        <v>10696.652721697881</v>
      </c>
      <c r="BN188" s="55">
        <v>2.0614646049486005</v>
      </c>
      <c r="BO188" s="47">
        <f t="shared" si="196"/>
        <v>3.5308267610228539</v>
      </c>
      <c r="BP188" s="45">
        <v>10716.163249483832</v>
      </c>
      <c r="BQ188" s="55">
        <v>1.9385586310621741</v>
      </c>
      <c r="BR188" s="54">
        <v>5.3590663337269673</v>
      </c>
      <c r="BS188" s="53">
        <v>46.945376209680369</v>
      </c>
      <c r="BT188" s="54">
        <v>10.72590769795379</v>
      </c>
      <c r="BU188" s="53">
        <v>93.958861621435801</v>
      </c>
      <c r="BV188" s="450">
        <v>22583.258121063012</v>
      </c>
      <c r="BW188" s="347">
        <f t="shared" si="197"/>
        <v>14785.690250027521</v>
      </c>
      <c r="BX188" s="347">
        <f t="shared" si="202"/>
        <v>37368.948371090533</v>
      </c>
      <c r="BY188" s="45">
        <v>10062.658949602299</v>
      </c>
      <c r="BZ188" s="47">
        <v>221.52070126262632</v>
      </c>
      <c r="CA188" s="45">
        <v>12520.599171460713</v>
      </c>
      <c r="CB188" s="55">
        <v>2.2442634927973542</v>
      </c>
      <c r="CC188" s="47">
        <f t="shared" si="171"/>
        <v>3.7136256488716084</v>
      </c>
      <c r="CD188" s="45">
        <v>10700.638569238663</v>
      </c>
      <c r="CE188" s="55">
        <v>2.1104589202726229</v>
      </c>
      <c r="CF188" s="52">
        <v>5.3576377938549022</v>
      </c>
      <c r="CG188" s="53">
        <v>46.932862212362856</v>
      </c>
      <c r="CH188" s="54">
        <v>16.083545491808692</v>
      </c>
      <c r="CI188" s="53">
        <v>140.89172383379866</v>
      </c>
      <c r="CJ188" s="450">
        <v>24623.526642325334</v>
      </c>
      <c r="CK188" s="347">
        <f t="shared" si="198"/>
        <v>14781.748901527084</v>
      </c>
      <c r="CL188" s="347">
        <f t="shared" si="203"/>
        <v>39405.275543852418</v>
      </c>
      <c r="CM188" s="45">
        <v>10059.976596253166</v>
      </c>
      <c r="CN188" s="47">
        <v>221.46165158222769</v>
      </c>
      <c r="CO188" s="45">
        <v>14563.550046072169</v>
      </c>
      <c r="CP188" s="55">
        <v>2.4476723585516447</v>
      </c>
      <c r="CQ188" s="47">
        <f t="shared" si="199"/>
        <v>3.9170345146258985</v>
      </c>
      <c r="CR188" s="45">
        <v>10697.786152809982</v>
      </c>
      <c r="CS188" s="55">
        <v>2.3017404059677791</v>
      </c>
    </row>
    <row r="189" spans="1:97" s="23" customFormat="1" ht="15" customHeight="1">
      <c r="A189" s="377" t="str">
        <f t="shared" si="182"/>
        <v>BNI- Direct Installation; DHW Pipe Insulation; COM-Other; Office</v>
      </c>
      <c r="B189" s="149" t="s">
        <v>128</v>
      </c>
      <c r="C189" s="15" t="s">
        <v>29</v>
      </c>
      <c r="D189" s="15" t="s">
        <v>66</v>
      </c>
      <c r="E189" s="43">
        <v>15</v>
      </c>
      <c r="F189" s="44">
        <v>49.863671206110659</v>
      </c>
      <c r="G189" s="44">
        <v>5.6922053503875372</v>
      </c>
      <c r="H189" s="45">
        <v>2.333333333333333</v>
      </c>
      <c r="I189" s="46">
        <v>0.99857142857142878</v>
      </c>
      <c r="J189" s="45">
        <v>6.2329589007638324</v>
      </c>
      <c r="K189" s="45">
        <v>8.5629589007638316</v>
      </c>
      <c r="L189" s="96">
        <v>3.3333333333329662E-3</v>
      </c>
      <c r="M189" s="45">
        <v>8.5662922340971654</v>
      </c>
      <c r="N189" s="45">
        <v>45.318200829695307</v>
      </c>
      <c r="O189" s="47">
        <v>0.82</v>
      </c>
      <c r="P189" s="47">
        <v>4.5616979617805971</v>
      </c>
      <c r="Q189" s="310">
        <f t="shared" si="183"/>
        <v>4.5616979617805971</v>
      </c>
      <c r="R189" s="311">
        <f t="shared" si="184"/>
        <v>0</v>
      </c>
      <c r="S189" s="311">
        <f t="shared" si="185"/>
        <v>26.684989473466285</v>
      </c>
      <c r="T189" s="310">
        <f t="shared" si="186"/>
        <v>7.2477900806778575</v>
      </c>
      <c r="U189" s="316">
        <f t="shared" si="187"/>
        <v>0.58883603022432041</v>
      </c>
      <c r="V189" s="48">
        <v>0.17172740581753362</v>
      </c>
      <c r="W189" s="49">
        <v>1.5043306370141492</v>
      </c>
      <c r="X189" s="48" t="s">
        <v>191</v>
      </c>
      <c r="Y189" s="48" t="s">
        <v>534</v>
      </c>
      <c r="Z189" s="247">
        <f>(1.35*Z3)/29.3001</f>
        <v>5.8054409370616483E-2</v>
      </c>
      <c r="AA189" s="247"/>
      <c r="AB189" s="386">
        <v>0</v>
      </c>
      <c r="AC189" s="387">
        <f>Z189*F189</f>
        <v>2.8948059809213698</v>
      </c>
      <c r="AD189" s="337">
        <f t="shared" si="235"/>
        <v>2.8948059809213698E-2</v>
      </c>
      <c r="AE189" s="337">
        <f t="shared" si="227"/>
        <v>0</v>
      </c>
      <c r="AF189" s="337">
        <f t="shared" si="236"/>
        <v>0</v>
      </c>
      <c r="AG189" s="337">
        <f t="shared" si="237"/>
        <v>0</v>
      </c>
      <c r="AH189" s="337">
        <f t="shared" si="238"/>
        <v>0</v>
      </c>
      <c r="AI189" s="337">
        <f t="shared" si="239"/>
        <v>2.865857921112156</v>
      </c>
      <c r="AJ189" s="337" t="s">
        <v>40</v>
      </c>
      <c r="AK189" s="337">
        <f t="shared" si="240"/>
        <v>0</v>
      </c>
      <c r="AL189" s="337">
        <f t="shared" si="241"/>
        <v>0</v>
      </c>
      <c r="AM189" s="337">
        <f t="shared" si="242"/>
        <v>0</v>
      </c>
      <c r="AN189" s="337">
        <f t="shared" si="194"/>
        <v>2.8948059809213698</v>
      </c>
      <c r="AO189" s="294" t="s">
        <v>625</v>
      </c>
      <c r="AP189" s="282" t="s">
        <v>387</v>
      </c>
      <c r="AQ189" s="136" t="s">
        <v>191</v>
      </c>
      <c r="AR189" s="294" t="s">
        <v>591</v>
      </c>
      <c r="AS189" s="142"/>
      <c r="AT189" s="142"/>
      <c r="AU189" s="146"/>
      <c r="AV189" s="48"/>
      <c r="AW189" s="131" t="s">
        <v>284</v>
      </c>
      <c r="AX189" s="131"/>
      <c r="AY189" s="131"/>
      <c r="AZ189" s="48"/>
      <c r="BA189" s="48"/>
      <c r="BB189" s="50"/>
      <c r="BC189" s="51" t="s">
        <v>128</v>
      </c>
      <c r="BD189" s="52">
        <v>0.50886019751344136</v>
      </c>
      <c r="BE189" s="53">
        <v>4.457611069312402</v>
      </c>
      <c r="BF189" s="54">
        <v>0.50886019751344136</v>
      </c>
      <c r="BG189" s="53">
        <v>4.457611069312402</v>
      </c>
      <c r="BH189" s="450">
        <v>4051.2643528544763</v>
      </c>
      <c r="BI189" s="347">
        <f t="shared" si="195"/>
        <v>2385.5304189241297</v>
      </c>
      <c r="BJ189" s="347">
        <f t="shared" si="168"/>
        <v>6436.7947717786064</v>
      </c>
      <c r="BK189" s="45">
        <v>888.10447048386345</v>
      </c>
      <c r="BL189" s="47">
        <v>109.01947106275028</v>
      </c>
      <c r="BM189" s="45">
        <v>3163.1598823706126</v>
      </c>
      <c r="BN189" s="55">
        <v>4.5616979617805971</v>
      </c>
      <c r="BO189" s="47">
        <f t="shared" si="196"/>
        <v>7.2477900806778575</v>
      </c>
      <c r="BP189" s="45">
        <v>933.52925009334274</v>
      </c>
      <c r="BQ189" s="55">
        <v>4.3397294219215885</v>
      </c>
      <c r="BR189" s="54">
        <v>0.50153792579061818</v>
      </c>
      <c r="BS189" s="53">
        <v>4.3934680303330023</v>
      </c>
      <c r="BT189" s="54">
        <v>1.0103981233040593</v>
      </c>
      <c r="BU189" s="53">
        <v>8.8510790996454034</v>
      </c>
      <c r="BV189" s="450">
        <v>4219.9184433682567</v>
      </c>
      <c r="BW189" s="347">
        <f t="shared" si="197"/>
        <v>2351.2036981159822</v>
      </c>
      <c r="BX189" s="347">
        <f t="shared" si="202"/>
        <v>6571.1221414842385</v>
      </c>
      <c r="BY189" s="45">
        <v>875.32504249379133</v>
      </c>
      <c r="BZ189" s="47">
        <v>107.45072940423449</v>
      </c>
      <c r="CA189" s="45">
        <v>3344.5934008744653</v>
      </c>
      <c r="CB189" s="55">
        <v>4.820973054016318</v>
      </c>
      <c r="CC189" s="47">
        <f t="shared" si="171"/>
        <v>7.5070651729135776</v>
      </c>
      <c r="CD189" s="45">
        <v>920.09617974555567</v>
      </c>
      <c r="CE189" s="55">
        <v>4.5863883974990935</v>
      </c>
      <c r="CF189" s="52">
        <v>0.49524658268644622</v>
      </c>
      <c r="CG189" s="53">
        <v>4.3383559174205786</v>
      </c>
      <c r="CH189" s="54">
        <v>1.5056447059905056</v>
      </c>
      <c r="CI189" s="53">
        <v>13.189435017065982</v>
      </c>
      <c r="CJ189" s="450">
        <v>4423.7857569047346</v>
      </c>
      <c r="CK189" s="347">
        <f t="shared" si="198"/>
        <v>2321.7099581374409</v>
      </c>
      <c r="CL189" s="347">
        <f t="shared" si="203"/>
        <v>6745.495715042176</v>
      </c>
      <c r="CM189" s="45">
        <v>864.34487551774237</v>
      </c>
      <c r="CN189" s="47">
        <v>106.10285645043959</v>
      </c>
      <c r="CO189" s="45">
        <v>3559.4408813869923</v>
      </c>
      <c r="CP189" s="55">
        <v>5.1180794636572449</v>
      </c>
      <c r="CQ189" s="47">
        <f t="shared" si="199"/>
        <v>7.8041715825545053</v>
      </c>
      <c r="CR189" s="45">
        <v>908.5543990387589</v>
      </c>
      <c r="CS189" s="55">
        <v>4.8690378491205966</v>
      </c>
    </row>
    <row r="190" spans="1:97" s="23" customFormat="1" ht="15" customHeight="1">
      <c r="A190" s="377" t="str">
        <f t="shared" si="182"/>
        <v>BNI- Direct Installation; DHW Pipe Insulation; COM-Other; Retail</v>
      </c>
      <c r="B190" s="149" t="s">
        <v>128</v>
      </c>
      <c r="C190" s="15" t="s">
        <v>29</v>
      </c>
      <c r="D190" s="15" t="s">
        <v>30</v>
      </c>
      <c r="E190" s="43">
        <v>15</v>
      </c>
      <c r="F190" s="44">
        <v>49.863671206110659</v>
      </c>
      <c r="G190" s="44">
        <v>5.6922053503875372</v>
      </c>
      <c r="H190" s="45">
        <v>2.333333333333333</v>
      </c>
      <c r="I190" s="46">
        <v>0.99857142857142878</v>
      </c>
      <c r="J190" s="45">
        <v>6.2329589007638324</v>
      </c>
      <c r="K190" s="45">
        <v>8.5629589007638316</v>
      </c>
      <c r="L190" s="96">
        <v>3.3333333333329662E-3</v>
      </c>
      <c r="M190" s="45">
        <v>8.5662922340971654</v>
      </c>
      <c r="N190" s="45">
        <v>45.318200829695307</v>
      </c>
      <c r="O190" s="47">
        <v>0.82</v>
      </c>
      <c r="P190" s="47">
        <v>4.5616979617805971</v>
      </c>
      <c r="Q190" s="310">
        <f t="shared" si="183"/>
        <v>4.5616979617805971</v>
      </c>
      <c r="R190" s="311">
        <f t="shared" si="184"/>
        <v>0</v>
      </c>
      <c r="S190" s="311">
        <f t="shared" si="185"/>
        <v>26.684989473466285</v>
      </c>
      <c r="T190" s="310">
        <f t="shared" si="186"/>
        <v>7.2477900806778575</v>
      </c>
      <c r="U190" s="316">
        <f t="shared" si="187"/>
        <v>0.58883603022432041</v>
      </c>
      <c r="V190" s="48">
        <v>0.17172740581753362</v>
      </c>
      <c r="W190" s="49">
        <v>1.5043306370141492</v>
      </c>
      <c r="X190" s="48" t="s">
        <v>191</v>
      </c>
      <c r="Y190" s="48" t="s">
        <v>534</v>
      </c>
      <c r="Z190" s="247">
        <f>(1.35*Z3)/29.3001</f>
        <v>5.8054409370616483E-2</v>
      </c>
      <c r="AA190" s="247"/>
      <c r="AB190" s="386">
        <v>0</v>
      </c>
      <c r="AC190" s="387">
        <f>Z190*F190</f>
        <v>2.8948059809213698</v>
      </c>
      <c r="AD190" s="337">
        <f t="shared" si="235"/>
        <v>2.8948059809213698E-2</v>
      </c>
      <c r="AE190" s="337">
        <f t="shared" si="227"/>
        <v>0</v>
      </c>
      <c r="AF190" s="337">
        <f t="shared" si="236"/>
        <v>0</v>
      </c>
      <c r="AG190" s="337">
        <f t="shared" si="237"/>
        <v>0</v>
      </c>
      <c r="AH190" s="337">
        <f t="shared" si="238"/>
        <v>0</v>
      </c>
      <c r="AI190" s="337">
        <f t="shared" si="239"/>
        <v>2.865857921112156</v>
      </c>
      <c r="AJ190" s="337" t="s">
        <v>40</v>
      </c>
      <c r="AK190" s="337">
        <f t="shared" si="240"/>
        <v>0</v>
      </c>
      <c r="AL190" s="337">
        <f t="shared" si="241"/>
        <v>0</v>
      </c>
      <c r="AM190" s="337">
        <f t="shared" si="242"/>
        <v>0</v>
      </c>
      <c r="AN190" s="337">
        <f t="shared" si="194"/>
        <v>2.8948059809213698</v>
      </c>
      <c r="AO190" s="294" t="s">
        <v>625</v>
      </c>
      <c r="AP190" s="282" t="s">
        <v>387</v>
      </c>
      <c r="AQ190" s="136" t="s">
        <v>191</v>
      </c>
      <c r="AR190" s="294" t="s">
        <v>591</v>
      </c>
      <c r="AS190" s="142"/>
      <c r="AT190" s="142"/>
      <c r="AU190" s="146"/>
      <c r="AV190" s="48"/>
      <c r="AW190" s="131" t="s">
        <v>284</v>
      </c>
      <c r="AX190" s="131"/>
      <c r="AY190" s="131"/>
      <c r="AZ190" s="48"/>
      <c r="BA190" s="48"/>
      <c r="BB190" s="50"/>
      <c r="BC190" s="51" t="s">
        <v>128</v>
      </c>
      <c r="BD190" s="52">
        <v>0.98762369262895733</v>
      </c>
      <c r="BE190" s="53">
        <v>8.6515752776316148</v>
      </c>
      <c r="BF190" s="54">
        <v>0.98762369262895733</v>
      </c>
      <c r="BG190" s="53">
        <v>8.6515752776316148</v>
      </c>
      <c r="BH190" s="450">
        <v>7862.915353831565</v>
      </c>
      <c r="BI190" s="347">
        <f t="shared" si="195"/>
        <v>4629.967862940036</v>
      </c>
      <c r="BJ190" s="347">
        <f t="shared" si="168"/>
        <v>12492.883216771601</v>
      </c>
      <c r="BK190" s="45">
        <v>1723.6817123162582</v>
      </c>
      <c r="BL190" s="47">
        <v>211.59094994181606</v>
      </c>
      <c r="BM190" s="45">
        <v>6139.2336415153068</v>
      </c>
      <c r="BN190" s="55">
        <v>4.5616979617805971</v>
      </c>
      <c r="BO190" s="47">
        <f t="shared" si="196"/>
        <v>7.2477900806778575</v>
      </c>
      <c r="BP190" s="45">
        <v>1811.8446081253485</v>
      </c>
      <c r="BQ190" s="55">
        <v>4.3397294219215885</v>
      </c>
      <c r="BR190" s="54">
        <v>0.9734122273332535</v>
      </c>
      <c r="BS190" s="53">
        <v>8.5270829606399623</v>
      </c>
      <c r="BT190" s="54">
        <v>1.9610359199622107</v>
      </c>
      <c r="BU190" s="53">
        <v>17.178658238271577</v>
      </c>
      <c r="BV190" s="450">
        <v>8190.248433652172</v>
      </c>
      <c r="BW190" s="347">
        <f t="shared" si="197"/>
        <v>4563.3446864250545</v>
      </c>
      <c r="BX190" s="347">
        <f t="shared" si="202"/>
        <v>12753.593120077227</v>
      </c>
      <c r="BY190" s="45">
        <v>1698.8786997738841</v>
      </c>
      <c r="BZ190" s="47">
        <v>208.54625036198038</v>
      </c>
      <c r="CA190" s="45">
        <v>6491.3697338782877</v>
      </c>
      <c r="CB190" s="55">
        <v>4.8209730540163171</v>
      </c>
      <c r="CC190" s="47">
        <f t="shared" si="171"/>
        <v>7.5070651729135767</v>
      </c>
      <c r="CD190" s="45">
        <v>1785.7729707580427</v>
      </c>
      <c r="CE190" s="55">
        <v>4.5863883974990918</v>
      </c>
      <c r="CF190" s="52">
        <v>0.96120164466536051</v>
      </c>
      <c r="CG190" s="53">
        <v>8.4201183587136814</v>
      </c>
      <c r="CH190" s="54">
        <v>2.9222375646275713</v>
      </c>
      <c r="CI190" s="53">
        <v>25.59877659698526</v>
      </c>
      <c r="CJ190" s="450">
        <v>8585.9252619541585</v>
      </c>
      <c r="CK190" s="347">
        <f t="shared" si="198"/>
        <v>4506.1016233413548</v>
      </c>
      <c r="CL190" s="347">
        <f t="shared" si="203"/>
        <v>13092.026885295512</v>
      </c>
      <c r="CM190" s="45">
        <v>1677.5677913798709</v>
      </c>
      <c r="CN190" s="47">
        <v>205.9302248399872</v>
      </c>
      <c r="CO190" s="45">
        <v>6908.3574705742876</v>
      </c>
      <c r="CP190" s="55">
        <v>5.1180794636572449</v>
      </c>
      <c r="CQ190" s="47">
        <f t="shared" si="199"/>
        <v>7.8041715825545053</v>
      </c>
      <c r="CR190" s="45">
        <v>1763.3720517298657</v>
      </c>
      <c r="CS190" s="55">
        <v>4.8690378491205966</v>
      </c>
    </row>
    <row r="191" spans="1:97" s="23" customFormat="1" ht="15" customHeight="1" thickBot="1">
      <c r="A191" s="377" t="str">
        <f t="shared" si="182"/>
        <v>BNI- Direct Installation; Low Flow Showerheads; COM-Other; Other Commercial</v>
      </c>
      <c r="B191" s="150" t="s">
        <v>129</v>
      </c>
      <c r="C191" s="16" t="s">
        <v>29</v>
      </c>
      <c r="D191" s="16" t="s">
        <v>56</v>
      </c>
      <c r="E191" s="63">
        <v>10</v>
      </c>
      <c r="F191" s="64">
        <v>421.863</v>
      </c>
      <c r="G191" s="64">
        <v>48.157922745091845</v>
      </c>
      <c r="H191" s="65">
        <v>7</v>
      </c>
      <c r="I191" s="66">
        <v>1</v>
      </c>
      <c r="J191" s="65">
        <v>52.732875</v>
      </c>
      <c r="K191" s="65">
        <v>59.732875</v>
      </c>
      <c r="L191" s="65">
        <v>0</v>
      </c>
      <c r="M191" s="65">
        <v>59.732875</v>
      </c>
      <c r="N191" s="65">
        <v>268.19254344789164</v>
      </c>
      <c r="O191" s="67">
        <v>0.82</v>
      </c>
      <c r="P191" s="67">
        <v>3.7610239897947744</v>
      </c>
      <c r="Q191" s="312">
        <f t="shared" si="183"/>
        <v>3.7610239897947744</v>
      </c>
      <c r="R191" s="313">
        <f t="shared" si="184"/>
        <v>0</v>
      </c>
      <c r="S191" s="313">
        <f t="shared" si="185"/>
        <v>534.34464349843097</v>
      </c>
      <c r="T191" s="312">
        <f t="shared" si="186"/>
        <v>11.254457614680046</v>
      </c>
      <c r="U191" s="317">
        <f t="shared" si="187"/>
        <v>1.9923918712611461</v>
      </c>
      <c r="V191" s="68">
        <v>0.14159306457309601</v>
      </c>
      <c r="W191" s="68">
        <v>1.2403540600406784</v>
      </c>
      <c r="X191" s="68" t="s">
        <v>190</v>
      </c>
      <c r="Y191" s="68" t="s">
        <v>533</v>
      </c>
      <c r="Z191" s="249" t="s">
        <v>190</v>
      </c>
      <c r="AA191" s="258">
        <f>7300/264.172</f>
        <v>27.633511500083277</v>
      </c>
      <c r="AB191" s="391">
        <v>0</v>
      </c>
      <c r="AC191" s="392">
        <f>(AA191*AC3)</f>
        <v>75.411852883727263</v>
      </c>
      <c r="AD191" s="338">
        <f t="shared" si="235"/>
        <v>0.75411852883727271</v>
      </c>
      <c r="AE191" s="338">
        <f t="shared" si="227"/>
        <v>0</v>
      </c>
      <c r="AF191" s="338">
        <f t="shared" si="236"/>
        <v>0</v>
      </c>
      <c r="AG191" s="338">
        <f t="shared" si="237"/>
        <v>0</v>
      </c>
      <c r="AH191" s="338">
        <f t="shared" si="238"/>
        <v>0</v>
      </c>
      <c r="AI191" s="338">
        <f t="shared" si="239"/>
        <v>74.657734354889996</v>
      </c>
      <c r="AJ191" s="338" t="s">
        <v>40</v>
      </c>
      <c r="AK191" s="338">
        <f t="shared" si="240"/>
        <v>0</v>
      </c>
      <c r="AL191" s="338">
        <f t="shared" si="241"/>
        <v>0</v>
      </c>
      <c r="AM191" s="338">
        <f t="shared" si="242"/>
        <v>0</v>
      </c>
      <c r="AN191" s="338">
        <f t="shared" si="194"/>
        <v>75.411852883727263</v>
      </c>
      <c r="AO191" s="324" t="s">
        <v>626</v>
      </c>
      <c r="AP191" s="296" t="s">
        <v>374</v>
      </c>
      <c r="AQ191" s="137" t="s">
        <v>190</v>
      </c>
      <c r="AR191" s="324" t="s">
        <v>588</v>
      </c>
      <c r="AS191" s="143"/>
      <c r="AT191" s="143"/>
      <c r="AU191" s="147"/>
      <c r="AV191" s="68"/>
      <c r="AW191" s="132" t="s">
        <v>284</v>
      </c>
      <c r="AX191" s="132"/>
      <c r="AY191" s="132"/>
      <c r="AZ191" s="68"/>
      <c r="BA191" s="48"/>
      <c r="BB191" s="50"/>
      <c r="BC191" s="51" t="s">
        <v>129</v>
      </c>
      <c r="BD191" s="52">
        <v>5.7734566636060336</v>
      </c>
      <c r="BE191" s="53">
        <v>50.575432029552488</v>
      </c>
      <c r="BF191" s="54">
        <v>5.7734566636060336</v>
      </c>
      <c r="BG191" s="53">
        <v>50.575432029552488</v>
      </c>
      <c r="BH191" s="450">
        <v>32152.508639017047</v>
      </c>
      <c r="BI191" s="347">
        <f t="shared" si="195"/>
        <v>64060.396853031321</v>
      </c>
      <c r="BJ191" s="347">
        <f t="shared" si="168"/>
        <v>96212.905492048361</v>
      </c>
      <c r="BK191" s="45">
        <v>8548.8709261786662</v>
      </c>
      <c r="BL191" s="47">
        <v>146.20233614609626</v>
      </c>
      <c r="BM191" s="45">
        <v>23603.637712838383</v>
      </c>
      <c r="BN191" s="55">
        <v>3.7610239897947757</v>
      </c>
      <c r="BO191" s="47">
        <f t="shared" si="196"/>
        <v>11.254457614680048</v>
      </c>
      <c r="BP191" s="45">
        <v>8733.0858697227486</v>
      </c>
      <c r="BQ191" s="55">
        <v>3.6816892812755317</v>
      </c>
      <c r="BR191" s="54">
        <v>5.6192357591815281</v>
      </c>
      <c r="BS191" s="53">
        <v>49.224458198151794</v>
      </c>
      <c r="BT191" s="54">
        <v>11.392692422787562</v>
      </c>
      <c r="BU191" s="53">
        <v>99.799890227704282</v>
      </c>
      <c r="BV191" s="450">
        <v>33330.357883036071</v>
      </c>
      <c r="BW191" s="347">
        <f t="shared" si="197"/>
        <v>62349.211870429113</v>
      </c>
      <c r="BX191" s="347">
        <f t="shared" si="202"/>
        <v>95679.569753465184</v>
      </c>
      <c r="BY191" s="45">
        <v>8320.512997322201</v>
      </c>
      <c r="BZ191" s="47">
        <v>142.29697098564421</v>
      </c>
      <c r="CA191" s="45">
        <v>25009.844885713872</v>
      </c>
      <c r="CB191" s="55">
        <v>4.0058056388786136</v>
      </c>
      <c r="CC191" s="47">
        <f t="shared" si="171"/>
        <v>11.499239263763885</v>
      </c>
      <c r="CD191" s="45">
        <v>8499.8071807641118</v>
      </c>
      <c r="CE191" s="55">
        <v>3.9213075278302671</v>
      </c>
      <c r="CF191" s="52">
        <v>5.4778758591068328</v>
      </c>
      <c r="CG191" s="53">
        <v>47.986146657164724</v>
      </c>
      <c r="CH191" s="54">
        <v>16.870568281894396</v>
      </c>
      <c r="CI191" s="53">
        <v>147.78603688486902</v>
      </c>
      <c r="CJ191" s="450">
        <v>34770.791708386401</v>
      </c>
      <c r="CK191" s="347">
        <f t="shared" si="198"/>
        <v>60780.728408004754</v>
      </c>
      <c r="CL191" s="347">
        <f t="shared" si="203"/>
        <v>95551.520116391155</v>
      </c>
      <c r="CM191" s="45">
        <v>8111.1986107617431</v>
      </c>
      <c r="CN191" s="47">
        <v>138.71728747323857</v>
      </c>
      <c r="CO191" s="45">
        <v>26659.59309762466</v>
      </c>
      <c r="CP191" s="55">
        <v>4.2867636926376518</v>
      </c>
      <c r="CQ191" s="47">
        <f t="shared" si="199"/>
        <v>11.780197317522925</v>
      </c>
      <c r="CR191" s="45">
        <v>8285.982392978025</v>
      </c>
      <c r="CS191" s="55">
        <v>4.1963390771688083</v>
      </c>
    </row>
    <row r="192" spans="1:97" s="23" customFormat="1" ht="15" customHeight="1" thickBot="1">
      <c r="A192" s="377"/>
      <c r="B192" s="70"/>
      <c r="C192" s="15"/>
      <c r="D192" s="15"/>
      <c r="E192" s="15"/>
      <c r="F192" s="70"/>
      <c r="G192" s="70"/>
      <c r="H192" s="48"/>
      <c r="I192" s="46"/>
      <c r="J192" s="45"/>
      <c r="K192" s="45"/>
      <c r="L192" s="45"/>
      <c r="M192" s="45"/>
      <c r="N192" s="45"/>
      <c r="O192" s="47"/>
      <c r="P192" s="71"/>
      <c r="Q192"/>
      <c r="R192"/>
      <c r="S192"/>
      <c r="T192"/>
      <c r="U192"/>
      <c r="V192" s="48"/>
      <c r="W192" s="48"/>
      <c r="X192" s="48"/>
      <c r="Y192" s="48" t="s">
        <v>515</v>
      </c>
      <c r="Z192" s="48"/>
      <c r="AA192" s="48"/>
      <c r="AB192" s="48"/>
      <c r="AC192" s="325"/>
      <c r="AD192" s="325"/>
      <c r="AE192" s="325"/>
      <c r="AF192" s="325"/>
      <c r="AG192" s="325"/>
      <c r="AH192" s="325"/>
      <c r="AI192" s="325"/>
      <c r="AJ192" s="325"/>
      <c r="AK192" s="325"/>
      <c r="AL192" s="325"/>
      <c r="AM192" s="325"/>
      <c r="AN192" s="325"/>
      <c r="AO192" s="325"/>
      <c r="AP192" s="48"/>
      <c r="AQ192" s="48"/>
      <c r="AR192" s="325"/>
      <c r="AS192" s="48"/>
      <c r="AT192" s="48"/>
      <c r="AU192" s="48"/>
      <c r="AV192" s="48"/>
      <c r="AW192" s="48"/>
      <c r="AX192" s="48"/>
      <c r="AY192" s="48"/>
      <c r="AZ192" s="48"/>
      <c r="BA192" s="48"/>
      <c r="BB192" s="50"/>
      <c r="BC192" s="72" t="s">
        <v>103</v>
      </c>
      <c r="BD192" s="73">
        <v>1266.5790094350507</v>
      </c>
      <c r="BE192" s="74">
        <v>9491.0288535703785</v>
      </c>
      <c r="BF192" s="75">
        <v>1266.5790094350507</v>
      </c>
      <c r="BG192" s="74">
        <v>9491.0288535703785</v>
      </c>
      <c r="BH192" s="428">
        <v>7308882.8865025658</v>
      </c>
      <c r="BI192" s="348">
        <f>SUM(BI151:BI191)</f>
        <v>8058287.2913130261</v>
      </c>
      <c r="BJ192" s="430">
        <f t="shared" si="168"/>
        <v>15367170.177815592</v>
      </c>
      <c r="BK192" s="76">
        <v>7342146.576943364</v>
      </c>
      <c r="BL192" s="77"/>
      <c r="BM192" s="76">
        <v>-33263.690440795966</v>
      </c>
      <c r="BN192" s="78">
        <v>0.99546948701007187</v>
      </c>
      <c r="BO192" s="77"/>
      <c r="BP192" s="76">
        <v>4154284.655473514</v>
      </c>
      <c r="BQ192" s="78">
        <v>1.7593601528659533</v>
      </c>
      <c r="BR192" s="75">
        <v>1213.9143061628063</v>
      </c>
      <c r="BS192" s="74">
        <v>9032.2815408519709</v>
      </c>
      <c r="BT192" s="75">
        <v>2480.4933155978574</v>
      </c>
      <c r="BU192" s="74">
        <v>18523.310394422348</v>
      </c>
      <c r="BV192" s="428">
        <v>7514150.8871704116</v>
      </c>
      <c r="BW192" s="348">
        <f>SUM(BW151:BW191)</f>
        <v>7791855.1720065568</v>
      </c>
      <c r="BX192" s="430">
        <f t="shared" si="202"/>
        <v>15306006.059176968</v>
      </c>
      <c r="BY192" s="76">
        <v>6976154.4700852605</v>
      </c>
      <c r="BZ192" s="77"/>
      <c r="CA192" s="76">
        <v>537996.41708515317</v>
      </c>
      <c r="CB192" s="78">
        <v>1.0771193383678868</v>
      </c>
      <c r="CC192" s="77"/>
      <c r="CD192" s="76">
        <v>3973493.02954697</v>
      </c>
      <c r="CE192" s="78">
        <v>1.8910693516498058</v>
      </c>
      <c r="CF192" s="75">
        <v>1170.0003841379346</v>
      </c>
      <c r="CG192" s="74">
        <v>8637.6413565779803</v>
      </c>
      <c r="CH192" s="75">
        <v>3546.2176747488293</v>
      </c>
      <c r="CI192" s="74">
        <v>26329.528439173151</v>
      </c>
      <c r="CJ192" s="428">
        <v>7682787.8571416168</v>
      </c>
      <c r="CK192" s="348">
        <f>SUM(CK151:CK191)</f>
        <v>7873709.3571825735</v>
      </c>
      <c r="CL192" s="430">
        <f t="shared" si="203"/>
        <v>15556497.214324191</v>
      </c>
      <c r="CM192" s="76">
        <v>7007954.0264810547</v>
      </c>
      <c r="CN192" s="77"/>
      <c r="CO192" s="76">
        <v>674833.8306605625</v>
      </c>
      <c r="CP192" s="78">
        <v>1.0962954134845289</v>
      </c>
      <c r="CQ192" s="77"/>
      <c r="CR192" s="76">
        <v>3933442.1788449716</v>
      </c>
      <c r="CS192" s="78">
        <v>1.9531971001026929</v>
      </c>
    </row>
    <row r="193" spans="1:97" s="23" customFormat="1" ht="15" customHeight="1" thickBot="1">
      <c r="A193" s="377"/>
      <c r="B193"/>
      <c r="C193" s="15"/>
      <c r="D193" s="15"/>
      <c r="E193" s="15"/>
      <c r="F193" s="70"/>
      <c r="G193" s="70"/>
      <c r="H193" s="48"/>
      <c r="I193" s="46"/>
      <c r="J193" s="45"/>
      <c r="K193" s="45"/>
      <c r="L193" s="45"/>
      <c r="M193" s="45"/>
      <c r="N193" s="45"/>
      <c r="O193" s="47"/>
      <c r="P193" s="71"/>
      <c r="Q193"/>
      <c r="R193"/>
      <c r="S193"/>
      <c r="T193"/>
      <c r="U193"/>
      <c r="V193" s="48"/>
      <c r="W193" s="48"/>
      <c r="X193" s="48"/>
      <c r="Y193" s="48" t="s">
        <v>515</v>
      </c>
      <c r="Z193" s="48"/>
      <c r="AA193" s="48"/>
      <c r="AB193" s="48"/>
      <c r="AC193" s="325"/>
      <c r="AD193" s="325"/>
      <c r="AE193" s="325"/>
      <c r="AF193" s="325"/>
      <c r="AG193" s="325"/>
      <c r="AH193" s="325"/>
      <c r="AI193" s="325"/>
      <c r="AJ193" s="325"/>
      <c r="AK193" s="325"/>
      <c r="AL193" s="325"/>
      <c r="AM193" s="325"/>
      <c r="AN193" s="325"/>
      <c r="AO193" s="325"/>
      <c r="AP193" s="48"/>
      <c r="AQ193" s="48"/>
      <c r="AR193" s="325"/>
      <c r="AS193" s="48"/>
      <c r="AT193" s="48"/>
      <c r="AU193" s="48"/>
      <c r="AV193" s="48"/>
      <c r="AW193" s="48"/>
      <c r="AX193" s="48"/>
      <c r="AY193" s="48"/>
      <c r="AZ193" s="48"/>
      <c r="BA193" s="48"/>
      <c r="BB193" s="50"/>
      <c r="BC193" s="80" t="s">
        <v>104</v>
      </c>
      <c r="BD193" s="439">
        <v>1266.5790094350507</v>
      </c>
      <c r="BE193" s="81">
        <v>9491.0288535703785</v>
      </c>
      <c r="BF193" s="82">
        <v>1266.5790094350507</v>
      </c>
      <c r="BG193" s="81">
        <v>9491.0288535703785</v>
      </c>
      <c r="BH193" s="451">
        <v>7308882.8865025658</v>
      </c>
      <c r="BI193" s="429">
        <f>SUM(BH192:BI192)/BK192</f>
        <v>2.0930078168247568</v>
      </c>
      <c r="BJ193" s="347"/>
      <c r="BK193" s="83"/>
      <c r="BL193" s="84"/>
      <c r="BM193" s="83"/>
      <c r="BN193" s="429">
        <v>0.99546948701007221</v>
      </c>
      <c r="BO193" s="84"/>
      <c r="BP193" s="83"/>
      <c r="BQ193" s="440">
        <v>1.7593601528659524</v>
      </c>
      <c r="BR193" s="81">
        <v>1213.9143061628063</v>
      </c>
      <c r="BS193" s="81">
        <v>9032.2815408519709</v>
      </c>
      <c r="BT193" s="82">
        <v>2480.4933155978574</v>
      </c>
      <c r="BU193" s="81">
        <v>18523.310394422348</v>
      </c>
      <c r="BV193" s="451">
        <v>7514150.8871704116</v>
      </c>
      <c r="BW193" s="429">
        <f>SUM(BV192:BW192)/BY192</f>
        <v>2.194046322341527</v>
      </c>
      <c r="BX193" s="347"/>
      <c r="BY193" s="83"/>
      <c r="BZ193" s="84"/>
      <c r="CA193" s="83"/>
      <c r="CB193" s="429">
        <v>1.0771193383678865</v>
      </c>
      <c r="CC193" s="84"/>
      <c r="CD193" s="83"/>
      <c r="CE193" s="84">
        <v>1.8910693516498061</v>
      </c>
      <c r="CF193" s="81">
        <v>1170.0003841379346</v>
      </c>
      <c r="CG193" s="81">
        <v>8637.6413565779803</v>
      </c>
      <c r="CH193" s="82">
        <v>3546.2176747488293</v>
      </c>
      <c r="CI193" s="81">
        <v>26329.528439173151</v>
      </c>
      <c r="CJ193" s="451">
        <v>7682787.8571416168</v>
      </c>
      <c r="CK193" s="429">
        <f>SUM(CJ192:CK192)/CM192</f>
        <v>2.2198343704226136</v>
      </c>
      <c r="CL193" s="347"/>
      <c r="CM193" s="83"/>
      <c r="CN193" s="84"/>
      <c r="CO193" s="83"/>
      <c r="CP193" s="429">
        <v>1.0962954134845286</v>
      </c>
      <c r="CQ193" s="84"/>
      <c r="CR193" s="83"/>
      <c r="CS193" s="84">
        <v>1.953197100102692</v>
      </c>
    </row>
    <row r="194" spans="1:97" s="23" customFormat="1" ht="15" customHeight="1" thickBot="1">
      <c r="A194" s="377"/>
      <c r="B194" s="85"/>
      <c r="C194" s="85"/>
      <c r="D194" s="85"/>
      <c r="E194" s="22"/>
      <c r="F194" s="86"/>
      <c r="G194" s="86"/>
      <c r="H194" s="22"/>
      <c r="I194" s="22"/>
      <c r="J194" s="22"/>
      <c r="K194" s="22"/>
      <c r="L194" s="22"/>
      <c r="M194" s="22"/>
      <c r="N194" s="22"/>
      <c r="O194" s="22"/>
      <c r="P194" s="22"/>
      <c r="Q194"/>
      <c r="R194"/>
      <c r="S194"/>
      <c r="T194"/>
      <c r="U194"/>
      <c r="V194" s="22"/>
      <c r="W194" s="22"/>
      <c r="X194" s="22"/>
      <c r="Y194" s="22" t="s">
        <v>515</v>
      </c>
      <c r="Z194" s="22"/>
      <c r="AA194" s="22"/>
      <c r="AB194" s="22"/>
      <c r="AC194" s="326"/>
      <c r="AD194" s="326"/>
      <c r="AE194" s="326"/>
      <c r="AF194" s="326"/>
      <c r="AG194" s="326"/>
      <c r="AH194" s="326"/>
      <c r="AI194" s="326"/>
      <c r="AJ194" s="326"/>
      <c r="AK194" s="326"/>
      <c r="AL194" s="326"/>
      <c r="AM194" s="326"/>
      <c r="AN194" s="326"/>
      <c r="AO194" s="326"/>
      <c r="AP194" s="22"/>
      <c r="AQ194" s="22"/>
      <c r="AR194" s="326"/>
      <c r="AS194" s="22"/>
      <c r="AT194" s="22"/>
      <c r="AU194" s="22"/>
      <c r="AV194" s="22"/>
      <c r="AW194" s="22"/>
      <c r="AX194" s="22"/>
      <c r="AY194" s="22"/>
      <c r="AZ194" s="22"/>
      <c r="BA194" s="22"/>
      <c r="BB194" s="22"/>
      <c r="BD194" s="441"/>
      <c r="BE194" s="442"/>
      <c r="BF194" s="442"/>
      <c r="BG194" s="442"/>
      <c r="BH194" s="441"/>
      <c r="BI194" s="469" t="s">
        <v>461</v>
      </c>
      <c r="BJ194" s="468"/>
      <c r="BK194" s="442"/>
      <c r="BL194" s="443"/>
      <c r="BM194" s="442"/>
      <c r="BN194" s="470" t="s">
        <v>508</v>
      </c>
      <c r="BO194" s="442"/>
      <c r="BP194" s="442"/>
      <c r="BQ194" s="444"/>
      <c r="BV194" s="441"/>
      <c r="BW194" s="469" t="s">
        <v>461</v>
      </c>
      <c r="BX194" s="468"/>
      <c r="BY194" s="442"/>
      <c r="BZ194" s="443"/>
      <c r="CA194" s="442"/>
      <c r="CB194" s="470" t="s">
        <v>508</v>
      </c>
      <c r="CJ194" s="441"/>
      <c r="CK194" s="469" t="s">
        <v>461</v>
      </c>
      <c r="CL194" s="468"/>
      <c r="CM194" s="442"/>
      <c r="CN194" s="443"/>
      <c r="CO194" s="442"/>
      <c r="CP194" s="470" t="s">
        <v>508</v>
      </c>
    </row>
    <row r="195" spans="1:97" s="23" customFormat="1" ht="15" customHeight="1" thickBot="1">
      <c r="A195" s="377"/>
      <c r="B195" s="87"/>
      <c r="C195" s="87"/>
      <c r="D195" s="87"/>
      <c r="E195" s="22"/>
      <c r="F195" s="86"/>
      <c r="G195" s="86"/>
      <c r="H195" s="22"/>
      <c r="I195" s="22"/>
      <c r="J195" s="22"/>
      <c r="K195" s="22"/>
      <c r="L195" s="22"/>
      <c r="M195" s="22"/>
      <c r="N195" s="22"/>
      <c r="O195" s="22"/>
      <c r="P195" s="22"/>
      <c r="Q195"/>
      <c r="R195"/>
      <c r="S195"/>
      <c r="T195"/>
      <c r="U195"/>
      <c r="V195" s="22"/>
      <c r="W195" s="22"/>
      <c r="X195" s="22"/>
      <c r="Y195" s="22" t="s">
        <v>515</v>
      </c>
      <c r="Z195" s="22"/>
      <c r="AA195" s="22"/>
      <c r="AB195" s="22"/>
      <c r="AC195" s="326"/>
      <c r="AD195" s="326"/>
      <c r="AE195" s="326"/>
      <c r="AF195" s="326"/>
      <c r="AG195" s="326"/>
      <c r="AH195" s="326"/>
      <c r="AI195" s="326"/>
      <c r="AJ195" s="326"/>
      <c r="AK195" s="326"/>
      <c r="AL195" s="326"/>
      <c r="AM195" s="326"/>
      <c r="AN195" s="326"/>
      <c r="AO195" s="326"/>
      <c r="AP195" s="22"/>
      <c r="AQ195" s="22"/>
      <c r="AR195" s="326"/>
      <c r="AS195" s="22"/>
      <c r="AT195" s="22"/>
      <c r="AU195" s="22"/>
      <c r="AV195" s="22"/>
      <c r="AW195" s="22"/>
      <c r="AX195" s="22"/>
      <c r="AY195" s="22"/>
      <c r="AZ195" s="22"/>
      <c r="BA195" s="22"/>
      <c r="BB195" s="22"/>
      <c r="BC195" s="87" t="s">
        <v>130</v>
      </c>
      <c r="BD195" s="445"/>
      <c r="BE195" s="22"/>
      <c r="BF195" s="88"/>
      <c r="BG195" s="22"/>
      <c r="BH195" s="452"/>
      <c r="BI195" s="349"/>
      <c r="BJ195" s="426"/>
      <c r="BK195" s="22"/>
      <c r="BL195" s="379"/>
      <c r="BM195" s="22"/>
      <c r="BN195" s="446"/>
      <c r="BO195" s="22"/>
      <c r="BP195" s="22"/>
      <c r="BQ195" s="446"/>
      <c r="BR195" s="88"/>
      <c r="BS195" s="22"/>
      <c r="BT195" s="88"/>
      <c r="BU195" s="22"/>
      <c r="BV195" s="452"/>
      <c r="BW195" s="349"/>
      <c r="BX195" s="349"/>
      <c r="BY195" s="22"/>
      <c r="BZ195" s="379"/>
      <c r="CA195" s="22"/>
      <c r="CB195" s="446"/>
      <c r="CC195" s="22"/>
      <c r="CD195" s="22"/>
      <c r="CE195" s="22"/>
      <c r="CF195" s="88"/>
      <c r="CG195" s="22"/>
      <c r="CH195" s="88"/>
      <c r="CI195" s="22"/>
      <c r="CJ195" s="452"/>
      <c r="CK195" s="349"/>
      <c r="CL195" s="349"/>
      <c r="CM195" s="22"/>
      <c r="CN195" s="379"/>
      <c r="CO195" s="22"/>
      <c r="CP195" s="446"/>
      <c r="CQ195" s="22"/>
      <c r="CR195" s="22"/>
      <c r="CS195" s="22"/>
    </row>
    <row r="196" spans="1:97" s="23" customFormat="1" ht="15" customHeight="1" thickBot="1">
      <c r="A196" s="377"/>
      <c r="B196" s="87" t="s">
        <v>492</v>
      </c>
      <c r="C196" s="87"/>
      <c r="D196" s="87"/>
      <c r="E196" s="22"/>
      <c r="F196" s="86"/>
      <c r="G196" s="86"/>
      <c r="H196" s="22"/>
      <c r="I196" s="22"/>
      <c r="J196" s="22"/>
      <c r="K196" s="22"/>
      <c r="L196" s="22"/>
      <c r="M196" s="22"/>
      <c r="N196" s="22"/>
      <c r="O196" s="22"/>
      <c r="P196" s="22"/>
      <c r="Q196"/>
      <c r="R196"/>
      <c r="S196"/>
      <c r="T196"/>
      <c r="U196"/>
      <c r="V196" s="22"/>
      <c r="W196" s="22"/>
      <c r="X196" s="22"/>
      <c r="Y196" s="22" t="s">
        <v>515</v>
      </c>
      <c r="Z196" s="22"/>
      <c r="AA196" s="22"/>
      <c r="AB196" s="22"/>
      <c r="AC196" s="326"/>
      <c r="AD196" s="326"/>
      <c r="AE196" s="326"/>
      <c r="AF196" s="326"/>
      <c r="AG196" s="326"/>
      <c r="AH196" s="326"/>
      <c r="AI196" s="326"/>
      <c r="AJ196" s="326"/>
      <c r="AK196" s="326"/>
      <c r="AL196" s="326"/>
      <c r="AM196" s="326"/>
      <c r="AN196" s="326"/>
      <c r="AO196" s="326"/>
      <c r="AP196" s="22"/>
      <c r="AQ196" s="22"/>
      <c r="AR196" s="326"/>
      <c r="AS196" s="22"/>
      <c r="AT196" s="22"/>
      <c r="AU196" s="22"/>
      <c r="AV196" s="22"/>
      <c r="AW196" s="22"/>
      <c r="AX196" s="22"/>
      <c r="AY196" s="22"/>
      <c r="AZ196" s="22"/>
      <c r="BA196" s="22"/>
      <c r="BB196" s="22"/>
      <c r="BC196" s="434" t="s">
        <v>0</v>
      </c>
      <c r="BD196" s="5" t="s">
        <v>106</v>
      </c>
      <c r="BE196" s="6"/>
      <c r="BF196" s="7"/>
      <c r="BG196" s="6"/>
      <c r="BH196" s="453"/>
      <c r="BI196" s="350"/>
      <c r="BJ196" s="427"/>
      <c r="BK196" s="6"/>
      <c r="BL196" s="380"/>
      <c r="BM196" s="6"/>
      <c r="BN196" s="8"/>
      <c r="BO196" s="6"/>
      <c r="BP196" s="6"/>
      <c r="BQ196" s="8"/>
      <c r="BR196" s="7" t="s">
        <v>107</v>
      </c>
      <c r="BS196" s="6"/>
      <c r="BT196" s="7"/>
      <c r="BU196" s="6"/>
      <c r="BV196" s="453"/>
      <c r="BW196" s="350"/>
      <c r="BX196" s="350"/>
      <c r="BY196" s="6"/>
      <c r="BZ196" s="380"/>
      <c r="CA196" s="6"/>
      <c r="CB196" s="8"/>
      <c r="CC196" s="6"/>
      <c r="CD196" s="6"/>
      <c r="CE196" s="8"/>
      <c r="CF196" s="5" t="s">
        <v>108</v>
      </c>
      <c r="CG196" s="6"/>
      <c r="CH196" s="7"/>
      <c r="CI196" s="6"/>
      <c r="CJ196" s="453"/>
      <c r="CK196" s="350"/>
      <c r="CL196" s="350"/>
      <c r="CM196" s="6"/>
      <c r="CN196" s="380"/>
      <c r="CO196" s="6"/>
      <c r="CP196" s="8"/>
      <c r="CQ196" s="6"/>
      <c r="CR196" s="6"/>
      <c r="CS196" s="8"/>
    </row>
    <row r="197" spans="1:97" s="23" customFormat="1" ht="15" customHeight="1" thickBot="1">
      <c r="A197" s="377"/>
      <c r="B197" s="87"/>
      <c r="C197" s="87"/>
      <c r="D197" s="87"/>
      <c r="E197" s="22"/>
      <c r="F197" s="86"/>
      <c r="G197" s="86"/>
      <c r="H197" s="22"/>
      <c r="I197" s="22"/>
      <c r="J197" s="22"/>
      <c r="K197" s="22"/>
      <c r="L197" s="22"/>
      <c r="M197" s="22"/>
      <c r="N197" s="22"/>
      <c r="O197" s="22"/>
      <c r="P197" s="22"/>
      <c r="Q197"/>
      <c r="R197"/>
      <c r="S197"/>
      <c r="T197"/>
      <c r="U197"/>
      <c r="V197" s="22"/>
      <c r="W197" s="22"/>
      <c r="X197" s="22"/>
      <c r="Y197" s="22" t="s">
        <v>515</v>
      </c>
      <c r="Z197" s="22"/>
      <c r="AA197" s="22"/>
      <c r="AB197" s="22"/>
      <c r="AC197" s="326"/>
      <c r="AD197" s="326"/>
      <c r="AE197" s="326"/>
      <c r="AF197" s="326"/>
      <c r="AG197" s="326"/>
      <c r="AH197" s="326"/>
      <c r="AI197" s="326"/>
      <c r="AJ197" s="326"/>
      <c r="AK197" s="326"/>
      <c r="AL197" s="326"/>
      <c r="AM197" s="326"/>
      <c r="AN197" s="326"/>
      <c r="AO197" s="326"/>
      <c r="AP197" s="22"/>
      <c r="AQ197" s="22"/>
      <c r="AR197" s="326"/>
      <c r="AS197" s="22"/>
      <c r="AT197" s="22"/>
      <c r="AU197" s="22"/>
      <c r="AV197" s="22"/>
      <c r="AW197" s="22"/>
      <c r="AX197" s="22"/>
      <c r="AY197" s="22"/>
      <c r="AZ197" s="22"/>
      <c r="BA197" s="22"/>
      <c r="BB197" s="22"/>
      <c r="BC197" s="435"/>
      <c r="BD197" s="9"/>
      <c r="BE197" s="10"/>
      <c r="BF197" s="11"/>
      <c r="BG197" s="10"/>
      <c r="BH197" s="454" t="s">
        <v>109</v>
      </c>
      <c r="BI197" s="351"/>
      <c r="BJ197" s="427"/>
      <c r="BK197" s="10" t="s">
        <v>110</v>
      </c>
      <c r="BL197" s="381"/>
      <c r="BM197" s="10" t="s">
        <v>111</v>
      </c>
      <c r="BN197" s="12" t="s">
        <v>112</v>
      </c>
      <c r="BO197" s="10"/>
      <c r="BP197" s="10" t="s">
        <v>113</v>
      </c>
      <c r="BQ197" s="12" t="s">
        <v>114</v>
      </c>
      <c r="BR197" s="11"/>
      <c r="BS197" s="10"/>
      <c r="BT197" s="11"/>
      <c r="BU197" s="10"/>
      <c r="BV197" s="454" t="s">
        <v>109</v>
      </c>
      <c r="BW197" s="351"/>
      <c r="BX197" s="351"/>
      <c r="BY197" s="10" t="s">
        <v>110</v>
      </c>
      <c r="BZ197" s="381"/>
      <c r="CA197" s="10" t="s">
        <v>111</v>
      </c>
      <c r="CB197" s="12" t="s">
        <v>112</v>
      </c>
      <c r="CC197" s="10"/>
      <c r="CD197" s="10" t="s">
        <v>113</v>
      </c>
      <c r="CE197" s="12" t="s">
        <v>114</v>
      </c>
      <c r="CF197" s="9"/>
      <c r="CG197" s="10"/>
      <c r="CH197" s="11"/>
      <c r="CI197" s="10"/>
      <c r="CJ197" s="454" t="s">
        <v>109</v>
      </c>
      <c r="CK197" s="351"/>
      <c r="CL197" s="351"/>
      <c r="CM197" s="10" t="s">
        <v>110</v>
      </c>
      <c r="CN197" s="381"/>
      <c r="CO197" s="10" t="s">
        <v>111</v>
      </c>
      <c r="CP197" s="12" t="s">
        <v>112</v>
      </c>
      <c r="CQ197" s="10"/>
      <c r="CR197" s="10" t="s">
        <v>113</v>
      </c>
      <c r="CS197" s="12" t="s">
        <v>114</v>
      </c>
    </row>
    <row r="198" spans="1:97" s="23" customFormat="1" ht="15" customHeight="1" thickBot="1">
      <c r="A198" s="377"/>
      <c r="B198" s="97" t="s">
        <v>0</v>
      </c>
      <c r="C198" s="17" t="s">
        <v>1</v>
      </c>
      <c r="D198" s="18" t="s">
        <v>2</v>
      </c>
      <c r="E198" s="19" t="s">
        <v>3</v>
      </c>
      <c r="F198" s="19" t="s">
        <v>4</v>
      </c>
      <c r="G198" s="19" t="s">
        <v>5</v>
      </c>
      <c r="H198" s="19" t="s">
        <v>6</v>
      </c>
      <c r="I198" s="19" t="s">
        <v>7</v>
      </c>
      <c r="J198" s="19" t="s">
        <v>8</v>
      </c>
      <c r="K198" s="19" t="s">
        <v>9</v>
      </c>
      <c r="L198" s="19" t="s">
        <v>10</v>
      </c>
      <c r="M198" s="19" t="s">
        <v>11</v>
      </c>
      <c r="N198" s="19" t="s">
        <v>12</v>
      </c>
      <c r="O198" s="19" t="s">
        <v>13</v>
      </c>
      <c r="P198" s="19" t="s">
        <v>14</v>
      </c>
      <c r="Q198" s="307" t="s">
        <v>431</v>
      </c>
      <c r="R198" s="307" t="s">
        <v>432</v>
      </c>
      <c r="S198" s="307" t="s">
        <v>433</v>
      </c>
      <c r="T198" s="307" t="s">
        <v>434</v>
      </c>
      <c r="U198" s="318" t="s">
        <v>435</v>
      </c>
      <c r="V198" s="19" t="s">
        <v>15</v>
      </c>
      <c r="W198" s="20" t="s">
        <v>16</v>
      </c>
      <c r="X198" s="218"/>
      <c r="Y198" s="476" t="s">
        <v>515</v>
      </c>
      <c r="Z198" s="225"/>
      <c r="AA198" s="256"/>
      <c r="AB198" s="123"/>
      <c r="AC198" s="327"/>
      <c r="AD198" s="327"/>
      <c r="AE198" s="327"/>
      <c r="AF198" s="327"/>
      <c r="AG198" s="327"/>
      <c r="AH198" s="327"/>
      <c r="AI198" s="327"/>
      <c r="AJ198" s="327"/>
      <c r="AK198" s="327"/>
      <c r="AL198" s="327"/>
      <c r="AM198" s="327"/>
      <c r="AN198" s="327"/>
      <c r="AO198" s="327"/>
      <c r="AP198" s="218"/>
      <c r="AQ198" s="123"/>
      <c r="AR198" s="327"/>
      <c r="AS198" s="123"/>
      <c r="AT198" s="123"/>
      <c r="AU198" s="123"/>
      <c r="AV198" s="123"/>
      <c r="AW198" s="123"/>
      <c r="AX198" s="123"/>
      <c r="AY198" s="123"/>
      <c r="AZ198" s="123"/>
      <c r="BA198" s="21"/>
      <c r="BB198" s="22"/>
      <c r="BC198" s="433"/>
      <c r="BD198" s="13" t="s">
        <v>17</v>
      </c>
      <c r="BE198" s="1" t="s">
        <v>18</v>
      </c>
      <c r="BF198" s="14" t="s">
        <v>19</v>
      </c>
      <c r="BG198" s="1" t="s">
        <v>20</v>
      </c>
      <c r="BH198" s="455" t="s">
        <v>21</v>
      </c>
      <c r="BI198" s="345"/>
      <c r="BJ198" s="427"/>
      <c r="BK198" s="1" t="s">
        <v>22</v>
      </c>
      <c r="BL198" s="382"/>
      <c r="BM198" s="2" t="s">
        <v>23</v>
      </c>
      <c r="BN198" s="4" t="s">
        <v>24</v>
      </c>
      <c r="BO198" s="3"/>
      <c r="BP198" s="1" t="s">
        <v>25</v>
      </c>
      <c r="BQ198" s="4" t="s">
        <v>26</v>
      </c>
      <c r="BR198" s="14" t="s">
        <v>17</v>
      </c>
      <c r="BS198" s="1" t="s">
        <v>18</v>
      </c>
      <c r="BT198" s="14" t="s">
        <v>19</v>
      </c>
      <c r="BU198" s="1" t="s">
        <v>20</v>
      </c>
      <c r="BV198" s="455" t="s">
        <v>21</v>
      </c>
      <c r="BW198" s="345"/>
      <c r="BX198" s="345"/>
      <c r="BY198" s="1" t="s">
        <v>22</v>
      </c>
      <c r="BZ198" s="382"/>
      <c r="CA198" s="2" t="s">
        <v>23</v>
      </c>
      <c r="CB198" s="4" t="s">
        <v>24</v>
      </c>
      <c r="CC198" s="3"/>
      <c r="CD198" s="1" t="s">
        <v>25</v>
      </c>
      <c r="CE198" s="4" t="s">
        <v>26</v>
      </c>
      <c r="CF198" s="13" t="s">
        <v>17</v>
      </c>
      <c r="CG198" s="1" t="s">
        <v>18</v>
      </c>
      <c r="CH198" s="14" t="s">
        <v>19</v>
      </c>
      <c r="CI198" s="1" t="s">
        <v>20</v>
      </c>
      <c r="CJ198" s="455" t="s">
        <v>21</v>
      </c>
      <c r="CK198" s="345"/>
      <c r="CL198" s="345"/>
      <c r="CM198" s="1" t="s">
        <v>22</v>
      </c>
      <c r="CN198" s="382"/>
      <c r="CO198" s="2" t="s">
        <v>23</v>
      </c>
      <c r="CP198" s="4" t="s">
        <v>24</v>
      </c>
      <c r="CQ198" s="3"/>
      <c r="CR198" s="1" t="s">
        <v>25</v>
      </c>
      <c r="CS198" s="4" t="s">
        <v>26</v>
      </c>
    </row>
    <row r="199" spans="1:97" s="23" customFormat="1" ht="15" customHeight="1">
      <c r="A199" s="377" t="str">
        <f t="shared" ref="A199:A208" si="243">CONCATENATE($B$196,"; ",B199,"; ",C199,"; ",D199)</f>
        <v>Custom Incentives; Custom Efficiency; COM-Other; COM</v>
      </c>
      <c r="B199" s="42" t="s">
        <v>131</v>
      </c>
      <c r="C199" s="15" t="s">
        <v>29</v>
      </c>
      <c r="D199" s="15" t="s">
        <v>132</v>
      </c>
      <c r="E199" s="43">
        <v>15</v>
      </c>
      <c r="F199" s="44">
        <v>37581615</v>
      </c>
      <c r="G199" s="44">
        <v>4941061.9581209496</v>
      </c>
      <c r="H199" s="45">
        <v>10728000.000000002</v>
      </c>
      <c r="I199" s="46">
        <v>0.5</v>
      </c>
      <c r="J199" s="45">
        <v>2254896.9</v>
      </c>
      <c r="K199" s="45">
        <v>7618896.9000000004</v>
      </c>
      <c r="L199" s="45">
        <v>5364000.0000000009</v>
      </c>
      <c r="M199" s="45">
        <v>12982896.900000002</v>
      </c>
      <c r="N199" s="45">
        <v>35175370.804489881</v>
      </c>
      <c r="O199" s="47">
        <v>0.88</v>
      </c>
      <c r="P199" s="47">
        <v>2.6466785212700317</v>
      </c>
      <c r="Q199" s="310">
        <f>N199*O199/(O199*H199+J199)</f>
        <v>2.6466785212700317</v>
      </c>
      <c r="R199" s="311">
        <f t="shared" ref="R199:R200" si="244">AB199</f>
        <v>0</v>
      </c>
      <c r="S199" s="311">
        <f>-PV(RDR,E199,AC199)</f>
        <v>16063544.381757181</v>
      </c>
      <c r="T199" s="310">
        <f>(N199+SUM(R199:S199))*O199/(O199*H199+J199)</f>
        <v>3.8553377882034141</v>
      </c>
      <c r="U199" s="316">
        <f t="shared" ref="U199:U200" si="245">(T199-Q199)/Q199</f>
        <v>0.45667022164573157</v>
      </c>
      <c r="V199" s="48">
        <v>0.20272936381259826</v>
      </c>
      <c r="W199" s="49">
        <v>1.5419553457486723</v>
      </c>
      <c r="X199" s="48" t="s">
        <v>439</v>
      </c>
      <c r="Y199" s="48" t="s">
        <v>565</v>
      </c>
      <c r="Z199" s="246">
        <f>0.0368*Z3</f>
        <v>4.6367999999999999E-2</v>
      </c>
      <c r="AA199" s="246"/>
      <c r="AB199" s="406"/>
      <c r="AC199" s="407">
        <f>Z199*F199</f>
        <v>1742584.3243199999</v>
      </c>
      <c r="AD199" s="294">
        <f>AC199*0.024</f>
        <v>41822.023783680001</v>
      </c>
      <c r="AE199" s="294">
        <f>AC199*0.004</f>
        <v>6970.3372972799998</v>
      </c>
      <c r="AF199" s="294">
        <f>AC199*0.002</f>
        <v>3485.1686486399999</v>
      </c>
      <c r="AG199" s="294">
        <f>AC199*0.076</f>
        <v>132436.40864831998</v>
      </c>
      <c r="AH199" s="294">
        <f>AC199*0.054</f>
        <v>94099.55351328</v>
      </c>
      <c r="AI199" s="294">
        <f>AC199*0.408</f>
        <v>710974.40432255995</v>
      </c>
      <c r="AJ199" s="294">
        <f>AC199*0.078</f>
        <v>135921.57729695999</v>
      </c>
      <c r="AK199" s="294">
        <f>AC199*0.006</f>
        <v>10455.50594592</v>
      </c>
      <c r="AL199" s="294">
        <f>AC199*0.343</f>
        <v>597706.42324176</v>
      </c>
      <c r="AM199" s="294">
        <f>AC199*0.006</f>
        <v>10455.50594592</v>
      </c>
      <c r="AN199" s="294">
        <f>SUM(AD199:AM199)</f>
        <v>1744326.90864432</v>
      </c>
      <c r="AO199" s="294" t="s">
        <v>627</v>
      </c>
      <c r="AP199" s="300" t="s">
        <v>440</v>
      </c>
      <c r="AQ199" s="136" t="s">
        <v>192</v>
      </c>
      <c r="AR199" s="294" t="s">
        <v>596</v>
      </c>
      <c r="AS199" s="142"/>
      <c r="AT199" s="142"/>
      <c r="AU199" s="48" t="s">
        <v>288</v>
      </c>
      <c r="AV199" s="48" t="s">
        <v>203</v>
      </c>
      <c r="AW199" s="131" t="s">
        <v>284</v>
      </c>
      <c r="AX199" s="131"/>
      <c r="AY199" s="131"/>
      <c r="AZ199" s="48"/>
      <c r="BA199" s="48"/>
      <c r="BB199" s="50"/>
      <c r="BC199" s="51" t="s">
        <v>131</v>
      </c>
      <c r="BD199" s="90">
        <v>2588.7979308687973</v>
      </c>
      <c r="BE199" s="91">
        <v>19690.343487962837</v>
      </c>
      <c r="BF199" s="92">
        <v>2588.7979308687973</v>
      </c>
      <c r="BG199" s="91">
        <v>19690.343487962837</v>
      </c>
      <c r="BH199" s="449">
        <v>18429626.652736064</v>
      </c>
      <c r="BI199" s="346">
        <f t="shared" ref="BI199:BI208" si="246">SUM(R199:S199)*O199*BL199</f>
        <v>8416261.6883530561</v>
      </c>
      <c r="BJ199" s="347">
        <f t="shared" ref="BJ199:BJ262" si="247">BH199+BI199</f>
        <v>26845888.341089122</v>
      </c>
      <c r="BK199" s="93">
        <v>6963303.8182107769</v>
      </c>
      <c r="BL199" s="94">
        <v>0.59538128755857078</v>
      </c>
      <c r="BM199" s="93">
        <v>11466322.834525287</v>
      </c>
      <c r="BN199" s="95">
        <v>2.6466785212700317</v>
      </c>
      <c r="BO199" s="94">
        <f t="shared" ref="BO199:BO200" si="248">SUM(BH199:BI199)/BK199</f>
        <v>3.8553377882034137</v>
      </c>
      <c r="BP199" s="93">
        <v>4536148.6460980037</v>
      </c>
      <c r="BQ199" s="95">
        <v>4.0628356984265128</v>
      </c>
      <c r="BR199" s="92">
        <v>2633.0657774684037</v>
      </c>
      <c r="BS199" s="91">
        <v>20027.043813092569</v>
      </c>
      <c r="BT199" s="92">
        <v>5221.8637083372014</v>
      </c>
      <c r="BU199" s="91">
        <v>39717.387301055409</v>
      </c>
      <c r="BV199" s="449">
        <v>19842400.481319495</v>
      </c>
      <c r="BW199" s="346">
        <f t="shared" ref="BW199:BW208" si="249">SUM(R199:S199)*O199*BZ199</f>
        <v>8560177.8190481719</v>
      </c>
      <c r="BX199" s="346">
        <f>BV199+BW199</f>
        <v>28402578.300367668</v>
      </c>
      <c r="BY199" s="93">
        <v>7082374.7049630536</v>
      </c>
      <c r="BZ199" s="94">
        <v>0.60556217004138158</v>
      </c>
      <c r="CA199" s="93">
        <v>12760025.77635644</v>
      </c>
      <c r="CB199" s="95">
        <v>2.801659232660298</v>
      </c>
      <c r="CC199" s="94">
        <f t="shared" ref="CC199:CC200" si="250">SUM(BV199:BW199)/BY199</f>
        <v>4.01031849959368</v>
      </c>
      <c r="CD199" s="93">
        <v>4613715.7400855552</v>
      </c>
      <c r="CE199" s="95">
        <v>4.300741874693724</v>
      </c>
      <c r="CF199" s="90">
        <v>2686.679588355164</v>
      </c>
      <c r="CG199" s="91">
        <v>20434.829349179083</v>
      </c>
      <c r="CH199" s="92">
        <v>7908.5432966923654</v>
      </c>
      <c r="CI199" s="91">
        <v>60152.216650234492</v>
      </c>
      <c r="CJ199" s="449">
        <v>21524618.284485668</v>
      </c>
      <c r="CK199" s="346">
        <f t="shared" ref="CK199:CK208" si="251">SUM(R199:S199)*O199*CN199</f>
        <v>8734477.9670637473</v>
      </c>
      <c r="CL199" s="346">
        <f>CJ199+CK199</f>
        <v>30259096.251549415</v>
      </c>
      <c r="CM199" s="93">
        <v>7226584.2045168951</v>
      </c>
      <c r="CN199" s="94">
        <v>0.6178924718297365</v>
      </c>
      <c r="CO199" s="93">
        <v>14298034.079968773</v>
      </c>
      <c r="CP199" s="95">
        <v>2.9785328275884404</v>
      </c>
      <c r="CQ199" s="94">
        <f t="shared" ref="CQ199:CQ200" si="252">SUM(CJ199:CK199)/CM199</f>
        <v>4.187192094521822</v>
      </c>
      <c r="CR199" s="93">
        <v>4707659.0381569173</v>
      </c>
      <c r="CS199" s="95">
        <v>4.5722551506008626</v>
      </c>
    </row>
    <row r="200" spans="1:97" s="23" customFormat="1" ht="14.25" customHeight="1">
      <c r="A200" s="377" t="str">
        <f t="shared" si="243"/>
        <v xml:space="preserve">Custom Incentives; Custom Efficiency; IND; Industrial </v>
      </c>
      <c r="B200" s="42" t="s">
        <v>131</v>
      </c>
      <c r="C200" s="15" t="s">
        <v>69</v>
      </c>
      <c r="D200" s="15" t="s">
        <v>70</v>
      </c>
      <c r="E200" s="43">
        <v>15</v>
      </c>
      <c r="F200" s="44">
        <v>37581615</v>
      </c>
      <c r="G200" s="44">
        <v>4290138.6986301569</v>
      </c>
      <c r="H200" s="45">
        <v>10728000.000000002</v>
      </c>
      <c r="I200" s="46">
        <v>0.5</v>
      </c>
      <c r="J200" s="45">
        <v>2254896.9</v>
      </c>
      <c r="K200" s="45">
        <v>7618896.9000000004</v>
      </c>
      <c r="L200" s="45">
        <v>5364000.0000000009</v>
      </c>
      <c r="M200" s="45">
        <v>12982896.900000002</v>
      </c>
      <c r="N200" s="45">
        <v>34155745.346699707</v>
      </c>
      <c r="O200" s="47">
        <v>0.88</v>
      </c>
      <c r="P200" s="47">
        <v>2.569959477883887</v>
      </c>
      <c r="Q200" s="310">
        <f>N200*O200/(O200*H200+J200)</f>
        <v>2.569959477883887</v>
      </c>
      <c r="R200" s="311">
        <f t="shared" si="244"/>
        <v>0</v>
      </c>
      <c r="S200" s="311">
        <f>-PV(RDR,E200,AC200)</f>
        <v>16063544.381757181</v>
      </c>
      <c r="T200" s="310">
        <f>(N200+SUM(R200:S200))*O200/(O200*H200+J200)</f>
        <v>3.778618744817269</v>
      </c>
      <c r="U200" s="316">
        <f t="shared" si="245"/>
        <v>0.47030285003894146</v>
      </c>
      <c r="V200" s="48">
        <v>0.20272936381259826</v>
      </c>
      <c r="W200" s="49">
        <v>1.7759092269983525</v>
      </c>
      <c r="X200" s="48" t="s">
        <v>439</v>
      </c>
      <c r="Y200" s="48" t="s">
        <v>565</v>
      </c>
      <c r="Z200" s="246">
        <f>0.0368*Z3</f>
        <v>4.6367999999999999E-2</v>
      </c>
      <c r="AA200" s="246"/>
      <c r="AB200" s="393"/>
      <c r="AC200" s="387">
        <f>Z200*F200</f>
        <v>1742584.3243199999</v>
      </c>
      <c r="AD200" s="294">
        <f>AC200*0.024</f>
        <v>41822.023783680001</v>
      </c>
      <c r="AE200" s="294">
        <f>AC200*0.004</f>
        <v>6970.3372972799998</v>
      </c>
      <c r="AF200" s="294">
        <f>AC200*0.002</f>
        <v>3485.1686486399999</v>
      </c>
      <c r="AG200" s="294">
        <f>AC200*0.076</f>
        <v>132436.40864831998</v>
      </c>
      <c r="AH200" s="294">
        <f>AC200*0.054</f>
        <v>94099.55351328</v>
      </c>
      <c r="AI200" s="294">
        <f>AC200*0.408</f>
        <v>710974.40432255995</v>
      </c>
      <c r="AJ200" s="294">
        <f>AC200*0.078</f>
        <v>135921.57729695999</v>
      </c>
      <c r="AK200" s="294">
        <f>AC200*0.006</f>
        <v>10455.50594592</v>
      </c>
      <c r="AL200" s="294">
        <f>AC200*0.343</f>
        <v>597706.42324176</v>
      </c>
      <c r="AM200" s="294">
        <f>AC200*0.006</f>
        <v>10455.50594592</v>
      </c>
      <c r="AN200" s="294">
        <f>SUM(AD200:AM200)</f>
        <v>1744326.90864432</v>
      </c>
      <c r="AO200" s="294" t="s">
        <v>627</v>
      </c>
      <c r="AP200" s="300" t="s">
        <v>440</v>
      </c>
      <c r="AQ200" s="136" t="s">
        <v>192</v>
      </c>
      <c r="AR200" s="294" t="s">
        <v>596</v>
      </c>
      <c r="AS200" s="142"/>
      <c r="AT200" s="142"/>
      <c r="AU200" s="48" t="s">
        <v>288</v>
      </c>
      <c r="AV200" s="48" t="s">
        <v>204</v>
      </c>
      <c r="AW200" s="131" t="s">
        <v>284</v>
      </c>
      <c r="AX200" s="131"/>
      <c r="AY200" s="131"/>
      <c r="AZ200" s="48"/>
      <c r="BA200" s="48"/>
      <c r="BB200" s="50"/>
      <c r="BC200" s="51" t="s">
        <v>131</v>
      </c>
      <c r="BD200" s="52">
        <v>1490.4589217815271</v>
      </c>
      <c r="BE200" s="53">
        <v>13056.420154806117</v>
      </c>
      <c r="BF200" s="54">
        <v>1490.4589217815271</v>
      </c>
      <c r="BG200" s="53">
        <v>13056.420154806117</v>
      </c>
      <c r="BH200" s="450">
        <v>11866221.341128506</v>
      </c>
      <c r="BI200" s="347">
        <f t="shared" si="246"/>
        <v>5580717.7159256469</v>
      </c>
      <c r="BJ200" s="347">
        <f t="shared" si="247"/>
        <v>17446939.057054155</v>
      </c>
      <c r="BK200" s="45">
        <v>4617279.5498313429</v>
      </c>
      <c r="BL200" s="47">
        <v>0.39478987491641726</v>
      </c>
      <c r="BM200" s="45">
        <v>7248941.7912971629</v>
      </c>
      <c r="BN200" s="55">
        <v>2.5699594778838866</v>
      </c>
      <c r="BO200" s="47">
        <f t="shared" si="248"/>
        <v>3.778618744817269</v>
      </c>
      <c r="BP200" s="45">
        <v>3007863.3541520797</v>
      </c>
      <c r="BQ200" s="55">
        <v>3.9450666283587235</v>
      </c>
      <c r="BR200" s="54">
        <v>1476.7999739023849</v>
      </c>
      <c r="BS200" s="53">
        <v>12936.767771384832</v>
      </c>
      <c r="BT200" s="54">
        <v>2967.2588956839118</v>
      </c>
      <c r="BU200" s="53">
        <v>25993.187926190949</v>
      </c>
      <c r="BV200" s="450">
        <v>12425740.598499876</v>
      </c>
      <c r="BW200" s="347">
        <f t="shared" si="249"/>
        <v>5529574.5872583222</v>
      </c>
      <c r="BX200" s="347">
        <f>BV200+BW200</f>
        <v>17955315.185758196</v>
      </c>
      <c r="BY200" s="45">
        <v>4574965.6156511297</v>
      </c>
      <c r="BZ200" s="47">
        <v>0.39117191923451833</v>
      </c>
      <c r="CA200" s="45">
        <v>7850774.9828487458</v>
      </c>
      <c r="CB200" s="55">
        <v>2.716029286863042</v>
      </c>
      <c r="CC200" s="47">
        <f t="shared" si="250"/>
        <v>3.9246885537964231</v>
      </c>
      <c r="CD200" s="45">
        <v>2980298.5228229226</v>
      </c>
      <c r="CE200" s="55">
        <v>4.16929394936259</v>
      </c>
      <c r="CF200" s="52">
        <v>1467.7465415684089</v>
      </c>
      <c r="CG200" s="53">
        <v>12857.459704139204</v>
      </c>
      <c r="CH200" s="54">
        <v>4435.0054372523209</v>
      </c>
      <c r="CI200" s="53">
        <v>38850.647630330153</v>
      </c>
      <c r="CJ200" s="450">
        <v>13110642.918822603</v>
      </c>
      <c r="CK200" s="347">
        <f t="shared" si="251"/>
        <v>5495675.8668858344</v>
      </c>
      <c r="CL200" s="347">
        <f>CJ200+CK200</f>
        <v>18606318.785708439</v>
      </c>
      <c r="CM200" s="45">
        <v>4546919.0674634874</v>
      </c>
      <c r="CN200" s="47">
        <v>0.38877386359778715</v>
      </c>
      <c r="CO200" s="45">
        <v>8563723.8513591159</v>
      </c>
      <c r="CP200" s="55">
        <v>2.8834124215314909</v>
      </c>
      <c r="CQ200" s="47">
        <f t="shared" si="252"/>
        <v>4.0920716884648733</v>
      </c>
      <c r="CR200" s="45">
        <v>2962027.9841662035</v>
      </c>
      <c r="CS200" s="55">
        <v>4.4262387083804633</v>
      </c>
    </row>
    <row r="201" spans="1:97" s="23" customFormat="1" ht="35.25" customHeight="1">
      <c r="A201" s="377" t="str">
        <f t="shared" si="243"/>
        <v xml:space="preserve">Custom Incentives; Compressed Air-Custom; ; </v>
      </c>
      <c r="B201" s="42" t="s">
        <v>344</v>
      </c>
      <c r="C201" s="15"/>
      <c r="D201" s="15"/>
      <c r="E201" s="43"/>
      <c r="F201" s="44"/>
      <c r="G201" s="44"/>
      <c r="H201" s="45"/>
      <c r="I201" s="46"/>
      <c r="J201" s="45"/>
      <c r="K201" s="45"/>
      <c r="L201" s="45"/>
      <c r="M201" s="45"/>
      <c r="N201" s="45"/>
      <c r="O201" s="47"/>
      <c r="P201" s="47"/>
      <c r="Q201" s="310"/>
      <c r="R201" s="310"/>
      <c r="S201" s="310"/>
      <c r="T201" s="310"/>
      <c r="U201" s="316"/>
      <c r="V201" s="48"/>
      <c r="W201" s="49"/>
      <c r="X201" s="48" t="s">
        <v>349</v>
      </c>
      <c r="Y201" s="48" t="s">
        <v>566</v>
      </c>
      <c r="Z201" s="247">
        <f>0.056*Z3</f>
        <v>7.0559999999999998E-2</v>
      </c>
      <c r="AA201" s="247"/>
      <c r="AB201" s="394"/>
      <c r="AC201" s="387"/>
      <c r="AD201" s="294"/>
      <c r="AE201" s="294"/>
      <c r="AF201" s="294"/>
      <c r="AG201" s="294"/>
      <c r="AH201" s="294"/>
      <c r="AI201" s="294"/>
      <c r="AJ201" s="294"/>
      <c r="AK201" s="294"/>
      <c r="AL201" s="294"/>
      <c r="AM201" s="294"/>
      <c r="AN201" s="294"/>
      <c r="AO201" s="294"/>
      <c r="AP201" s="300" t="s">
        <v>357</v>
      </c>
      <c r="AQ201" s="136"/>
      <c r="AR201" s="294" t="s">
        <v>596</v>
      </c>
      <c r="AS201" s="142"/>
      <c r="AT201" s="142"/>
      <c r="AU201" s="48"/>
      <c r="AV201" s="48"/>
      <c r="AW201" s="131"/>
      <c r="AX201" s="131"/>
      <c r="AY201" s="131"/>
      <c r="AZ201" s="48"/>
      <c r="BA201" s="48"/>
      <c r="BB201" s="50"/>
      <c r="BC201" s="51"/>
      <c r="BD201" s="52"/>
      <c r="BE201" s="53"/>
      <c r="BF201" s="54"/>
      <c r="BG201" s="53"/>
      <c r="BH201" s="450"/>
      <c r="BI201" s="347">
        <f t="shared" si="246"/>
        <v>0</v>
      </c>
      <c r="BJ201" s="347">
        <f t="shared" si="247"/>
        <v>0</v>
      </c>
      <c r="BK201" s="45"/>
      <c r="BL201" s="47"/>
      <c r="BM201" s="45"/>
      <c r="BN201" s="55"/>
      <c r="BO201" s="47"/>
      <c r="BP201" s="45"/>
      <c r="BQ201" s="55"/>
      <c r="BR201" s="54"/>
      <c r="BS201" s="53"/>
      <c r="BT201" s="54"/>
      <c r="BU201" s="53"/>
      <c r="BV201" s="450"/>
      <c r="BW201" s="347">
        <f t="shared" si="249"/>
        <v>0</v>
      </c>
      <c r="BX201" s="347"/>
      <c r="BY201" s="45"/>
      <c r="BZ201" s="47"/>
      <c r="CA201" s="45"/>
      <c r="CB201" s="55"/>
      <c r="CC201" s="47"/>
      <c r="CD201" s="45"/>
      <c r="CE201" s="55"/>
      <c r="CF201" s="52"/>
      <c r="CG201" s="53"/>
      <c r="CH201" s="54"/>
      <c r="CI201" s="53"/>
      <c r="CJ201" s="450"/>
      <c r="CK201" s="347">
        <f t="shared" si="251"/>
        <v>0</v>
      </c>
      <c r="CL201" s="347"/>
      <c r="CM201" s="45"/>
      <c r="CN201" s="47"/>
      <c r="CO201" s="45"/>
      <c r="CP201" s="55"/>
      <c r="CQ201" s="47"/>
      <c r="CR201" s="45"/>
      <c r="CS201" s="55"/>
    </row>
    <row r="202" spans="1:97" s="23" customFormat="1" ht="15" customHeight="1">
      <c r="A202" s="377" t="str">
        <f t="shared" si="243"/>
        <v xml:space="preserve">Custom Incentives; HVAC-Custom; ; </v>
      </c>
      <c r="B202" s="42" t="s">
        <v>345</v>
      </c>
      <c r="C202" s="15"/>
      <c r="D202" s="15"/>
      <c r="E202" s="43"/>
      <c r="F202" s="44"/>
      <c r="G202" s="44"/>
      <c r="H202" s="45"/>
      <c r="I202" s="46"/>
      <c r="J202" s="45"/>
      <c r="K202" s="45"/>
      <c r="L202" s="45"/>
      <c r="M202" s="45"/>
      <c r="N202" s="45"/>
      <c r="O202" s="47"/>
      <c r="P202" s="47"/>
      <c r="Q202" s="310"/>
      <c r="R202" s="310"/>
      <c r="S202" s="310"/>
      <c r="T202" s="310"/>
      <c r="U202" s="316"/>
      <c r="V202" s="48"/>
      <c r="W202" s="49"/>
      <c r="X202" s="48" t="s">
        <v>350</v>
      </c>
      <c r="Y202" s="48" t="s">
        <v>566</v>
      </c>
      <c r="Z202" s="247">
        <f>0.024*Z3</f>
        <v>3.024E-2</v>
      </c>
      <c r="AA202" s="247"/>
      <c r="AB202" s="394"/>
      <c r="AC202" s="387"/>
      <c r="AD202" s="294"/>
      <c r="AE202" s="294"/>
      <c r="AF202" s="294"/>
      <c r="AG202" s="294"/>
      <c r="AH202" s="294"/>
      <c r="AI202" s="294"/>
      <c r="AJ202" s="294"/>
      <c r="AK202" s="294"/>
      <c r="AL202" s="294"/>
      <c r="AM202" s="294"/>
      <c r="AN202" s="294"/>
      <c r="AO202" s="294"/>
      <c r="AP202" s="300" t="s">
        <v>357</v>
      </c>
      <c r="AQ202" s="136"/>
      <c r="AR202" s="294" t="s">
        <v>596</v>
      </c>
      <c r="AS202" s="142"/>
      <c r="AT202" s="142"/>
      <c r="AU202" s="48"/>
      <c r="AV202" s="48"/>
      <c r="AW202" s="131"/>
      <c r="AX202" s="131"/>
      <c r="AY202" s="131"/>
      <c r="AZ202" s="48"/>
      <c r="BA202" s="48"/>
      <c r="BB202" s="50"/>
      <c r="BC202" s="51"/>
      <c r="BD202" s="52"/>
      <c r="BE202" s="53"/>
      <c r="BF202" s="54"/>
      <c r="BG202" s="53"/>
      <c r="BH202" s="450"/>
      <c r="BI202" s="347">
        <f t="shared" si="246"/>
        <v>0</v>
      </c>
      <c r="BJ202" s="347">
        <f t="shared" si="247"/>
        <v>0</v>
      </c>
      <c r="BK202" s="45"/>
      <c r="BL202" s="47"/>
      <c r="BM202" s="45"/>
      <c r="BN202" s="55"/>
      <c r="BO202" s="47"/>
      <c r="BP202" s="45"/>
      <c r="BQ202" s="55"/>
      <c r="BR202" s="54"/>
      <c r="BS202" s="53"/>
      <c r="BT202" s="54"/>
      <c r="BU202" s="53"/>
      <c r="BV202" s="450"/>
      <c r="BW202" s="347">
        <f t="shared" si="249"/>
        <v>0</v>
      </c>
      <c r="BX202" s="347"/>
      <c r="BY202" s="45"/>
      <c r="BZ202" s="47"/>
      <c r="CA202" s="45"/>
      <c r="CB202" s="55"/>
      <c r="CC202" s="47"/>
      <c r="CD202" s="45"/>
      <c r="CE202" s="55"/>
      <c r="CF202" s="52"/>
      <c r="CG202" s="53"/>
      <c r="CH202" s="54"/>
      <c r="CI202" s="53"/>
      <c r="CJ202" s="450"/>
      <c r="CK202" s="347">
        <f t="shared" si="251"/>
        <v>0</v>
      </c>
      <c r="CL202" s="347"/>
      <c r="CM202" s="45"/>
      <c r="CN202" s="47"/>
      <c r="CO202" s="45"/>
      <c r="CP202" s="55"/>
      <c r="CQ202" s="47"/>
      <c r="CR202" s="45"/>
      <c r="CS202" s="55"/>
    </row>
    <row r="203" spans="1:97" s="23" customFormat="1" ht="15" customHeight="1">
      <c r="A203" s="377" t="str">
        <f t="shared" si="243"/>
        <v xml:space="preserve">Custom Incentives; Lighting-Custom; ; </v>
      </c>
      <c r="B203" s="42" t="s">
        <v>346</v>
      </c>
      <c r="C203" s="15"/>
      <c r="D203" s="15"/>
      <c r="E203" s="43"/>
      <c r="F203" s="44"/>
      <c r="G203" s="44"/>
      <c r="H203" s="45"/>
      <c r="I203" s="46"/>
      <c r="J203" s="45"/>
      <c r="K203" s="45"/>
      <c r="L203" s="45"/>
      <c r="M203" s="45"/>
      <c r="N203" s="45"/>
      <c r="O203" s="47"/>
      <c r="P203" s="47"/>
      <c r="Q203" s="310"/>
      <c r="R203" s="310"/>
      <c r="S203" s="310"/>
      <c r="T203" s="310"/>
      <c r="U203" s="316"/>
      <c r="V203" s="48"/>
      <c r="W203" s="49"/>
      <c r="X203" s="48" t="s">
        <v>351</v>
      </c>
      <c r="Y203" s="48" t="s">
        <v>566</v>
      </c>
      <c r="Z203" s="247">
        <f>0.059*Z3</f>
        <v>7.4340000000000003E-2</v>
      </c>
      <c r="AA203" s="247"/>
      <c r="AB203" s="394"/>
      <c r="AC203" s="387"/>
      <c r="AD203" s="294"/>
      <c r="AE203" s="294"/>
      <c r="AF203" s="294"/>
      <c r="AG203" s="294"/>
      <c r="AH203" s="294"/>
      <c r="AI203" s="294"/>
      <c r="AJ203" s="294"/>
      <c r="AK203" s="294"/>
      <c r="AL203" s="294"/>
      <c r="AM203" s="294"/>
      <c r="AN203" s="294"/>
      <c r="AO203" s="294"/>
      <c r="AP203" s="300" t="s">
        <v>357</v>
      </c>
      <c r="AQ203" s="136"/>
      <c r="AR203" s="294" t="s">
        <v>596</v>
      </c>
      <c r="AS203" s="142"/>
      <c r="AT203" s="142"/>
      <c r="AU203" s="48"/>
      <c r="AV203" s="48"/>
      <c r="AW203" s="131"/>
      <c r="AX203" s="131"/>
      <c r="AY203" s="131"/>
      <c r="AZ203" s="48"/>
      <c r="BA203" s="48"/>
      <c r="BB203" s="50"/>
      <c r="BC203" s="51"/>
      <c r="BD203" s="52"/>
      <c r="BE203" s="53"/>
      <c r="BF203" s="54"/>
      <c r="BG203" s="53"/>
      <c r="BH203" s="450"/>
      <c r="BI203" s="347">
        <f t="shared" si="246"/>
        <v>0</v>
      </c>
      <c r="BJ203" s="347">
        <f t="shared" si="247"/>
        <v>0</v>
      </c>
      <c r="BK203" s="45"/>
      <c r="BL203" s="47"/>
      <c r="BM203" s="45"/>
      <c r="BN203" s="55"/>
      <c r="BO203" s="47"/>
      <c r="BP203" s="45"/>
      <c r="BQ203" s="55"/>
      <c r="BR203" s="54"/>
      <c r="BS203" s="53"/>
      <c r="BT203" s="54"/>
      <c r="BU203" s="53"/>
      <c r="BV203" s="450"/>
      <c r="BW203" s="347">
        <f t="shared" si="249"/>
        <v>0</v>
      </c>
      <c r="BX203" s="347"/>
      <c r="BY203" s="45"/>
      <c r="BZ203" s="47"/>
      <c r="CA203" s="45"/>
      <c r="CB203" s="55"/>
      <c r="CC203" s="47"/>
      <c r="CD203" s="45"/>
      <c r="CE203" s="55"/>
      <c r="CF203" s="52"/>
      <c r="CG203" s="53"/>
      <c r="CH203" s="54"/>
      <c r="CI203" s="53"/>
      <c r="CJ203" s="450"/>
      <c r="CK203" s="347">
        <f t="shared" si="251"/>
        <v>0</v>
      </c>
      <c r="CL203" s="347"/>
      <c r="CM203" s="45"/>
      <c r="CN203" s="47"/>
      <c r="CO203" s="45"/>
      <c r="CP203" s="55"/>
      <c r="CQ203" s="47"/>
      <c r="CR203" s="45"/>
      <c r="CS203" s="55"/>
    </row>
    <row r="204" spans="1:97" s="23" customFormat="1" ht="15" customHeight="1">
      <c r="A204" s="377" t="str">
        <f t="shared" si="243"/>
        <v xml:space="preserve">Custom Incentives; Process-Custom; ; </v>
      </c>
      <c r="B204" s="42" t="s">
        <v>347</v>
      </c>
      <c r="C204" s="15"/>
      <c r="D204" s="15"/>
      <c r="E204" s="43"/>
      <c r="F204" s="44"/>
      <c r="G204" s="44"/>
      <c r="H204" s="45"/>
      <c r="I204" s="46"/>
      <c r="J204" s="45"/>
      <c r="K204" s="45"/>
      <c r="L204" s="45"/>
      <c r="M204" s="45"/>
      <c r="N204" s="45"/>
      <c r="O204" s="47"/>
      <c r="P204" s="47"/>
      <c r="Q204" s="310"/>
      <c r="R204" s="310"/>
      <c r="S204" s="310"/>
      <c r="T204" s="310"/>
      <c r="U204" s="316"/>
      <c r="V204" s="48"/>
      <c r="W204" s="49"/>
      <c r="X204" s="48" t="s">
        <v>349</v>
      </c>
      <c r="Y204" s="48" t="s">
        <v>566</v>
      </c>
      <c r="Z204" s="247">
        <f>0.056*Z3</f>
        <v>7.0559999999999998E-2</v>
      </c>
      <c r="AA204" s="247"/>
      <c r="AB204" s="394"/>
      <c r="AC204" s="387"/>
      <c r="AD204" s="294"/>
      <c r="AE204" s="294"/>
      <c r="AF204" s="294"/>
      <c r="AG204" s="294"/>
      <c r="AH204" s="294"/>
      <c r="AI204" s="294"/>
      <c r="AJ204" s="294"/>
      <c r="AK204" s="294"/>
      <c r="AL204" s="294"/>
      <c r="AM204" s="294"/>
      <c r="AN204" s="294"/>
      <c r="AO204" s="294"/>
      <c r="AP204" s="300" t="s">
        <v>357</v>
      </c>
      <c r="AQ204" s="136"/>
      <c r="AR204" s="294" t="s">
        <v>596</v>
      </c>
      <c r="AS204" s="142"/>
      <c r="AT204" s="142"/>
      <c r="AU204" s="48"/>
      <c r="AV204" s="48"/>
      <c r="AW204" s="131"/>
      <c r="AX204" s="131"/>
      <c r="AY204" s="131"/>
      <c r="AZ204" s="48"/>
      <c r="BA204" s="48"/>
      <c r="BB204" s="50"/>
      <c r="BC204" s="51"/>
      <c r="BD204" s="52"/>
      <c r="BE204" s="53"/>
      <c r="BF204" s="54"/>
      <c r="BG204" s="53"/>
      <c r="BH204" s="450"/>
      <c r="BI204" s="347">
        <f t="shared" si="246"/>
        <v>0</v>
      </c>
      <c r="BJ204" s="347">
        <f t="shared" si="247"/>
        <v>0</v>
      </c>
      <c r="BK204" s="45"/>
      <c r="BL204" s="47"/>
      <c r="BM204" s="45"/>
      <c r="BN204" s="55"/>
      <c r="BO204" s="47"/>
      <c r="BP204" s="45"/>
      <c r="BQ204" s="55"/>
      <c r="BR204" s="54"/>
      <c r="BS204" s="53"/>
      <c r="BT204" s="54"/>
      <c r="BU204" s="53"/>
      <c r="BV204" s="450"/>
      <c r="BW204" s="347">
        <f t="shared" si="249"/>
        <v>0</v>
      </c>
      <c r="BX204" s="347"/>
      <c r="BY204" s="45"/>
      <c r="BZ204" s="47"/>
      <c r="CA204" s="45"/>
      <c r="CB204" s="55"/>
      <c r="CC204" s="47"/>
      <c r="CD204" s="45"/>
      <c r="CE204" s="55"/>
      <c r="CF204" s="52"/>
      <c r="CG204" s="53"/>
      <c r="CH204" s="54"/>
      <c r="CI204" s="53"/>
      <c r="CJ204" s="450"/>
      <c r="CK204" s="347">
        <f t="shared" si="251"/>
        <v>0</v>
      </c>
      <c r="CL204" s="347"/>
      <c r="CM204" s="45"/>
      <c r="CN204" s="47"/>
      <c r="CO204" s="45"/>
      <c r="CP204" s="55"/>
      <c r="CQ204" s="47"/>
      <c r="CR204" s="45"/>
      <c r="CS204" s="55"/>
    </row>
    <row r="205" spans="1:97" s="23" customFormat="1" ht="15" customHeight="1">
      <c r="A205" s="377" t="str">
        <f t="shared" si="243"/>
        <v xml:space="preserve">Custom Incentives; Refrigeration-Custom; ; </v>
      </c>
      <c r="B205" s="42" t="s">
        <v>348</v>
      </c>
      <c r="C205" s="15"/>
      <c r="D205" s="15"/>
      <c r="E205" s="43"/>
      <c r="F205" s="44"/>
      <c r="G205" s="44"/>
      <c r="H205" s="45"/>
      <c r="I205" s="46"/>
      <c r="J205" s="45"/>
      <c r="K205" s="45"/>
      <c r="L205" s="45"/>
      <c r="M205" s="45"/>
      <c r="N205" s="45"/>
      <c r="O205" s="47"/>
      <c r="P205" s="47"/>
      <c r="Q205" s="310"/>
      <c r="R205" s="310"/>
      <c r="S205" s="310"/>
      <c r="T205" s="310"/>
      <c r="U205" s="316"/>
      <c r="V205" s="48"/>
      <c r="W205" s="49"/>
      <c r="X205" s="48" t="s">
        <v>352</v>
      </c>
      <c r="Y205" s="48" t="s">
        <v>567</v>
      </c>
      <c r="Z205" s="247">
        <f>0.047*Z3</f>
        <v>5.9220000000000002E-2</v>
      </c>
      <c r="AA205" s="247"/>
      <c r="AB205" s="394"/>
      <c r="AC205" s="387"/>
      <c r="AD205" s="294"/>
      <c r="AE205" s="294"/>
      <c r="AF205" s="294"/>
      <c r="AG205" s="294"/>
      <c r="AH205" s="294"/>
      <c r="AI205" s="294"/>
      <c r="AJ205" s="294"/>
      <c r="AK205" s="294"/>
      <c r="AL205" s="294"/>
      <c r="AM205" s="294"/>
      <c r="AN205" s="294"/>
      <c r="AO205" s="294"/>
      <c r="AP205" s="300" t="s">
        <v>357</v>
      </c>
      <c r="AQ205" s="136"/>
      <c r="AR205" s="294" t="s">
        <v>596</v>
      </c>
      <c r="AS205" s="142"/>
      <c r="AT205" s="142"/>
      <c r="AU205" s="48"/>
      <c r="AV205" s="48"/>
      <c r="AW205" s="131"/>
      <c r="AX205" s="131"/>
      <c r="AY205" s="131"/>
      <c r="AZ205" s="48"/>
      <c r="BA205" s="48"/>
      <c r="BB205" s="50"/>
      <c r="BC205" s="51"/>
      <c r="BD205" s="52"/>
      <c r="BE205" s="53"/>
      <c r="BF205" s="54"/>
      <c r="BG205" s="53"/>
      <c r="BH205" s="450"/>
      <c r="BI205" s="347">
        <f t="shared" si="246"/>
        <v>0</v>
      </c>
      <c r="BJ205" s="347">
        <f t="shared" si="247"/>
        <v>0</v>
      </c>
      <c r="BK205" s="45"/>
      <c r="BL205" s="47"/>
      <c r="BM205" s="45"/>
      <c r="BN205" s="55"/>
      <c r="BO205" s="47"/>
      <c r="BP205" s="45"/>
      <c r="BQ205" s="55"/>
      <c r="BR205" s="54"/>
      <c r="BS205" s="53"/>
      <c r="BT205" s="54"/>
      <c r="BU205" s="53"/>
      <c r="BV205" s="450"/>
      <c r="BW205" s="347">
        <f t="shared" si="249"/>
        <v>0</v>
      </c>
      <c r="BX205" s="347"/>
      <c r="BY205" s="45"/>
      <c r="BZ205" s="47"/>
      <c r="CA205" s="45"/>
      <c r="CB205" s="55"/>
      <c r="CC205" s="47"/>
      <c r="CD205" s="45"/>
      <c r="CE205" s="55"/>
      <c r="CF205" s="52"/>
      <c r="CG205" s="53"/>
      <c r="CH205" s="54"/>
      <c r="CI205" s="53"/>
      <c r="CJ205" s="450"/>
      <c r="CK205" s="347">
        <f t="shared" si="251"/>
        <v>0</v>
      </c>
      <c r="CL205" s="347"/>
      <c r="CM205" s="45"/>
      <c r="CN205" s="47"/>
      <c r="CO205" s="45"/>
      <c r="CP205" s="55"/>
      <c r="CQ205" s="47"/>
      <c r="CR205" s="45"/>
      <c r="CS205" s="55"/>
    </row>
    <row r="206" spans="1:97" s="23" customFormat="1" ht="15" customHeight="1" thickBot="1">
      <c r="A206" s="377" t="str">
        <f t="shared" si="243"/>
        <v xml:space="preserve">Custom Incentives; Motors and Drives-Custom; ; </v>
      </c>
      <c r="B206" s="42" t="s">
        <v>414</v>
      </c>
      <c r="C206" s="15"/>
      <c r="D206" s="15"/>
      <c r="E206" s="43"/>
      <c r="F206" s="44"/>
      <c r="G206" s="44"/>
      <c r="H206" s="45"/>
      <c r="I206" s="46"/>
      <c r="J206" s="45"/>
      <c r="K206" s="45"/>
      <c r="L206" s="45"/>
      <c r="M206" s="45"/>
      <c r="N206" s="45"/>
      <c r="O206" s="47"/>
      <c r="P206" s="47"/>
      <c r="Q206" s="310"/>
      <c r="R206" s="310"/>
      <c r="S206" s="310"/>
      <c r="T206" s="310"/>
      <c r="U206" s="316"/>
      <c r="V206" s="48"/>
      <c r="W206" s="49"/>
      <c r="X206" s="48" t="s">
        <v>40</v>
      </c>
      <c r="Y206" s="48" t="s">
        <v>515</v>
      </c>
      <c r="Z206" s="247">
        <v>0</v>
      </c>
      <c r="AA206" s="247"/>
      <c r="AB206" s="394"/>
      <c r="AC206" s="387"/>
      <c r="AD206" s="294"/>
      <c r="AE206" s="294"/>
      <c r="AF206" s="294"/>
      <c r="AG206" s="294"/>
      <c r="AH206" s="294"/>
      <c r="AI206" s="294"/>
      <c r="AJ206" s="294"/>
      <c r="AK206" s="294"/>
      <c r="AL206" s="294"/>
      <c r="AM206" s="294"/>
      <c r="AN206" s="294"/>
      <c r="AO206" s="294"/>
      <c r="AP206" s="305" t="s">
        <v>415</v>
      </c>
      <c r="AQ206" s="136"/>
      <c r="AR206" s="294" t="s">
        <v>596</v>
      </c>
      <c r="AS206" s="142"/>
      <c r="AT206" s="142"/>
      <c r="AU206" s="48"/>
      <c r="AV206" s="48"/>
      <c r="AW206" s="131"/>
      <c r="AX206" s="131"/>
      <c r="AY206" s="131"/>
      <c r="AZ206" s="48"/>
      <c r="BA206" s="48"/>
      <c r="BB206" s="50"/>
      <c r="BC206" s="51"/>
      <c r="BD206" s="52"/>
      <c r="BE206" s="53"/>
      <c r="BF206" s="54"/>
      <c r="BG206" s="53"/>
      <c r="BH206" s="450"/>
      <c r="BI206" s="347">
        <f t="shared" si="246"/>
        <v>0</v>
      </c>
      <c r="BJ206" s="426">
        <f t="shared" si="247"/>
        <v>0</v>
      </c>
      <c r="BK206" s="45"/>
      <c r="BL206" s="47"/>
      <c r="BM206" s="45"/>
      <c r="BN206" s="55"/>
      <c r="BO206" s="47"/>
      <c r="BP206" s="45"/>
      <c r="BQ206" s="55"/>
      <c r="BR206" s="54"/>
      <c r="BS206" s="53"/>
      <c r="BT206" s="54"/>
      <c r="BU206" s="53"/>
      <c r="BV206" s="450"/>
      <c r="BW206" s="347">
        <f t="shared" si="249"/>
        <v>0</v>
      </c>
      <c r="BX206" s="347"/>
      <c r="BY206" s="45"/>
      <c r="BZ206" s="47"/>
      <c r="CA206" s="45"/>
      <c r="CB206" s="55"/>
      <c r="CC206" s="47"/>
      <c r="CD206" s="45"/>
      <c r="CE206" s="55"/>
      <c r="CF206" s="52"/>
      <c r="CG206" s="53"/>
      <c r="CH206" s="54"/>
      <c r="CI206" s="53"/>
      <c r="CJ206" s="450"/>
      <c r="CK206" s="347">
        <f t="shared" si="251"/>
        <v>0</v>
      </c>
      <c r="CL206" s="347"/>
      <c r="CM206" s="45"/>
      <c r="CN206" s="47"/>
      <c r="CO206" s="45"/>
      <c r="CP206" s="55"/>
      <c r="CQ206" s="47"/>
      <c r="CR206" s="45"/>
      <c r="CS206" s="55"/>
    </row>
    <row r="207" spans="1:97" s="23" customFormat="1" ht="27.75" customHeight="1">
      <c r="A207" s="377" t="str">
        <f t="shared" si="243"/>
        <v>Custom Incentives; Whole Building 20% Over Baseline; COM-Other; New Construction - BNI</v>
      </c>
      <c r="B207" s="42" t="s">
        <v>133</v>
      </c>
      <c r="C207" s="15" t="s">
        <v>29</v>
      </c>
      <c r="D207" s="15" t="s">
        <v>134</v>
      </c>
      <c r="E207" s="43">
        <v>25</v>
      </c>
      <c r="F207" s="44">
        <v>2378.3673599999997</v>
      </c>
      <c r="G207" s="44">
        <v>312.69705905221349</v>
      </c>
      <c r="H207" s="45">
        <v>1737</v>
      </c>
      <c r="I207" s="46">
        <v>0.5</v>
      </c>
      <c r="J207" s="45">
        <v>126.05347007999998</v>
      </c>
      <c r="K207" s="45">
        <v>994.55347008000001</v>
      </c>
      <c r="L207" s="45">
        <v>868.5</v>
      </c>
      <c r="M207" s="45">
        <v>1863.0534700799999</v>
      </c>
      <c r="N207" s="45">
        <v>3321.2166515288218</v>
      </c>
      <c r="O207" s="47">
        <v>0.76</v>
      </c>
      <c r="P207" s="47">
        <v>1.7453816622858349</v>
      </c>
      <c r="Q207" s="310">
        <f>N207*O207/(O207*H207+J207)</f>
        <v>1.7453816622858349</v>
      </c>
      <c r="R207" s="311">
        <f t="shared" ref="R207:R208" si="253">AB207</f>
        <v>0</v>
      </c>
      <c r="S207" s="311">
        <f>-PV(RDR,E207,AC207)</f>
        <v>213.1726230242902</v>
      </c>
      <c r="T207" s="310">
        <f>(N207+SUM(R207:S207))*O207/(O207*H207+J207)</f>
        <v>1.8574091588831128</v>
      </c>
      <c r="U207" s="316">
        <f t="shared" ref="U207:U208" si="254">(T207-Q207)/Q207</f>
        <v>6.4185100037410334E-2</v>
      </c>
      <c r="V207" s="48">
        <v>0.4181664644439117</v>
      </c>
      <c r="W207" s="49">
        <v>3.1805654747585317</v>
      </c>
      <c r="X207" s="48" t="s">
        <v>429</v>
      </c>
      <c r="Y207" s="48" t="s">
        <v>568</v>
      </c>
      <c r="Z207" s="259">
        <f>0.006*Z3</f>
        <v>7.5599999999999999E-3</v>
      </c>
      <c r="AA207" s="246"/>
      <c r="AB207" s="393"/>
      <c r="AC207" s="387">
        <f>Z207*F207</f>
        <v>17.980457241599996</v>
      </c>
      <c r="AD207" s="294">
        <f>AC207*0.024</f>
        <v>0.43153097379839994</v>
      </c>
      <c r="AE207" s="294">
        <f>AC207*0.004</f>
        <v>7.1921828966399981E-2</v>
      </c>
      <c r="AF207" s="294">
        <f>AC207*0.002</f>
        <v>3.5960914483199991E-2</v>
      </c>
      <c r="AG207" s="294">
        <f>AC207*0.076</f>
        <v>1.3665147503615998</v>
      </c>
      <c r="AH207" s="294">
        <f>AC207*0.054</f>
        <v>0.9709446910463998</v>
      </c>
      <c r="AI207" s="294">
        <f>AC207*0.408</f>
        <v>7.3360265545727978</v>
      </c>
      <c r="AJ207" s="294">
        <f>AC207*0.078</f>
        <v>1.4024756648447998</v>
      </c>
      <c r="AK207" s="294">
        <f>AC207*0.006</f>
        <v>0.10788274344959999</v>
      </c>
      <c r="AL207" s="294">
        <f>AC207*0.343</f>
        <v>6.1672968338687992</v>
      </c>
      <c r="AM207" s="294">
        <f>AC207*0.006</f>
        <v>0.10788274344959999</v>
      </c>
      <c r="AN207" s="294">
        <f>SUM(AD207:AM207)</f>
        <v>17.998437698841599</v>
      </c>
      <c r="AO207" s="294" t="s">
        <v>628</v>
      </c>
      <c r="AP207" s="300" t="s">
        <v>430</v>
      </c>
      <c r="AQ207" s="136" t="s">
        <v>192</v>
      </c>
      <c r="AR207" s="294" t="s">
        <v>596</v>
      </c>
      <c r="AS207" s="142"/>
      <c r="AT207" s="142"/>
      <c r="AU207" s="48" t="s">
        <v>288</v>
      </c>
      <c r="AV207" s="48"/>
      <c r="AW207" s="131" t="s">
        <v>284</v>
      </c>
      <c r="AX207" s="131"/>
      <c r="AY207" s="131"/>
      <c r="AZ207" s="48"/>
      <c r="BA207" s="48"/>
      <c r="BB207" s="50"/>
      <c r="BC207" s="51" t="s">
        <v>133</v>
      </c>
      <c r="BD207" s="90">
        <v>54.711233213228482</v>
      </c>
      <c r="BE207" s="91">
        <v>416.13250759087822</v>
      </c>
      <c r="BF207" s="92">
        <v>54.711233213228482</v>
      </c>
      <c r="BG207" s="91">
        <v>416.13250759087822</v>
      </c>
      <c r="BH207" s="449">
        <v>581098.71363743767</v>
      </c>
      <c r="BI207" s="346">
        <f t="shared" si="246"/>
        <v>37297.87906642937</v>
      </c>
      <c r="BJ207" s="347">
        <f t="shared" si="247"/>
        <v>618396.59270386701</v>
      </c>
      <c r="BK207" s="93">
        <v>332935.04005101282</v>
      </c>
      <c r="BL207" s="94">
        <v>230.21791433678794</v>
      </c>
      <c r="BM207" s="93">
        <v>248163.67358642485</v>
      </c>
      <c r="BN207" s="95">
        <v>1.7453816622858345</v>
      </c>
      <c r="BO207" s="94">
        <f t="shared" ref="BO207:BO208" si="255">SUM(BH207:BI207)/BK207</f>
        <v>1.8574091588831123</v>
      </c>
      <c r="BP207" s="93">
        <v>228964.02557823263</v>
      </c>
      <c r="BQ207" s="95">
        <v>2.537947663044068</v>
      </c>
      <c r="BR207" s="92">
        <v>48.90708553253441</v>
      </c>
      <c r="BS207" s="91">
        <v>371.98628044623001</v>
      </c>
      <c r="BT207" s="92">
        <v>103.61831874576289</v>
      </c>
      <c r="BU207" s="91">
        <v>788.11878803710829</v>
      </c>
      <c r="BV207" s="449">
        <v>545771.20110480092</v>
      </c>
      <c r="BW207" s="346">
        <f t="shared" si="249"/>
        <v>33341.060958628404</v>
      </c>
      <c r="BX207" s="346">
        <f>BV207+BW207</f>
        <v>579112.26206342934</v>
      </c>
      <c r="BY207" s="93">
        <v>297614.97820918536</v>
      </c>
      <c r="BZ207" s="94">
        <v>205.79479873373819</v>
      </c>
      <c r="CA207" s="93">
        <v>248156.22289561556</v>
      </c>
      <c r="CB207" s="95">
        <v>1.8338163098807259</v>
      </c>
      <c r="CC207" s="94">
        <f t="shared" ref="CC207:CC208" si="256">SUM(BV207:BW207)/BY207</f>
        <v>1.9458438064780037</v>
      </c>
      <c r="CD207" s="93">
        <v>204673.93120505448</v>
      </c>
      <c r="CE207" s="95">
        <v>2.6665398856194096</v>
      </c>
      <c r="CF207" s="90">
        <v>50.082174441622186</v>
      </c>
      <c r="CG207" s="91">
        <v>380.923982370717</v>
      </c>
      <c r="CH207" s="92">
        <v>153.70049318738506</v>
      </c>
      <c r="CI207" s="91">
        <v>1169.0427704078252</v>
      </c>
      <c r="CJ207" s="449">
        <v>588198.14620748593</v>
      </c>
      <c r="CK207" s="346">
        <f t="shared" si="251"/>
        <v>34142.145515663411</v>
      </c>
      <c r="CL207" s="346">
        <f>CJ207+CK207</f>
        <v>622340.29172314936</v>
      </c>
      <c r="CM207" s="93">
        <v>304765.76334111416</v>
      </c>
      <c r="CN207" s="94">
        <v>210.73942348303135</v>
      </c>
      <c r="CO207" s="93">
        <v>283432.38286637177</v>
      </c>
      <c r="CP207" s="95">
        <v>1.9300007315754013</v>
      </c>
      <c r="CQ207" s="94">
        <f t="shared" ref="CQ207:CQ208" si="257">SUM(CJ207:CK207)/CM207</f>
        <v>2.0420282281726791</v>
      </c>
      <c r="CR207" s="93">
        <v>209591.62490770748</v>
      </c>
      <c r="CS207" s="95">
        <v>2.8064010022656953</v>
      </c>
    </row>
    <row r="208" spans="1:97" s="23" customFormat="1" ht="35.25" customHeight="1" thickBot="1">
      <c r="A208" s="377" t="str">
        <f t="shared" si="243"/>
        <v>Custom Incentives; Whole Building 40% Over Baseline; COM-Other; New Construction - BNI</v>
      </c>
      <c r="B208" s="62" t="s">
        <v>135</v>
      </c>
      <c r="C208" s="16" t="s">
        <v>29</v>
      </c>
      <c r="D208" s="16" t="s">
        <v>134</v>
      </c>
      <c r="E208" s="63">
        <v>25</v>
      </c>
      <c r="F208" s="64">
        <v>4756.7347199999995</v>
      </c>
      <c r="G208" s="64">
        <v>625.39411810442698</v>
      </c>
      <c r="H208" s="65">
        <v>3473</v>
      </c>
      <c r="I208" s="66">
        <v>0.5</v>
      </c>
      <c r="J208" s="65">
        <v>252.10694015999997</v>
      </c>
      <c r="K208" s="65">
        <v>1988.60694016</v>
      </c>
      <c r="L208" s="65">
        <v>1736.5</v>
      </c>
      <c r="M208" s="65">
        <v>3725.1069401599998</v>
      </c>
      <c r="N208" s="65">
        <v>6642.4333030576436</v>
      </c>
      <c r="O208" s="67">
        <v>0.76</v>
      </c>
      <c r="P208" s="67">
        <v>1.7458404034860093</v>
      </c>
      <c r="Q208" s="312">
        <f>N208*O208/(O208*H208+J208)</f>
        <v>1.7458404034860093</v>
      </c>
      <c r="R208" s="313">
        <f t="shared" si="253"/>
        <v>0</v>
      </c>
      <c r="S208" s="313">
        <f>-PV(RDR,E208,AC208)</f>
        <v>426.34524604858041</v>
      </c>
      <c r="T208" s="312">
        <f>(N208+SUM(R208:S208))*O208/(O208*H208+J208)</f>
        <v>1.8578973444331117</v>
      </c>
      <c r="U208" s="317">
        <f t="shared" si="254"/>
        <v>6.4185100037410375E-2</v>
      </c>
      <c r="V208" s="68">
        <v>0.418061350320583</v>
      </c>
      <c r="W208" s="68">
        <v>3.1797659789117918</v>
      </c>
      <c r="X208" s="68" t="s">
        <v>429</v>
      </c>
      <c r="Y208" s="68" t="s">
        <v>569</v>
      </c>
      <c r="Z208" s="260">
        <f>0.006*Z3</f>
        <v>7.5599999999999999E-3</v>
      </c>
      <c r="AA208" s="249"/>
      <c r="AB208" s="395"/>
      <c r="AC208" s="392">
        <f>Z208*F208</f>
        <v>35.960914483199993</v>
      </c>
      <c r="AD208" s="324">
        <f>AC208*0.024</f>
        <v>0.86306194759679988</v>
      </c>
      <c r="AE208" s="324">
        <f>AC208*0.004</f>
        <v>0.14384365793279996</v>
      </c>
      <c r="AF208" s="324">
        <f>AC208*0.002</f>
        <v>7.1921828966399981E-2</v>
      </c>
      <c r="AG208" s="324">
        <f>AC208*0.076</f>
        <v>2.7330295007231995</v>
      </c>
      <c r="AH208" s="324">
        <f>AC208*0.054</f>
        <v>1.9418893820927996</v>
      </c>
      <c r="AI208" s="324">
        <f>AC208*0.408</f>
        <v>14.672053109145596</v>
      </c>
      <c r="AJ208" s="324">
        <f>AC208*0.078</f>
        <v>2.8049513296895996</v>
      </c>
      <c r="AK208" s="324">
        <f>AC208*0.006</f>
        <v>0.21576548689919997</v>
      </c>
      <c r="AL208" s="324">
        <f>AC208*0.343</f>
        <v>12.334593667737598</v>
      </c>
      <c r="AM208" s="324">
        <f>AC208*0.006</f>
        <v>0.21576548689919997</v>
      </c>
      <c r="AN208" s="324">
        <f>SUM(AD208:AM208)</f>
        <v>35.996875397683198</v>
      </c>
      <c r="AO208" s="294" t="s">
        <v>628</v>
      </c>
      <c r="AP208" s="302" t="s">
        <v>430</v>
      </c>
      <c r="AQ208" s="137" t="s">
        <v>192</v>
      </c>
      <c r="AR208" s="294" t="s">
        <v>596</v>
      </c>
      <c r="AS208" s="143"/>
      <c r="AT208" s="143"/>
      <c r="AU208" s="68" t="s">
        <v>288</v>
      </c>
      <c r="AV208" s="68"/>
      <c r="AW208" s="132" t="s">
        <v>284</v>
      </c>
      <c r="AX208" s="132"/>
      <c r="AY208" s="132"/>
      <c r="AZ208" s="68"/>
      <c r="BA208" s="48"/>
      <c r="BB208" s="50"/>
      <c r="BC208" s="51" t="s">
        <v>135</v>
      </c>
      <c r="BD208" s="52">
        <v>109.42238984271037</v>
      </c>
      <c r="BE208" s="53">
        <v>832.26443268736477</v>
      </c>
      <c r="BF208" s="54">
        <v>109.42238984271037</v>
      </c>
      <c r="BG208" s="53">
        <v>832.26443268736477</v>
      </c>
      <c r="BH208" s="450">
        <v>1162196.6138639173</v>
      </c>
      <c r="BI208" s="347">
        <f t="shared" si="246"/>
        <v>74595.705923995003</v>
      </c>
      <c r="BJ208" s="347">
        <f t="shared" si="247"/>
        <v>1236792.3197879123</v>
      </c>
      <c r="BK208" s="45">
        <v>665694.64857343177</v>
      </c>
      <c r="BL208" s="47">
        <v>230.21775320945284</v>
      </c>
      <c r="BM208" s="45">
        <v>496501.96529048553</v>
      </c>
      <c r="BN208" s="55">
        <v>1.7458404034860093</v>
      </c>
      <c r="BO208" s="47">
        <f t="shared" si="255"/>
        <v>1.8578973444331115</v>
      </c>
      <c r="BP208" s="45">
        <v>457812.62178036</v>
      </c>
      <c r="BQ208" s="55">
        <v>2.5385857850408771</v>
      </c>
      <c r="BR208" s="54">
        <v>97.814215032223473</v>
      </c>
      <c r="BS208" s="53">
        <v>743.97289530572846</v>
      </c>
      <c r="BT208" s="54">
        <v>207.23660487493385</v>
      </c>
      <c r="BU208" s="53">
        <v>1576.2373279930932</v>
      </c>
      <c r="BV208" s="450">
        <v>1091542.8928543935</v>
      </c>
      <c r="BW208" s="347">
        <f t="shared" si="249"/>
        <v>66682.151890655688</v>
      </c>
      <c r="BX208" s="426">
        <f>BV208+BW208</f>
        <v>1158225.0447450492</v>
      </c>
      <c r="BY208" s="45">
        <v>595073.81985497696</v>
      </c>
      <c r="BZ208" s="47">
        <v>205.79489123783694</v>
      </c>
      <c r="CA208" s="45">
        <v>496469.0729994165</v>
      </c>
      <c r="CB208" s="55">
        <v>1.8342982944879158</v>
      </c>
      <c r="CC208" s="47">
        <f t="shared" si="256"/>
        <v>1.946355235435018</v>
      </c>
      <c r="CD208" s="45">
        <v>409245.14896503487</v>
      </c>
      <c r="CE208" s="55">
        <v>2.6672103398534182</v>
      </c>
      <c r="CF208" s="52">
        <v>100.1644875509926</v>
      </c>
      <c r="CG208" s="53">
        <v>761.84901944545732</v>
      </c>
      <c r="CH208" s="54">
        <v>307.40109242592644</v>
      </c>
      <c r="CI208" s="53">
        <v>2338.0863474385505</v>
      </c>
      <c r="CJ208" s="450">
        <v>1176397.9210206254</v>
      </c>
      <c r="CK208" s="347">
        <f t="shared" si="251"/>
        <v>68284.385564251788</v>
      </c>
      <c r="CL208" s="347">
        <f>CJ208+CK208</f>
        <v>1244682.3065848772</v>
      </c>
      <c r="CM208" s="45">
        <v>609372.20833545888</v>
      </c>
      <c r="CN208" s="47">
        <v>210.73971523115972</v>
      </c>
      <c r="CO208" s="45">
        <v>567025.71268516651</v>
      </c>
      <c r="CP208" s="55">
        <v>1.9305079964740028</v>
      </c>
      <c r="CQ208" s="47">
        <f t="shared" si="257"/>
        <v>2.0425649374211052</v>
      </c>
      <c r="CR208" s="45">
        <v>419078.46027602628</v>
      </c>
      <c r="CS208" s="55">
        <v>2.8071066221007643</v>
      </c>
    </row>
    <row r="209" spans="1:97" s="23" customFormat="1" ht="15" customHeight="1" thickBot="1">
      <c r="A209" s="377"/>
      <c r="B209" s="70"/>
      <c r="C209" s="15"/>
      <c r="D209" s="15"/>
      <c r="E209" s="15"/>
      <c r="F209" s="70"/>
      <c r="G209" s="70"/>
      <c r="H209" s="48"/>
      <c r="I209" s="46"/>
      <c r="J209" s="45"/>
      <c r="K209" s="45"/>
      <c r="L209" s="45"/>
      <c r="M209" s="45"/>
      <c r="N209" s="45"/>
      <c r="O209" s="47"/>
      <c r="P209" s="71"/>
      <c r="Q209"/>
      <c r="R209"/>
      <c r="S209"/>
      <c r="T209"/>
      <c r="U209"/>
      <c r="V209" s="48"/>
      <c r="W209" s="48"/>
      <c r="X209" s="48"/>
      <c r="Y209" s="48" t="s">
        <v>515</v>
      </c>
      <c r="Z209" s="48"/>
      <c r="AA209" s="48"/>
      <c r="AB209" s="48"/>
      <c r="AC209" s="325"/>
      <c r="AD209" s="325"/>
      <c r="AE209" s="325"/>
      <c r="AF209" s="325"/>
      <c r="AG209" s="325"/>
      <c r="AH209" s="325"/>
      <c r="AI209" s="325"/>
      <c r="AJ209" s="325"/>
      <c r="AK209" s="325"/>
      <c r="AL209" s="325"/>
      <c r="AM209" s="325"/>
      <c r="AN209" s="325"/>
      <c r="AO209" s="325"/>
      <c r="AP209" s="48"/>
      <c r="AQ209" s="48"/>
      <c r="AR209" s="325"/>
      <c r="AS209" s="48"/>
      <c r="AT209" s="48"/>
      <c r="AU209" s="48"/>
      <c r="AV209" s="48"/>
      <c r="AW209" s="48"/>
      <c r="AX209" s="48"/>
      <c r="AY209" s="48"/>
      <c r="AZ209" s="48"/>
      <c r="BA209" s="48"/>
      <c r="BB209" s="50"/>
      <c r="BC209" s="72" t="s">
        <v>103</v>
      </c>
      <c r="BD209" s="73">
        <v>4243.3904757062637</v>
      </c>
      <c r="BE209" s="74">
        <v>33995.160583047196</v>
      </c>
      <c r="BF209" s="75">
        <v>4243.3904757062637</v>
      </c>
      <c r="BG209" s="74">
        <v>33995.160583047196</v>
      </c>
      <c r="BH209" s="428">
        <v>32039143.321365926</v>
      </c>
      <c r="BI209" s="348">
        <f>SUM(BI199:BI208)</f>
        <v>14108872.989269128</v>
      </c>
      <c r="BJ209" s="430">
        <f t="shared" si="247"/>
        <v>46148016.310635053</v>
      </c>
      <c r="BK209" s="76">
        <v>12579213.056666564</v>
      </c>
      <c r="BL209" s="77"/>
      <c r="BM209" s="76">
        <v>19459930.264699362</v>
      </c>
      <c r="BN209" s="78">
        <v>2.5469910698735041</v>
      </c>
      <c r="BO209" s="77"/>
      <c r="BP209" s="76">
        <v>8230788.647608676</v>
      </c>
      <c r="BQ209" s="78">
        <v>3.8925970150715008</v>
      </c>
      <c r="BR209" s="75">
        <v>4256.5870519355467</v>
      </c>
      <c r="BS209" s="74">
        <v>34079.770760229359</v>
      </c>
      <c r="BT209" s="75">
        <v>8499.9775276418095</v>
      </c>
      <c r="BU209" s="74">
        <v>68074.931343276563</v>
      </c>
      <c r="BV209" s="428">
        <v>33905455.173778564</v>
      </c>
      <c r="BW209" s="348">
        <f>SUM(BW199:BW208)</f>
        <v>14189775.619155778</v>
      </c>
      <c r="BX209" s="430">
        <f>BV209+BW209</f>
        <v>48095230.792934343</v>
      </c>
      <c r="BY209" s="76">
        <v>12550029.118678344</v>
      </c>
      <c r="BZ209" s="77"/>
      <c r="CA209" s="76">
        <v>21355426.055100217</v>
      </c>
      <c r="CB209" s="78">
        <v>2.7016236259816089</v>
      </c>
      <c r="CC209" s="77"/>
      <c r="CD209" s="76">
        <v>8207933.3430785667</v>
      </c>
      <c r="CE209" s="78">
        <v>4.1308151219782658</v>
      </c>
      <c r="CF209" s="75">
        <v>4304.6727919161885</v>
      </c>
      <c r="CG209" s="74">
        <v>34435.062055134462</v>
      </c>
      <c r="CH209" s="75">
        <v>12804.650319557997</v>
      </c>
      <c r="CI209" s="74">
        <v>102509.99339841104</v>
      </c>
      <c r="CJ209" s="428">
        <v>36399857.270536385</v>
      </c>
      <c r="CK209" s="348">
        <f>SUM(CK199:CK208)</f>
        <v>14332580.365029495</v>
      </c>
      <c r="CL209" s="430">
        <f>CJ209+CK209</f>
        <v>50732437.635565877</v>
      </c>
      <c r="CM209" s="76">
        <v>12687641.243656956</v>
      </c>
      <c r="CN209" s="77"/>
      <c r="CO209" s="76">
        <v>23712216.026879426</v>
      </c>
      <c r="CP209" s="78">
        <v>2.8689223293363599</v>
      </c>
      <c r="CQ209" s="77"/>
      <c r="CR209" s="76">
        <v>8298357.1075068545</v>
      </c>
      <c r="CS209" s="78">
        <v>4.3863932100015761</v>
      </c>
    </row>
    <row r="210" spans="1:97" s="23" customFormat="1" ht="15" customHeight="1" thickBot="1">
      <c r="A210" s="377"/>
      <c r="B210"/>
      <c r="C210" s="85"/>
      <c r="D210" s="85"/>
      <c r="E210" s="22"/>
      <c r="F210" s="86"/>
      <c r="G210" s="86"/>
      <c r="H210" s="22"/>
      <c r="I210" s="22"/>
      <c r="J210" s="22"/>
      <c r="K210" s="22"/>
      <c r="L210" s="22"/>
      <c r="M210" s="22"/>
      <c r="N210" s="22"/>
      <c r="O210" s="22"/>
      <c r="P210" s="22"/>
      <c r="Q210"/>
      <c r="R210"/>
      <c r="S210"/>
      <c r="T210"/>
      <c r="U210"/>
      <c r="V210" s="22"/>
      <c r="W210" s="22"/>
      <c r="X210" s="22"/>
      <c r="Y210" s="22" t="s">
        <v>515</v>
      </c>
      <c r="Z210" s="22"/>
      <c r="AA210" s="22"/>
      <c r="AB210" s="22"/>
      <c r="AC210" s="326"/>
      <c r="AD210" s="326"/>
      <c r="AE210" s="326"/>
      <c r="AF210" s="326"/>
      <c r="AG210" s="326"/>
      <c r="AH210" s="326"/>
      <c r="AI210" s="326"/>
      <c r="AJ210" s="326"/>
      <c r="AK210" s="326"/>
      <c r="AL210" s="326"/>
      <c r="AM210" s="326"/>
      <c r="AN210" s="326"/>
      <c r="AO210" s="326"/>
      <c r="AP210" s="22"/>
      <c r="AQ210" s="22"/>
      <c r="AR210" s="326"/>
      <c r="AS210" s="22"/>
      <c r="AT210" s="22"/>
      <c r="AU210" s="22"/>
      <c r="AV210" s="22"/>
      <c r="AW210" s="22"/>
      <c r="AX210" s="22"/>
      <c r="AY210" s="22"/>
      <c r="AZ210" s="22"/>
      <c r="BA210" s="22"/>
      <c r="BB210" s="22"/>
      <c r="BC210" s="80" t="s">
        <v>104</v>
      </c>
      <c r="BD210" s="439">
        <v>4243.3904757062637</v>
      </c>
      <c r="BE210" s="81">
        <v>33995.160583047196</v>
      </c>
      <c r="BF210" s="82">
        <v>4243.3904757062637</v>
      </c>
      <c r="BG210" s="81">
        <v>33995.160583047196</v>
      </c>
      <c r="BH210" s="451">
        <v>32039143.321365926</v>
      </c>
      <c r="BI210" s="429">
        <f>SUM(BH209:BI209)/BK209</f>
        <v>3.6685932659498235</v>
      </c>
      <c r="BJ210" s="347"/>
      <c r="BK210" s="83"/>
      <c r="BL210" s="84"/>
      <c r="BM210" s="83"/>
      <c r="BN210" s="429">
        <f>BN209</f>
        <v>2.5469910698735041</v>
      </c>
      <c r="BO210" s="84"/>
      <c r="BP210" s="83"/>
      <c r="BQ210" s="440">
        <v>3.8925970150714999</v>
      </c>
      <c r="BR210" s="81">
        <v>4256.5870519355467</v>
      </c>
      <c r="BS210" s="81">
        <v>34079.770760229359</v>
      </c>
      <c r="BT210" s="82">
        <v>8499.9775276418095</v>
      </c>
      <c r="BU210" s="81">
        <v>68074.931343276563</v>
      </c>
      <c r="BV210" s="451">
        <v>33905455.173778564</v>
      </c>
      <c r="BW210" s="429">
        <f>SUM(BV209:BW209)/BY209</f>
        <v>3.8322804145014842</v>
      </c>
      <c r="BX210" s="347"/>
      <c r="BY210" s="83"/>
      <c r="BZ210" s="84"/>
      <c r="CA210" s="83"/>
      <c r="CB210" s="429">
        <v>2.7016236259816084</v>
      </c>
      <c r="CC210" s="84"/>
      <c r="CD210" s="83"/>
      <c r="CE210" s="84">
        <v>4.1308151219782649</v>
      </c>
      <c r="CF210" s="81">
        <v>4304.6727919161885</v>
      </c>
      <c r="CG210" s="81">
        <v>34435.062055134462</v>
      </c>
      <c r="CH210" s="82">
        <v>12804.650319557997</v>
      </c>
      <c r="CI210" s="81">
        <v>102509.99339841104</v>
      </c>
      <c r="CJ210" s="451">
        <v>36399857.270536385</v>
      </c>
      <c r="CK210" s="429">
        <f>SUM(CJ209:CK209)/CM209</f>
        <v>3.9985712601173202</v>
      </c>
      <c r="CL210" s="347"/>
      <c r="CM210" s="83"/>
      <c r="CN210" s="84"/>
      <c r="CO210" s="83"/>
      <c r="CP210" s="429">
        <v>2.8689223293363599</v>
      </c>
      <c r="CQ210" s="84"/>
      <c r="CR210" s="83"/>
      <c r="CS210" s="84">
        <v>4.3863932100015761</v>
      </c>
    </row>
    <row r="211" spans="1:97" s="23" customFormat="1" ht="15" customHeight="1" thickBot="1">
      <c r="A211" s="377"/>
      <c r="B211" s="87"/>
      <c r="C211" s="87"/>
      <c r="D211" s="87"/>
      <c r="E211" s="22"/>
      <c r="F211" s="86"/>
      <c r="G211" s="86"/>
      <c r="H211" s="22"/>
      <c r="I211" s="22"/>
      <c r="J211" s="22"/>
      <c r="K211" s="22"/>
      <c r="L211" s="22"/>
      <c r="M211" s="22"/>
      <c r="N211" s="22"/>
      <c r="O211" s="22"/>
      <c r="P211" s="22"/>
      <c r="Q211"/>
      <c r="R211"/>
      <c r="S211"/>
      <c r="T211"/>
      <c r="U211"/>
      <c r="V211" s="22"/>
      <c r="W211" s="22"/>
      <c r="X211" s="22"/>
      <c r="Y211" s="22" t="s">
        <v>515</v>
      </c>
      <c r="Z211" s="22"/>
      <c r="AA211" s="22"/>
      <c r="AB211" s="22"/>
      <c r="AC211" s="326"/>
      <c r="AD211" s="326"/>
      <c r="AE211" s="326"/>
      <c r="AF211" s="326"/>
      <c r="AG211" s="326"/>
      <c r="AH211" s="326"/>
      <c r="AI211" s="326"/>
      <c r="AJ211" s="326"/>
      <c r="AK211" s="326"/>
      <c r="AL211" s="326"/>
      <c r="AM211" s="326"/>
      <c r="AN211" s="326"/>
      <c r="AO211" s="326"/>
      <c r="AP211" s="22"/>
      <c r="AQ211" s="22"/>
      <c r="AR211" s="326"/>
      <c r="AS211" s="22"/>
      <c r="AT211" s="22"/>
      <c r="AU211" s="22"/>
      <c r="AV211" s="22"/>
      <c r="AW211" s="22"/>
      <c r="AX211" s="22"/>
      <c r="AY211" s="22"/>
      <c r="AZ211" s="22"/>
      <c r="BA211" s="22"/>
      <c r="BB211" s="22"/>
      <c r="BC211" s="87" t="s">
        <v>136</v>
      </c>
      <c r="BD211" s="445"/>
      <c r="BE211" s="22"/>
      <c r="BF211" s="88"/>
      <c r="BG211" s="22"/>
      <c r="BH211" s="441"/>
      <c r="BI211" s="469" t="s">
        <v>461</v>
      </c>
      <c r="BJ211" s="468"/>
      <c r="BK211" s="442"/>
      <c r="BL211" s="443"/>
      <c r="BM211" s="442"/>
      <c r="BN211" s="470" t="s">
        <v>508</v>
      </c>
      <c r="BO211" s="22"/>
      <c r="BP211" s="22"/>
      <c r="BQ211" s="446"/>
      <c r="BR211" s="88"/>
      <c r="BS211" s="22"/>
      <c r="BT211" s="88"/>
      <c r="BU211" s="22"/>
      <c r="BV211" s="441"/>
      <c r="BW211" s="469" t="s">
        <v>461</v>
      </c>
      <c r="BX211" s="468"/>
      <c r="BY211" s="442"/>
      <c r="BZ211" s="443"/>
      <c r="CA211" s="442"/>
      <c r="CB211" s="470" t="s">
        <v>508</v>
      </c>
      <c r="CC211" s="22"/>
      <c r="CD211" s="22"/>
      <c r="CE211" s="22"/>
      <c r="CF211" s="88"/>
      <c r="CG211" s="22"/>
      <c r="CH211" s="88"/>
      <c r="CI211" s="22"/>
      <c r="CJ211" s="441"/>
      <c r="CK211" s="469" t="s">
        <v>461</v>
      </c>
      <c r="CL211" s="468"/>
      <c r="CM211" s="442"/>
      <c r="CN211" s="443"/>
      <c r="CO211" s="442"/>
      <c r="CP211" s="470" t="s">
        <v>508</v>
      </c>
      <c r="CQ211" s="22"/>
      <c r="CR211" s="22"/>
      <c r="CS211" s="22"/>
    </row>
    <row r="212" spans="1:97" s="23" customFormat="1" ht="15" customHeight="1" thickBot="1">
      <c r="A212" s="377"/>
      <c r="B212" s="87"/>
      <c r="C212" s="87"/>
      <c r="D212" s="87"/>
      <c r="E212" s="22"/>
      <c r="F212" s="86"/>
      <c r="G212" s="86"/>
      <c r="H212" s="22"/>
      <c r="I212" s="22"/>
      <c r="J212" s="22"/>
      <c r="K212" s="22"/>
      <c r="L212" s="22"/>
      <c r="M212" s="22"/>
      <c r="N212" s="22"/>
      <c r="O212" s="22"/>
      <c r="P212" s="22"/>
      <c r="Q212"/>
      <c r="R212"/>
      <c r="S212"/>
      <c r="T212"/>
      <c r="U212"/>
      <c r="V212" s="22"/>
      <c r="W212" s="22"/>
      <c r="X212" s="22"/>
      <c r="Y212" s="22" t="s">
        <v>515</v>
      </c>
      <c r="Z212" s="22"/>
      <c r="AA212" s="22"/>
      <c r="AB212" s="22"/>
      <c r="AC212" s="326"/>
      <c r="AD212" s="326"/>
      <c r="AE212" s="326"/>
      <c r="AF212" s="326"/>
      <c r="AG212" s="326"/>
      <c r="AH212" s="326"/>
      <c r="AI212" s="326"/>
      <c r="AJ212" s="326"/>
      <c r="AK212" s="326"/>
      <c r="AL212" s="326"/>
      <c r="AM212" s="326"/>
      <c r="AN212" s="326"/>
      <c r="AO212" s="326"/>
      <c r="AP212" s="22"/>
      <c r="AQ212" s="22"/>
      <c r="AR212" s="326"/>
      <c r="AS212" s="22"/>
      <c r="AT212" s="22"/>
      <c r="AU212" s="22"/>
      <c r="AV212" s="22"/>
      <c r="AW212" s="22"/>
      <c r="AX212" s="22"/>
      <c r="AY212" s="22"/>
      <c r="AZ212" s="22"/>
      <c r="BA212" s="22"/>
      <c r="BB212" s="22"/>
      <c r="BC212" s="87"/>
      <c r="BD212" s="445"/>
      <c r="BE212" s="22"/>
      <c r="BF212" s="88"/>
      <c r="BG212" s="22"/>
      <c r="BH212" s="472"/>
      <c r="BI212" s="471"/>
      <c r="BJ212" s="347"/>
      <c r="BK212" s="458"/>
      <c r="BL212" s="473"/>
      <c r="BM212" s="458"/>
      <c r="BN212" s="474"/>
      <c r="BO212" s="22"/>
      <c r="BP212" s="22"/>
      <c r="BQ212" s="446"/>
      <c r="BR212" s="88"/>
      <c r="BS212" s="22"/>
      <c r="BT212" s="88"/>
      <c r="BU212" s="22"/>
      <c r="BV212" s="472"/>
      <c r="BW212" s="471"/>
      <c r="BX212" s="347"/>
      <c r="BY212" s="458"/>
      <c r="BZ212" s="473"/>
      <c r="CA212" s="458"/>
      <c r="CB212" s="474"/>
      <c r="CC212" s="22"/>
      <c r="CD212" s="22"/>
      <c r="CE212" s="22"/>
      <c r="CF212" s="88"/>
      <c r="CG212" s="22"/>
      <c r="CH212" s="88"/>
      <c r="CI212" s="22"/>
      <c r="CJ212" s="472"/>
      <c r="CK212" s="471"/>
      <c r="CL212" s="347"/>
      <c r="CM212" s="458"/>
      <c r="CN212" s="473"/>
      <c r="CO212" s="458"/>
      <c r="CP212" s="474"/>
      <c r="CQ212" s="22"/>
      <c r="CR212" s="22"/>
      <c r="CS212" s="22"/>
    </row>
    <row r="213" spans="1:97" s="23" customFormat="1" ht="15" customHeight="1" thickBot="1">
      <c r="A213" s="377"/>
      <c r="B213" s="87" t="s">
        <v>493</v>
      </c>
      <c r="C213" s="87"/>
      <c r="D213" s="87"/>
      <c r="E213" s="22"/>
      <c r="F213" s="86"/>
      <c r="G213" s="86"/>
      <c r="H213" s="22"/>
      <c r="I213" s="22"/>
      <c r="J213" s="22"/>
      <c r="K213" s="22"/>
      <c r="L213" s="22"/>
      <c r="M213" s="22"/>
      <c r="N213" s="22"/>
      <c r="O213" s="22"/>
      <c r="P213" s="22"/>
      <c r="Q213"/>
      <c r="R213"/>
      <c r="S213"/>
      <c r="T213"/>
      <c r="U213"/>
      <c r="V213" s="22"/>
      <c r="W213" s="22"/>
      <c r="X213" s="22"/>
      <c r="Y213" s="22" t="s">
        <v>515</v>
      </c>
      <c r="Z213" s="22"/>
      <c r="AA213" s="22"/>
      <c r="AB213" s="22"/>
      <c r="AC213" s="326"/>
      <c r="AD213" s="526" t="s">
        <v>474</v>
      </c>
      <c r="AE213" s="510" t="s">
        <v>276</v>
      </c>
      <c r="AF213" s="510" t="s">
        <v>277</v>
      </c>
      <c r="AG213" s="510" t="s">
        <v>280</v>
      </c>
      <c r="AH213" s="510" t="s">
        <v>278</v>
      </c>
      <c r="AI213" s="510" t="s">
        <v>279</v>
      </c>
      <c r="AJ213" s="516" t="s">
        <v>475</v>
      </c>
      <c r="AK213" s="326"/>
      <c r="AL213" s="326"/>
      <c r="AM213" s="326"/>
      <c r="AN213" s="326"/>
      <c r="AO213" s="326"/>
      <c r="AP213" s="22"/>
      <c r="AQ213" s="22"/>
      <c r="AR213" s="326"/>
      <c r="AS213" s="22"/>
      <c r="AT213" s="22"/>
      <c r="AU213" s="22"/>
      <c r="AV213" s="22"/>
      <c r="AW213" s="22"/>
      <c r="AX213" s="22"/>
      <c r="AY213" s="22"/>
      <c r="AZ213" s="22"/>
      <c r="BA213" s="22"/>
      <c r="BB213" s="22"/>
      <c r="BC213" s="434" t="s">
        <v>0</v>
      </c>
      <c r="BD213" s="5" t="s">
        <v>106</v>
      </c>
      <c r="BE213" s="6"/>
      <c r="BF213" s="7"/>
      <c r="BG213" s="6"/>
      <c r="BH213" s="453"/>
      <c r="BI213" s="350"/>
      <c r="BJ213" s="427"/>
      <c r="BK213" s="6"/>
      <c r="BL213" s="380"/>
      <c r="BM213" s="6"/>
      <c r="BN213" s="8"/>
      <c r="BO213" s="6"/>
      <c r="BP213" s="6"/>
      <c r="BQ213" s="8"/>
      <c r="BR213" s="7" t="s">
        <v>107</v>
      </c>
      <c r="BS213" s="6"/>
      <c r="BT213" s="7"/>
      <c r="BU213" s="6"/>
      <c r="BV213" s="453"/>
      <c r="BW213" s="350"/>
      <c r="BX213" s="350"/>
      <c r="BY213" s="6"/>
      <c r="BZ213" s="380"/>
      <c r="CA213" s="6"/>
      <c r="CB213" s="8"/>
      <c r="CC213" s="6"/>
      <c r="CD213" s="6"/>
      <c r="CE213" s="8"/>
      <c r="CF213" s="5" t="s">
        <v>108</v>
      </c>
      <c r="CG213" s="6"/>
      <c r="CH213" s="7"/>
      <c r="CI213" s="6"/>
      <c r="CJ213" s="453"/>
      <c r="CK213" s="350"/>
      <c r="CL213" s="350"/>
      <c r="CM213" s="6"/>
      <c r="CN213" s="380"/>
      <c r="CO213" s="6"/>
      <c r="CP213" s="8"/>
      <c r="CQ213" s="6"/>
      <c r="CR213" s="6"/>
      <c r="CS213" s="8"/>
    </row>
    <row r="214" spans="1:97" s="23" customFormat="1" ht="15" customHeight="1" thickBot="1">
      <c r="A214" s="377"/>
      <c r="B214" s="87"/>
      <c r="C214" s="87"/>
      <c r="D214" s="87"/>
      <c r="E214" s="22"/>
      <c r="F214" s="86"/>
      <c r="G214" s="86"/>
      <c r="H214" s="22"/>
      <c r="I214" s="22"/>
      <c r="J214" s="22"/>
      <c r="K214" s="22"/>
      <c r="L214" s="22"/>
      <c r="M214" s="22"/>
      <c r="N214" s="22"/>
      <c r="O214" s="22"/>
      <c r="P214" s="22"/>
      <c r="Q214"/>
      <c r="R214"/>
      <c r="S214"/>
      <c r="T214"/>
      <c r="U214"/>
      <c r="V214" s="22"/>
      <c r="W214" s="22"/>
      <c r="X214" s="22"/>
      <c r="Y214" s="22" t="s">
        <v>515</v>
      </c>
      <c r="Z214" s="22"/>
      <c r="AA214" s="22"/>
      <c r="AB214" s="22"/>
      <c r="AC214" s="326"/>
      <c r="AD214" s="527"/>
      <c r="AE214" s="511"/>
      <c r="AF214" s="511"/>
      <c r="AG214" s="511"/>
      <c r="AH214" s="511"/>
      <c r="AI214" s="511"/>
      <c r="AJ214" s="517"/>
      <c r="AK214" s="326"/>
      <c r="AL214" s="326"/>
      <c r="AM214" s="326"/>
      <c r="AN214" s="326"/>
      <c r="AO214" s="326"/>
      <c r="AP214" s="22"/>
      <c r="AQ214" s="22"/>
      <c r="AR214" s="497"/>
      <c r="AS214" s="22"/>
      <c r="AT214" s="22"/>
      <c r="AU214" s="22"/>
      <c r="AV214" s="22"/>
      <c r="AW214" s="22"/>
      <c r="AX214" s="22"/>
      <c r="AY214" s="22"/>
      <c r="AZ214" s="22"/>
      <c r="BA214" s="22"/>
      <c r="BB214" s="22"/>
      <c r="BC214" s="435"/>
      <c r="BD214" s="9"/>
      <c r="BE214" s="10"/>
      <c r="BF214" s="11"/>
      <c r="BG214" s="10"/>
      <c r="BH214" s="454" t="s">
        <v>109</v>
      </c>
      <c r="BI214" s="351"/>
      <c r="BJ214" s="427"/>
      <c r="BK214" s="10" t="s">
        <v>110</v>
      </c>
      <c r="BL214" s="381"/>
      <c r="BM214" s="10" t="s">
        <v>111</v>
      </c>
      <c r="BN214" s="12" t="s">
        <v>112</v>
      </c>
      <c r="BO214" s="10"/>
      <c r="BP214" s="10" t="s">
        <v>113</v>
      </c>
      <c r="BQ214" s="12" t="s">
        <v>114</v>
      </c>
      <c r="BR214" s="11"/>
      <c r="BS214" s="10"/>
      <c r="BT214" s="11"/>
      <c r="BU214" s="10"/>
      <c r="BV214" s="454" t="s">
        <v>109</v>
      </c>
      <c r="BW214" s="351"/>
      <c r="BX214" s="351"/>
      <c r="BY214" s="10" t="s">
        <v>110</v>
      </c>
      <c r="BZ214" s="381"/>
      <c r="CA214" s="10" t="s">
        <v>111</v>
      </c>
      <c r="CB214" s="12" t="s">
        <v>112</v>
      </c>
      <c r="CC214" s="10"/>
      <c r="CD214" s="10" t="s">
        <v>113</v>
      </c>
      <c r="CE214" s="12" t="s">
        <v>114</v>
      </c>
      <c r="CF214" s="9"/>
      <c r="CG214" s="10"/>
      <c r="CH214" s="11"/>
      <c r="CI214" s="10"/>
      <c r="CJ214" s="454" t="s">
        <v>109</v>
      </c>
      <c r="CK214" s="351"/>
      <c r="CL214" s="351"/>
      <c r="CM214" s="10" t="s">
        <v>110</v>
      </c>
      <c r="CN214" s="381"/>
      <c r="CO214" s="10" t="s">
        <v>111</v>
      </c>
      <c r="CP214" s="12" t="s">
        <v>112</v>
      </c>
      <c r="CQ214" s="10"/>
      <c r="CR214" s="10" t="s">
        <v>113</v>
      </c>
      <c r="CS214" s="12" t="s">
        <v>114</v>
      </c>
    </row>
    <row r="215" spans="1:97" s="23" customFormat="1" ht="15" customHeight="1" thickBot="1">
      <c r="A215" s="377"/>
      <c r="B215" s="17" t="s">
        <v>0</v>
      </c>
      <c r="C215" s="18" t="s">
        <v>1</v>
      </c>
      <c r="D215" s="18" t="s">
        <v>2</v>
      </c>
      <c r="E215" s="19" t="s">
        <v>3</v>
      </c>
      <c r="F215" s="19" t="s">
        <v>4</v>
      </c>
      <c r="G215" s="19" t="s">
        <v>5</v>
      </c>
      <c r="H215" s="19" t="s">
        <v>6</v>
      </c>
      <c r="I215" s="19" t="s">
        <v>7</v>
      </c>
      <c r="J215" s="19" t="s">
        <v>8</v>
      </c>
      <c r="K215" s="19" t="s">
        <v>9</v>
      </c>
      <c r="L215" s="19" t="s">
        <v>10</v>
      </c>
      <c r="M215" s="19" t="s">
        <v>11</v>
      </c>
      <c r="N215" s="19" t="s">
        <v>12</v>
      </c>
      <c r="O215" s="19" t="s">
        <v>13</v>
      </c>
      <c r="P215" s="19" t="s">
        <v>14</v>
      </c>
      <c r="Q215" s="307" t="s">
        <v>431</v>
      </c>
      <c r="R215" s="307" t="s">
        <v>432</v>
      </c>
      <c r="S215" s="307" t="s">
        <v>433</v>
      </c>
      <c r="T215" s="307" t="s">
        <v>434</v>
      </c>
      <c r="U215" s="318" t="s">
        <v>435</v>
      </c>
      <c r="V215" s="19" t="s">
        <v>15</v>
      </c>
      <c r="W215" s="20" t="s">
        <v>16</v>
      </c>
      <c r="X215" s="218"/>
      <c r="Y215" s="476" t="s">
        <v>515</v>
      </c>
      <c r="Z215" s="225"/>
      <c r="AA215" s="256"/>
      <c r="AB215" s="123"/>
      <c r="AC215" s="327"/>
      <c r="AD215" s="367"/>
      <c r="AE215" s="367"/>
      <c r="AF215" s="367"/>
      <c r="AG215" s="367"/>
      <c r="AH215" s="367"/>
      <c r="AI215" s="367"/>
      <c r="AJ215" s="367"/>
      <c r="AK215" s="327"/>
      <c r="AL215" s="327"/>
      <c r="AM215" s="327"/>
      <c r="AN215" s="327"/>
      <c r="AO215" s="327"/>
      <c r="AP215" s="218"/>
      <c r="AQ215" s="123"/>
      <c r="AR215" s="498"/>
      <c r="AS215" s="123"/>
      <c r="AT215" s="123"/>
      <c r="AU215" s="123"/>
      <c r="AV215" s="123"/>
      <c r="AW215" s="123"/>
      <c r="AX215" s="123"/>
      <c r="AY215" s="123"/>
      <c r="AZ215" s="123"/>
      <c r="BA215" s="21"/>
      <c r="BB215" s="22"/>
      <c r="BC215" s="433"/>
      <c r="BD215" s="13" t="s">
        <v>17</v>
      </c>
      <c r="BE215" s="1" t="s">
        <v>18</v>
      </c>
      <c r="BF215" s="14" t="s">
        <v>19</v>
      </c>
      <c r="BG215" s="1" t="s">
        <v>20</v>
      </c>
      <c r="BH215" s="455" t="s">
        <v>21</v>
      </c>
      <c r="BI215" s="345"/>
      <c r="BJ215" s="426"/>
      <c r="BK215" s="1" t="s">
        <v>22</v>
      </c>
      <c r="BL215" s="382"/>
      <c r="BM215" s="2" t="s">
        <v>23</v>
      </c>
      <c r="BN215" s="4" t="s">
        <v>24</v>
      </c>
      <c r="BO215" s="3"/>
      <c r="BP215" s="1" t="s">
        <v>25</v>
      </c>
      <c r="BQ215" s="4" t="s">
        <v>26</v>
      </c>
      <c r="BR215" s="14" t="s">
        <v>17</v>
      </c>
      <c r="BS215" s="1" t="s">
        <v>18</v>
      </c>
      <c r="BT215" s="14" t="s">
        <v>19</v>
      </c>
      <c r="BU215" s="1" t="s">
        <v>20</v>
      </c>
      <c r="BV215" s="455" t="s">
        <v>21</v>
      </c>
      <c r="BW215" s="345"/>
      <c r="BX215" s="345"/>
      <c r="BY215" s="1" t="s">
        <v>22</v>
      </c>
      <c r="BZ215" s="382"/>
      <c r="CA215" s="2" t="s">
        <v>23</v>
      </c>
      <c r="CB215" s="4" t="s">
        <v>24</v>
      </c>
      <c r="CC215" s="3"/>
      <c r="CD215" s="1" t="s">
        <v>25</v>
      </c>
      <c r="CE215" s="4" t="s">
        <v>26</v>
      </c>
      <c r="CF215" s="13" t="s">
        <v>17</v>
      </c>
      <c r="CG215" s="1" t="s">
        <v>18</v>
      </c>
      <c r="CH215" s="14" t="s">
        <v>19</v>
      </c>
      <c r="CI215" s="1" t="s">
        <v>20</v>
      </c>
      <c r="CJ215" s="455" t="s">
        <v>21</v>
      </c>
      <c r="CK215" s="345"/>
      <c r="CL215" s="345"/>
      <c r="CM215" s="1" t="s">
        <v>22</v>
      </c>
      <c r="CN215" s="382"/>
      <c r="CO215" s="2" t="s">
        <v>23</v>
      </c>
      <c r="CP215" s="4" t="s">
        <v>24</v>
      </c>
      <c r="CQ215" s="3"/>
      <c r="CR215" s="1" t="s">
        <v>25</v>
      </c>
      <c r="CS215" s="4" t="s">
        <v>26</v>
      </c>
    </row>
    <row r="216" spans="1:97" s="23" customFormat="1" ht="15" customHeight="1">
      <c r="A216" s="377" t="str">
        <f t="shared" ref="A216:A227" si="258">CONCATENATE($B$213,"; ",B216,"; ",C216,"; ",D216)</f>
        <v>Residential - Efficient Product Rebates; Refrigerator Retirement; RES-Appliance; RES-SF</v>
      </c>
      <c r="B216" s="149" t="s">
        <v>137</v>
      </c>
      <c r="C216" s="15" t="s">
        <v>138</v>
      </c>
      <c r="D216" s="15" t="s">
        <v>139</v>
      </c>
      <c r="E216" s="43">
        <v>5</v>
      </c>
      <c r="F216" s="44">
        <v>967.81862399999989</v>
      </c>
      <c r="G216" s="44">
        <v>133.92913350161183</v>
      </c>
      <c r="H216" s="45">
        <v>100</v>
      </c>
      <c r="I216" s="46">
        <v>0.45</v>
      </c>
      <c r="J216" s="45">
        <v>96.781862399999994</v>
      </c>
      <c r="K216" s="45">
        <v>141.78186239999999</v>
      </c>
      <c r="L216" s="45">
        <v>55</v>
      </c>
      <c r="M216" s="45">
        <v>196.78186239999999</v>
      </c>
      <c r="N216" s="45">
        <v>313.01353220416979</v>
      </c>
      <c r="O216" s="47">
        <v>0.6</v>
      </c>
      <c r="P216" s="47">
        <v>1.1978944276305643</v>
      </c>
      <c r="Q216" s="310">
        <f t="shared" ref="Q216:Q227" si="259">N216*O216/(O216*H216+J216)</f>
        <v>1.1978944276305643</v>
      </c>
      <c r="R216" s="311">
        <f t="shared" ref="R216:R227" si="260">AB216</f>
        <v>0.79833600000000005</v>
      </c>
      <c r="S216" s="311">
        <f t="shared" ref="S216:S227" si="261">-PV(RDR,E216,AC216)</f>
        <v>0</v>
      </c>
      <c r="T216" s="310">
        <f t="shared" ref="T216:T227" si="262">(N216+SUM(R216:S216))*O216/(O216*H216+J216)</f>
        <v>1.2009496381802254</v>
      </c>
      <c r="U216" s="316">
        <f t="shared" ref="U216:U227" si="263">(T216-Q216)/Q216</f>
        <v>2.5504839818850122E-3</v>
      </c>
      <c r="V216" s="48">
        <v>0.14649631540878472</v>
      </c>
      <c r="W216" s="49">
        <v>1.0586334630343417</v>
      </c>
      <c r="X216" s="48">
        <v>1.44</v>
      </c>
      <c r="Y216" s="48" t="s">
        <v>570</v>
      </c>
      <c r="Z216" s="246">
        <f>X216*Z3</f>
        <v>1.8144</v>
      </c>
      <c r="AA216" s="246"/>
      <c r="AB216" s="412">
        <f>Z216*0.44</f>
        <v>0.79833600000000005</v>
      </c>
      <c r="AC216" s="407">
        <v>0</v>
      </c>
      <c r="AD216" s="294">
        <v>0</v>
      </c>
      <c r="AE216" s="294">
        <v>0</v>
      </c>
      <c r="AF216" s="294">
        <v>0</v>
      </c>
      <c r="AG216" s="294">
        <f>AB216</f>
        <v>0.79833600000000005</v>
      </c>
      <c r="AH216" s="294">
        <v>0</v>
      </c>
      <c r="AI216" s="294">
        <v>0</v>
      </c>
      <c r="AJ216" s="294">
        <v>0</v>
      </c>
      <c r="AK216" s="294"/>
      <c r="AL216" s="294"/>
      <c r="AM216" s="294"/>
      <c r="AN216" s="294"/>
      <c r="AO216" s="294" t="s">
        <v>631</v>
      </c>
      <c r="AP216" s="300" t="s">
        <v>421</v>
      </c>
      <c r="AQ216" s="136" t="s">
        <v>193</v>
      </c>
      <c r="AR216" s="294" t="s">
        <v>594</v>
      </c>
      <c r="AS216" s="142"/>
      <c r="AT216" s="142"/>
      <c r="AU216" s="146">
        <v>172.53</v>
      </c>
      <c r="AV216" s="48" t="s">
        <v>211</v>
      </c>
      <c r="AW216" s="131" t="s">
        <v>284</v>
      </c>
      <c r="AX216" s="131"/>
      <c r="AY216" s="131"/>
      <c r="AZ216" s="48"/>
      <c r="BA216" s="48"/>
      <c r="BB216" s="50"/>
      <c r="BC216" s="51" t="s">
        <v>137</v>
      </c>
      <c r="BD216" s="90">
        <v>293.01855520113452</v>
      </c>
      <c r="BE216" s="91">
        <v>2117.4542647049761</v>
      </c>
      <c r="BF216" s="92">
        <v>293.01855520113452</v>
      </c>
      <c r="BG216" s="91">
        <v>2117.4542647049761</v>
      </c>
      <c r="BH216" s="449">
        <v>684830.63069892721</v>
      </c>
      <c r="BI216" s="346">
        <f t="shared" ref="BI216:BI227" si="264">SUM(R216:S216)*O216*BL216</f>
        <v>1746.6495539018601</v>
      </c>
      <c r="BJ216" s="347">
        <f t="shared" si="247"/>
        <v>686577.28025282908</v>
      </c>
      <c r="BK216" s="93">
        <v>571695.31379616016</v>
      </c>
      <c r="BL216" s="94">
        <v>3646.4378279777357</v>
      </c>
      <c r="BM216" s="93">
        <v>113135.31690276705</v>
      </c>
      <c r="BN216" s="95">
        <v>1.1978944276305645</v>
      </c>
      <c r="BO216" s="94">
        <f t="shared" ref="BO216:BO227" si="265">SUM(BH216:BI216)/BK216</f>
        <v>1.2009496381802256</v>
      </c>
      <c r="BP216" s="93">
        <v>516998.74637649406</v>
      </c>
      <c r="BQ216" s="95">
        <v>1.3246272558661349</v>
      </c>
      <c r="BR216" s="92">
        <v>323.62538699141197</v>
      </c>
      <c r="BS216" s="91">
        <v>2338.6299047901057</v>
      </c>
      <c r="BT216" s="92">
        <v>616.64394219254643</v>
      </c>
      <c r="BU216" s="91">
        <v>4456.0841694950814</v>
      </c>
      <c r="BV216" s="449">
        <v>814822.84639575332</v>
      </c>
      <c r="BW216" s="346">
        <f t="shared" ref="BW216:BW227" si="266">SUM(R216:S216)*O216*BZ216</f>
        <v>1980.3081881123874</v>
      </c>
      <c r="BX216" s="346">
        <f>BV216+BW216</f>
        <v>816803.15458386566</v>
      </c>
      <c r="BY216" s="93">
        <v>637826.12762419716</v>
      </c>
      <c r="BZ216" s="94">
        <v>4134.2412804307696</v>
      </c>
      <c r="CA216" s="93">
        <v>176996.71877155616</v>
      </c>
      <c r="CB216" s="95">
        <v>1.2774999503874847</v>
      </c>
      <c r="CC216" s="94">
        <f t="shared" ref="CC216:CC227" si="267">SUM(BV216:BW216)/BY216</f>
        <v>1.2806047278532318</v>
      </c>
      <c r="CD216" s="93">
        <v>575812.50841773557</v>
      </c>
      <c r="CE216" s="95">
        <v>1.4150836157324713</v>
      </c>
      <c r="CF216" s="90">
        <v>318.41715786399834</v>
      </c>
      <c r="CG216" s="91">
        <v>2300.9934248414802</v>
      </c>
      <c r="CH216" s="92">
        <v>935.06110005654477</v>
      </c>
      <c r="CI216" s="91">
        <v>6757.0775943365616</v>
      </c>
      <c r="CJ216" s="449">
        <v>907529.48810142372</v>
      </c>
      <c r="CK216" s="346">
        <f t="shared" ref="CK216:CK227" si="268">SUM(R216:S216)*O216*CN216</f>
        <v>2001.5775456859005</v>
      </c>
      <c r="CL216" s="346">
        <f>CJ216+CK216</f>
        <v>909531.06564710964</v>
      </c>
      <c r="CM216" s="93">
        <v>634217.59222219477</v>
      </c>
      <c r="CN216" s="94">
        <v>4178.6448013658</v>
      </c>
      <c r="CO216" s="93">
        <v>273311.89587922895</v>
      </c>
      <c r="CP216" s="95">
        <v>1.4309434163148782</v>
      </c>
      <c r="CQ216" s="94">
        <f t="shared" ref="CQ216:CQ227" si="269">SUM(CJ216:CK216)/CM216</f>
        <v>1.4340993955406716</v>
      </c>
      <c r="CR216" s="93">
        <v>571537.92020170775</v>
      </c>
      <c r="CS216" s="95">
        <v>1.5878727482878783</v>
      </c>
    </row>
    <row r="217" spans="1:97" s="23" customFormat="1" ht="15" customHeight="1">
      <c r="A217" s="377" t="str">
        <f t="shared" si="258"/>
        <v>Residential - Efficient Product Rebates; Freezer Retirement; RES-Appliance; RES-SF</v>
      </c>
      <c r="B217" s="149" t="s">
        <v>140</v>
      </c>
      <c r="C217" s="15" t="s">
        <v>138</v>
      </c>
      <c r="D217" s="15" t="s">
        <v>139</v>
      </c>
      <c r="E217" s="43">
        <v>4</v>
      </c>
      <c r="F217" s="44">
        <v>1050.8931839999998</v>
      </c>
      <c r="G217" s="44">
        <v>145.42519646312354</v>
      </c>
      <c r="H217" s="45">
        <v>140</v>
      </c>
      <c r="I217" s="46">
        <v>0.32142857142857145</v>
      </c>
      <c r="J217" s="45">
        <v>105.08931839999998</v>
      </c>
      <c r="K217" s="45">
        <v>150.08931839999997</v>
      </c>
      <c r="L217" s="45">
        <v>95</v>
      </c>
      <c r="M217" s="45">
        <v>245.08931839999997</v>
      </c>
      <c r="N217" s="45">
        <v>269.86545010462379</v>
      </c>
      <c r="O217" s="47">
        <v>0.6</v>
      </c>
      <c r="P217" s="47">
        <v>0.8563110356146606</v>
      </c>
      <c r="Q217" s="310">
        <f t="shared" si="259"/>
        <v>0.8563110356146606</v>
      </c>
      <c r="R217" s="311">
        <f t="shared" si="260"/>
        <v>0.79833600000000005</v>
      </c>
      <c r="S217" s="311">
        <f t="shared" si="261"/>
        <v>0</v>
      </c>
      <c r="T217" s="310">
        <f t="shared" si="262"/>
        <v>0.85884423846320401</v>
      </c>
      <c r="U217" s="316">
        <f t="shared" si="263"/>
        <v>2.9582742054995001E-3</v>
      </c>
      <c r="V217" s="48">
        <v>0.14282071735275428</v>
      </c>
      <c r="W217" s="49">
        <v>1.0320723096843754</v>
      </c>
      <c r="X217" s="48">
        <v>1.44</v>
      </c>
      <c r="Y217" s="48" t="s">
        <v>570</v>
      </c>
      <c r="Z217" s="246">
        <f>X217*Z3</f>
        <v>1.8144</v>
      </c>
      <c r="AA217" s="246"/>
      <c r="AB217" s="396">
        <f>Z217*0.44</f>
        <v>0.79833600000000005</v>
      </c>
      <c r="AC217" s="387">
        <v>0</v>
      </c>
      <c r="AD217" s="294">
        <v>0</v>
      </c>
      <c r="AE217" s="294">
        <v>0</v>
      </c>
      <c r="AF217" s="294">
        <v>0</v>
      </c>
      <c r="AG217" s="294">
        <f>AB217</f>
        <v>0.79833600000000005</v>
      </c>
      <c r="AH217" s="294">
        <v>0</v>
      </c>
      <c r="AI217" s="294">
        <v>0</v>
      </c>
      <c r="AJ217" s="294">
        <v>0</v>
      </c>
      <c r="AK217" s="294"/>
      <c r="AL217" s="294"/>
      <c r="AM217" s="294"/>
      <c r="AN217" s="294"/>
      <c r="AO217" s="294" t="s">
        <v>631</v>
      </c>
      <c r="AP217" s="300" t="s">
        <v>421</v>
      </c>
      <c r="AQ217" s="136" t="s">
        <v>193</v>
      </c>
      <c r="AR217" s="294" t="s">
        <v>594</v>
      </c>
      <c r="AS217" s="142"/>
      <c r="AT217" s="142"/>
      <c r="AU217" s="146">
        <v>172.53</v>
      </c>
      <c r="AV217" s="48" t="s">
        <v>208</v>
      </c>
      <c r="AW217" s="131" t="s">
        <v>284</v>
      </c>
      <c r="AX217" s="131"/>
      <c r="AY217" s="131"/>
      <c r="AZ217" s="48"/>
      <c r="BA217" s="48"/>
      <c r="BB217" s="50"/>
      <c r="BC217" s="51" t="s">
        <v>140</v>
      </c>
      <c r="BD217" s="52">
        <v>278.07305041075807</v>
      </c>
      <c r="BE217" s="53">
        <v>2009.4528351203257</v>
      </c>
      <c r="BF217" s="54">
        <v>278.07305041075807</v>
      </c>
      <c r="BG217" s="53">
        <v>2009.4528351203257</v>
      </c>
      <c r="BH217" s="450">
        <v>516019.99334478431</v>
      </c>
      <c r="BI217" s="347">
        <f t="shared" si="264"/>
        <v>1526.5286358338592</v>
      </c>
      <c r="BJ217" s="347">
        <f t="shared" si="247"/>
        <v>517546.52198061818</v>
      </c>
      <c r="BK217" s="45">
        <v>602608.13172211999</v>
      </c>
      <c r="BL217" s="47">
        <v>3186.8967365325275</v>
      </c>
      <c r="BM217" s="45">
        <v>-86588.138377335679</v>
      </c>
      <c r="BN217" s="55">
        <v>0.85631103561466049</v>
      </c>
      <c r="BO217" s="47">
        <f t="shared" si="265"/>
        <v>0.8588442384632039</v>
      </c>
      <c r="BP217" s="45">
        <v>478319.15899735142</v>
      </c>
      <c r="BQ217" s="55">
        <v>1.0788194109273421</v>
      </c>
      <c r="BR217" s="54">
        <v>308.0699107760671</v>
      </c>
      <c r="BS217" s="53">
        <v>2226.2206089723395</v>
      </c>
      <c r="BT217" s="54">
        <v>586.14296118682512</v>
      </c>
      <c r="BU217" s="53">
        <v>4235.6734440926648</v>
      </c>
      <c r="BV217" s="450">
        <v>627158.1368272861</v>
      </c>
      <c r="BW217" s="347">
        <f t="shared" si="266"/>
        <v>1736.1005835231419</v>
      </c>
      <c r="BX217" s="347">
        <f t="shared" ref="BX217:BX228" si="270">BV217+BW217</f>
        <v>628894.23741080926</v>
      </c>
      <c r="BY217" s="45">
        <v>675487.62806720915</v>
      </c>
      <c r="BZ217" s="47">
        <v>3624.4149988708637</v>
      </c>
      <c r="CA217" s="45">
        <v>-48329.491239923052</v>
      </c>
      <c r="CB217" s="55">
        <v>0.92845244053068809</v>
      </c>
      <c r="CC217" s="47">
        <f t="shared" si="267"/>
        <v>0.9310225846923077</v>
      </c>
      <c r="CD217" s="45">
        <v>534135.44311124552</v>
      </c>
      <c r="CE217" s="55">
        <v>1.1741556283443759</v>
      </c>
      <c r="CF217" s="52">
        <v>304.00691712778234</v>
      </c>
      <c r="CG217" s="53">
        <v>2196.8599999756689</v>
      </c>
      <c r="CH217" s="54">
        <v>890.14987831460746</v>
      </c>
      <c r="CI217" s="53">
        <v>6432.5334440683337</v>
      </c>
      <c r="CJ217" s="450">
        <v>680578.04056436475</v>
      </c>
      <c r="CK217" s="347">
        <f t="shared" si="268"/>
        <v>1759.9276880984285</v>
      </c>
      <c r="CL217" s="347">
        <f t="shared" ref="CL217:CL228" si="271">CJ217+CK217</f>
        <v>682337.96825246315</v>
      </c>
      <c r="CM217" s="45">
        <v>674772.62767875008</v>
      </c>
      <c r="CN217" s="47">
        <v>3674.1582660651411</v>
      </c>
      <c r="CO217" s="45">
        <v>5805.4128856146708</v>
      </c>
      <c r="CP217" s="55">
        <v>1.0086035097564428</v>
      </c>
      <c r="CQ217" s="47">
        <f t="shared" si="269"/>
        <v>1.0112116885946281</v>
      </c>
      <c r="CR217" s="45">
        <v>531480.45530220959</v>
      </c>
      <c r="CS217" s="55">
        <v>1.2805325836062504</v>
      </c>
    </row>
    <row r="218" spans="1:97" ht="15" customHeight="1">
      <c r="A218" s="378" t="str">
        <f t="shared" si="258"/>
        <v>Residential - Efficient Product Rebates; Room A/C Retirement; RES-HVAC/Shell; RES-SF</v>
      </c>
      <c r="B218" s="149" t="s">
        <v>141</v>
      </c>
      <c r="C218" s="15" t="s">
        <v>142</v>
      </c>
      <c r="D218" s="15" t="s">
        <v>139</v>
      </c>
      <c r="E218" s="43">
        <v>3</v>
      </c>
      <c r="F218" s="44">
        <v>220.44300000000001</v>
      </c>
      <c r="G218" s="44">
        <v>60.226538461961034</v>
      </c>
      <c r="H218" s="45">
        <v>50</v>
      </c>
      <c r="I218" s="46">
        <v>0.3</v>
      </c>
      <c r="J218" s="45">
        <v>22.044300000000003</v>
      </c>
      <c r="K218" s="45">
        <v>37.044300000000007</v>
      </c>
      <c r="L218" s="45">
        <v>35</v>
      </c>
      <c r="M218" s="45">
        <v>72.044300000000007</v>
      </c>
      <c r="N218" s="45">
        <v>35.814336248747317</v>
      </c>
      <c r="O218" s="47">
        <v>0.6</v>
      </c>
      <c r="P218" s="47">
        <v>0.41289059030957059</v>
      </c>
      <c r="Q218" s="310">
        <f t="shared" si="259"/>
        <v>0.41289059030957059</v>
      </c>
      <c r="R218" s="311">
        <f t="shared" si="260"/>
        <v>0</v>
      </c>
      <c r="S218" s="311">
        <f t="shared" si="261"/>
        <v>164.24844711847186</v>
      </c>
      <c r="T218" s="310">
        <f t="shared" si="262"/>
        <v>2.306451811636077</v>
      </c>
      <c r="U218" s="316">
        <f t="shared" si="263"/>
        <v>4.5861089251435398</v>
      </c>
      <c r="V218" s="48">
        <v>0.16804480069677877</v>
      </c>
      <c r="W218" s="49">
        <v>0.61508266863779848</v>
      </c>
      <c r="X218" s="48">
        <v>49.5</v>
      </c>
      <c r="Y218" s="48" t="s">
        <v>571</v>
      </c>
      <c r="Z218" s="246">
        <f>49.5*Z3</f>
        <v>62.37</v>
      </c>
      <c r="AA218" s="48"/>
      <c r="AB218" s="397"/>
      <c r="AC218" s="388">
        <f>Z218</f>
        <v>62.37</v>
      </c>
      <c r="AD218" s="289"/>
      <c r="AE218" s="289"/>
      <c r="AF218" s="289"/>
      <c r="AG218" s="289"/>
      <c r="AH218" s="289"/>
      <c r="AI218" s="289"/>
      <c r="AJ218" s="289"/>
      <c r="AK218" s="289"/>
      <c r="AL218" s="289"/>
      <c r="AM218" s="289"/>
      <c r="AN218" s="289"/>
      <c r="AO218" s="289" t="s">
        <v>639</v>
      </c>
      <c r="AP218" s="300" t="s">
        <v>476</v>
      </c>
      <c r="AQ218" s="246" t="s">
        <v>354</v>
      </c>
      <c r="AR218" s="289" t="s">
        <v>589</v>
      </c>
      <c r="AS218" s="48"/>
      <c r="AT218" s="48"/>
      <c r="AU218" s="146">
        <v>49.5</v>
      </c>
      <c r="AV218" s="48" t="s">
        <v>206</v>
      </c>
      <c r="AW218" s="131" t="s">
        <v>284</v>
      </c>
      <c r="AX218" s="131"/>
      <c r="AY218" s="48"/>
      <c r="AZ218" s="48"/>
      <c r="BA218" s="48"/>
      <c r="BB218" s="241"/>
      <c r="BC218" s="56" t="s">
        <v>141</v>
      </c>
      <c r="BD218" s="52">
        <v>0</v>
      </c>
      <c r="BE218" s="53">
        <v>0</v>
      </c>
      <c r="BF218" s="54">
        <v>0</v>
      </c>
      <c r="BG218" s="53">
        <v>0</v>
      </c>
      <c r="BH218" s="450">
        <v>0</v>
      </c>
      <c r="BI218" s="369">
        <f t="shared" si="264"/>
        <v>0</v>
      </c>
      <c r="BJ218" s="347">
        <f t="shared" si="247"/>
        <v>0</v>
      </c>
      <c r="BK218" s="45">
        <v>0</v>
      </c>
      <c r="BL218" s="47">
        <v>0</v>
      </c>
      <c r="BM218" s="45">
        <v>0</v>
      </c>
      <c r="BN218" s="55">
        <v>0</v>
      </c>
      <c r="BO218" s="47" t="e">
        <f t="shared" si="265"/>
        <v>#DIV/0!</v>
      </c>
      <c r="BP218" s="45">
        <v>0</v>
      </c>
      <c r="BQ218" s="55">
        <v>0</v>
      </c>
      <c r="BR218" s="54">
        <v>0</v>
      </c>
      <c r="BS218" s="53">
        <v>0</v>
      </c>
      <c r="BT218" s="54">
        <v>0</v>
      </c>
      <c r="BU218" s="53">
        <v>0</v>
      </c>
      <c r="BV218" s="450">
        <v>0</v>
      </c>
      <c r="BW218" s="369">
        <f t="shared" si="266"/>
        <v>0</v>
      </c>
      <c r="BX218" s="347">
        <f t="shared" si="270"/>
        <v>0</v>
      </c>
      <c r="BY218" s="45">
        <v>0</v>
      </c>
      <c r="BZ218" s="47">
        <v>0</v>
      </c>
      <c r="CA218" s="45">
        <v>0</v>
      </c>
      <c r="CB218" s="55">
        <v>0</v>
      </c>
      <c r="CC218" s="47" t="e">
        <f t="shared" si="267"/>
        <v>#DIV/0!</v>
      </c>
      <c r="CD218" s="45">
        <v>0</v>
      </c>
      <c r="CE218" s="55">
        <v>0</v>
      </c>
      <c r="CF218" s="52">
        <v>1.3545880598158309</v>
      </c>
      <c r="CG218" s="53">
        <v>4.9581042393559169</v>
      </c>
      <c r="CH218" s="54">
        <v>1.3545880598158309</v>
      </c>
      <c r="CI218" s="53">
        <v>4.9581042393559169</v>
      </c>
      <c r="CJ218" s="450">
        <v>1558.8855491863023</v>
      </c>
      <c r="CK218" s="369">
        <f t="shared" si="268"/>
        <v>3694.2017753601676</v>
      </c>
      <c r="CL218" s="347">
        <f t="shared" si="271"/>
        <v>5253.08732454647</v>
      </c>
      <c r="CM218" s="45">
        <v>1950.9280892287434</v>
      </c>
      <c r="CN218" s="47">
        <v>37.485912755647469</v>
      </c>
      <c r="CO218" s="45">
        <v>-392.04254004244103</v>
      </c>
      <c r="CP218" s="55">
        <v>0.79904818521659271</v>
      </c>
      <c r="CQ218" s="47">
        <f t="shared" si="269"/>
        <v>2.6926094065430997</v>
      </c>
      <c r="CR218" s="45">
        <v>1388.6393978940314</v>
      </c>
      <c r="CS218" s="55">
        <v>1.1225992518651431</v>
      </c>
    </row>
    <row r="219" spans="1:97" s="23" customFormat="1" ht="15" customHeight="1">
      <c r="A219" s="377" t="str">
        <f t="shared" si="258"/>
        <v>Residential - Efficient Product Rebates; ENERGY STAR® LED Lamps; RES-Lighting; RES-SF</v>
      </c>
      <c r="B219" s="149" t="s">
        <v>143</v>
      </c>
      <c r="C219" s="15" t="s">
        <v>144</v>
      </c>
      <c r="D219" s="15" t="s">
        <v>139</v>
      </c>
      <c r="E219" s="43">
        <v>25</v>
      </c>
      <c r="F219" s="44">
        <v>33.754591838708237</v>
      </c>
      <c r="G219" s="44">
        <v>8.4617675430582633</v>
      </c>
      <c r="H219" s="45">
        <v>23.75</v>
      </c>
      <c r="I219" s="46">
        <v>0.42105263157894735</v>
      </c>
      <c r="J219" s="45">
        <v>3.3754591838708237</v>
      </c>
      <c r="K219" s="45">
        <v>13.375459183870824</v>
      </c>
      <c r="L219" s="45">
        <v>13.75</v>
      </c>
      <c r="M219" s="45">
        <v>27.125459183870824</v>
      </c>
      <c r="N219" s="45">
        <v>55.587516103317192</v>
      </c>
      <c r="O219" s="47">
        <v>1.2</v>
      </c>
      <c r="P219" s="47">
        <v>2.09267634198455</v>
      </c>
      <c r="Q219" s="310">
        <f t="shared" si="259"/>
        <v>2.09267634198455</v>
      </c>
      <c r="R219" s="311">
        <f t="shared" si="260"/>
        <v>3.7800000000000002</v>
      </c>
      <c r="S219" s="311">
        <f t="shared" si="261"/>
        <v>0</v>
      </c>
      <c r="T219" s="310">
        <f t="shared" si="262"/>
        <v>2.2349801743414259</v>
      </c>
      <c r="U219" s="316">
        <f t="shared" si="263"/>
        <v>6.8000879783409213E-2</v>
      </c>
      <c r="V219" s="48">
        <v>0.39625598934164724</v>
      </c>
      <c r="W219" s="49">
        <v>1.5806932908294768</v>
      </c>
      <c r="X219" s="48" t="s">
        <v>388</v>
      </c>
      <c r="Y219" s="48" t="s">
        <v>535</v>
      </c>
      <c r="Z219" s="246">
        <f>3*Z3</f>
        <v>3.7800000000000002</v>
      </c>
      <c r="AA219" s="246"/>
      <c r="AB219" s="397">
        <f>Z219</f>
        <v>3.7800000000000002</v>
      </c>
      <c r="AC219" s="388">
        <v>0</v>
      </c>
      <c r="AD219" s="294">
        <v>0</v>
      </c>
      <c r="AE219" s="294">
        <v>0</v>
      </c>
      <c r="AF219" s="294">
        <v>0</v>
      </c>
      <c r="AG219" s="294">
        <v>0</v>
      </c>
      <c r="AH219" s="294">
        <v>0</v>
      </c>
      <c r="AI219" s="289">
        <f>AB219</f>
        <v>3.7800000000000002</v>
      </c>
      <c r="AJ219" s="294">
        <v>0</v>
      </c>
      <c r="AK219" s="289"/>
      <c r="AL219" s="289"/>
      <c r="AM219" s="289"/>
      <c r="AN219" s="289"/>
      <c r="AO219" s="294" t="s">
        <v>630</v>
      </c>
      <c r="AP219" s="300" t="s">
        <v>592</v>
      </c>
      <c r="AQ219" s="136" t="s">
        <v>194</v>
      </c>
      <c r="AR219" s="289"/>
      <c r="AS219" s="142"/>
      <c r="AT219" s="142"/>
      <c r="AU219" s="146">
        <v>3</v>
      </c>
      <c r="AV219" s="48" t="s">
        <v>207</v>
      </c>
      <c r="AW219" s="131" t="s">
        <v>284</v>
      </c>
      <c r="AX219" s="131"/>
      <c r="AY219" s="131"/>
      <c r="AZ219" s="48"/>
      <c r="BA219" s="48"/>
      <c r="BB219" s="50"/>
      <c r="BC219" s="51" t="s">
        <v>143</v>
      </c>
      <c r="BD219" s="52">
        <v>363.35001113381975</v>
      </c>
      <c r="BE219" s="53">
        <v>1449.4290061742163</v>
      </c>
      <c r="BF219" s="54">
        <v>363.35001113381975</v>
      </c>
      <c r="BG219" s="53">
        <v>1449.4290061742163</v>
      </c>
      <c r="BH219" s="450">
        <v>2386939.1935271476</v>
      </c>
      <c r="BI219" s="347">
        <f t="shared" si="264"/>
        <v>162313.9651493475</v>
      </c>
      <c r="BJ219" s="347">
        <f t="shared" si="247"/>
        <v>2549253.1586764953</v>
      </c>
      <c r="BK219" s="45">
        <v>1140615.5580004975</v>
      </c>
      <c r="BL219" s="47">
        <v>35783.502017051913</v>
      </c>
      <c r="BM219" s="45">
        <v>1246323.6355266501</v>
      </c>
      <c r="BN219" s="55">
        <v>2.09267634198455</v>
      </c>
      <c r="BO219" s="47">
        <f t="shared" si="265"/>
        <v>2.2349801743414264</v>
      </c>
      <c r="BP219" s="45">
        <v>478620.77068503713</v>
      </c>
      <c r="BQ219" s="55">
        <v>4.9871199490794877</v>
      </c>
      <c r="BR219" s="54">
        <v>351.61282619038724</v>
      </c>
      <c r="BS219" s="53">
        <v>1402.6085416453825</v>
      </c>
      <c r="BT219" s="98">
        <v>714.96283732420704</v>
      </c>
      <c r="BU219" s="53">
        <v>2852.0375478195988</v>
      </c>
      <c r="BV219" s="450">
        <v>2438948.6230390202</v>
      </c>
      <c r="BW219" s="347">
        <f t="shared" si="266"/>
        <v>162023.23411219634</v>
      </c>
      <c r="BX219" s="347">
        <f t="shared" si="270"/>
        <v>2600971.8571512164</v>
      </c>
      <c r="BY219" s="45">
        <v>1134887.1695193013</v>
      </c>
      <c r="BZ219" s="47">
        <v>35719.407873059157</v>
      </c>
      <c r="CA219" s="45">
        <v>1304061.453519719</v>
      </c>
      <c r="CB219" s="55">
        <v>2.1490670513722292</v>
      </c>
      <c r="CC219" s="47">
        <f t="shared" si="267"/>
        <v>2.2918329918672864</v>
      </c>
      <c r="CD219" s="45">
        <v>474078.12386770674</v>
      </c>
      <c r="CE219" s="55">
        <v>5.1446133036917301</v>
      </c>
      <c r="CF219" s="52">
        <v>338.26942951773748</v>
      </c>
      <c r="CG219" s="53">
        <v>1349.3807844261755</v>
      </c>
      <c r="CH219" s="54">
        <v>1053.2322668419445</v>
      </c>
      <c r="CI219" s="53">
        <v>4201.4183322457739</v>
      </c>
      <c r="CJ219" s="450">
        <v>2480930.7729197224</v>
      </c>
      <c r="CK219" s="347">
        <f t="shared" si="268"/>
        <v>161114.97616734382</v>
      </c>
      <c r="CL219" s="347">
        <f t="shared" si="271"/>
        <v>2642045.7490870664</v>
      </c>
      <c r="CM219" s="45">
        <v>1124744.8759440901</v>
      </c>
      <c r="CN219" s="47">
        <v>35519.174640066973</v>
      </c>
      <c r="CO219" s="45">
        <v>1356185.8969756323</v>
      </c>
      <c r="CP219" s="55">
        <v>2.205772016375958</v>
      </c>
      <c r="CQ219" s="47">
        <f t="shared" si="269"/>
        <v>2.3490178133680155</v>
      </c>
      <c r="CR219" s="45">
        <v>467640.14510285103</v>
      </c>
      <c r="CS219" s="55">
        <v>5.3052134186941453</v>
      </c>
    </row>
    <row r="220" spans="1:97" ht="15" customHeight="1">
      <c r="A220" s="377" t="str">
        <f t="shared" si="258"/>
        <v>Residential - Efficient Product Rebates; Hardwired Dimmer Switch; RES-Lighting; RES-SF</v>
      </c>
      <c r="B220" s="42" t="s">
        <v>145</v>
      </c>
      <c r="C220" s="15" t="s">
        <v>144</v>
      </c>
      <c r="D220" s="15" t="s">
        <v>139</v>
      </c>
      <c r="E220" s="43">
        <v>10</v>
      </c>
      <c r="F220" s="44">
        <v>20.765095350400003</v>
      </c>
      <c r="G220" s="44">
        <v>0</v>
      </c>
      <c r="H220" s="45">
        <v>13</v>
      </c>
      <c r="I220" s="46">
        <v>0.38461538461538464</v>
      </c>
      <c r="J220" s="45">
        <v>2.0765095350400005</v>
      </c>
      <c r="K220" s="45">
        <v>7.0765095350400005</v>
      </c>
      <c r="L220" s="45">
        <v>8</v>
      </c>
      <c r="M220" s="45">
        <v>15.07650953504</v>
      </c>
      <c r="N220" s="45">
        <v>10.551661000660895</v>
      </c>
      <c r="O220" s="47">
        <v>1</v>
      </c>
      <c r="P220" s="47">
        <v>0.69987426308041001</v>
      </c>
      <c r="Q220" s="310">
        <f t="shared" si="259"/>
        <v>0.69987426308041001</v>
      </c>
      <c r="R220" s="311">
        <f t="shared" si="260"/>
        <v>4.41</v>
      </c>
      <c r="S220" s="311">
        <f t="shared" si="261"/>
        <v>0</v>
      </c>
      <c r="T220" s="310">
        <f t="shared" si="262"/>
        <v>0.99238228622399771</v>
      </c>
      <c r="U220" s="316">
        <f t="shared" si="263"/>
        <v>0.41794367727732951</v>
      </c>
      <c r="V220" s="48">
        <v>0.34078868483999925</v>
      </c>
      <c r="W220" s="49">
        <v>0</v>
      </c>
      <c r="X220" s="48" t="s">
        <v>355</v>
      </c>
      <c r="Y220" s="48" t="s">
        <v>536</v>
      </c>
      <c r="Z220" s="246">
        <f>3.5*Z3</f>
        <v>4.41</v>
      </c>
      <c r="AA220" s="246"/>
      <c r="AB220" s="397">
        <f>Z220</f>
        <v>4.41</v>
      </c>
      <c r="AC220" s="388">
        <v>0</v>
      </c>
      <c r="AD220" s="294">
        <v>0</v>
      </c>
      <c r="AE220" s="294">
        <v>0</v>
      </c>
      <c r="AF220" s="294">
        <v>0</v>
      </c>
      <c r="AG220" s="294">
        <v>0</v>
      </c>
      <c r="AH220" s="294">
        <v>0</v>
      </c>
      <c r="AI220" s="289">
        <f>AB220</f>
        <v>4.41</v>
      </c>
      <c r="AJ220" s="294">
        <v>0</v>
      </c>
      <c r="AK220" s="289"/>
      <c r="AL220" s="289"/>
      <c r="AM220" s="289"/>
      <c r="AN220" s="289"/>
      <c r="AO220" s="294" t="s">
        <v>630</v>
      </c>
      <c r="AP220" s="300" t="s">
        <v>592</v>
      </c>
      <c r="AQ220" s="48"/>
      <c r="AR220" s="289" t="s">
        <v>589</v>
      </c>
      <c r="AS220" s="48"/>
      <c r="AT220" s="48"/>
      <c r="AU220" s="48">
        <v>3.5</v>
      </c>
      <c r="AV220" s="48"/>
      <c r="AW220" s="48" t="s">
        <v>284</v>
      </c>
      <c r="AX220" s="48"/>
      <c r="AY220" s="48"/>
      <c r="AZ220" s="48"/>
      <c r="BA220" s="48"/>
      <c r="BB220" s="241"/>
      <c r="BC220" s="56" t="s">
        <v>145</v>
      </c>
      <c r="BD220" s="52">
        <v>0</v>
      </c>
      <c r="BE220" s="53">
        <v>203.29190980858215</v>
      </c>
      <c r="BF220" s="54">
        <v>0</v>
      </c>
      <c r="BG220" s="53">
        <v>203.29190980858215</v>
      </c>
      <c r="BH220" s="450">
        <v>103301.5876055569</v>
      </c>
      <c r="BI220" s="347">
        <f t="shared" si="264"/>
        <v>43174.245392452656</v>
      </c>
      <c r="BJ220" s="347">
        <f t="shared" si="247"/>
        <v>146475.83299800954</v>
      </c>
      <c r="BK220" s="45">
        <v>147600.20914455084</v>
      </c>
      <c r="BL220" s="47">
        <v>9790.0783202840485</v>
      </c>
      <c r="BM220" s="45">
        <v>-44298.621538993946</v>
      </c>
      <c r="BN220" s="55">
        <v>0.6998742630804099</v>
      </c>
      <c r="BO220" s="47">
        <f t="shared" si="265"/>
        <v>0.99238228622399749</v>
      </c>
      <c r="BP220" s="45">
        <v>69279.582582278454</v>
      </c>
      <c r="BQ220" s="55">
        <v>1.491082707995143</v>
      </c>
      <c r="BR220" s="54">
        <v>0</v>
      </c>
      <c r="BS220" s="53">
        <v>197.57012251588884</v>
      </c>
      <c r="BT220" s="53">
        <v>0</v>
      </c>
      <c r="BU220" s="53">
        <v>400.86203232447099</v>
      </c>
      <c r="BV220" s="450">
        <v>104332.17006187527</v>
      </c>
      <c r="BW220" s="347">
        <f t="shared" si="266"/>
        <v>43707.372154680779</v>
      </c>
      <c r="BX220" s="347">
        <f t="shared" si="270"/>
        <v>148039.54221655603</v>
      </c>
      <c r="BY220" s="45">
        <v>148599.60590484287</v>
      </c>
      <c r="BZ220" s="47">
        <v>9910.9687425579996</v>
      </c>
      <c r="CA220" s="45">
        <v>-44267.435842967607</v>
      </c>
      <c r="CB220" s="55">
        <v>0.70210260267234714</v>
      </c>
      <c r="CC220" s="47">
        <f t="shared" si="267"/>
        <v>0.99623105535928891</v>
      </c>
      <c r="CD220" s="45">
        <v>69311.85596437889</v>
      </c>
      <c r="CE220" s="55">
        <v>1.505257197491497</v>
      </c>
      <c r="CF220" s="52">
        <v>0</v>
      </c>
      <c r="CG220" s="53">
        <v>190.5470667859708</v>
      </c>
      <c r="CH220" s="54">
        <v>0</v>
      </c>
      <c r="CI220" s="53">
        <v>591.40909911044173</v>
      </c>
      <c r="CJ220" s="450">
        <v>105353.90559148967</v>
      </c>
      <c r="CK220" s="347">
        <f t="shared" si="268"/>
        <v>43986.468971037859</v>
      </c>
      <c r="CL220" s="347">
        <f t="shared" si="271"/>
        <v>149340.37456252752</v>
      </c>
      <c r="CM220" s="45">
        <v>148720.034711135</v>
      </c>
      <c r="CN220" s="47">
        <v>9974.2560025029161</v>
      </c>
      <c r="CO220" s="45">
        <v>-43366.129119645324</v>
      </c>
      <c r="CP220" s="55">
        <v>0.70840425633387505</v>
      </c>
      <c r="CQ220" s="47">
        <f t="shared" si="269"/>
        <v>1.0041711922176284</v>
      </c>
      <c r="CR220" s="45">
        <v>68925.98669111167</v>
      </c>
      <c r="CS220" s="55">
        <v>1.5285077609933664</v>
      </c>
    </row>
    <row r="221" spans="1:97" ht="15" customHeight="1">
      <c r="A221" s="377" t="str">
        <f t="shared" si="258"/>
        <v>Residential - Efficient Product Rebates; Indoor Motion Sensor; RES-Lighting; RES-SF</v>
      </c>
      <c r="B221" s="42" t="s">
        <v>146</v>
      </c>
      <c r="C221" s="15" t="s">
        <v>144</v>
      </c>
      <c r="D221" s="15" t="s">
        <v>139</v>
      </c>
      <c r="E221" s="43">
        <v>10</v>
      </c>
      <c r="F221" s="44">
        <v>56.108128169600015</v>
      </c>
      <c r="G221" s="44">
        <v>0</v>
      </c>
      <c r="H221" s="45">
        <v>34</v>
      </c>
      <c r="I221" s="46">
        <v>8.8235294117647065E-2</v>
      </c>
      <c r="J221" s="45">
        <v>5.610812816960002</v>
      </c>
      <c r="K221" s="45">
        <v>8.6108128169600029</v>
      </c>
      <c r="L221" s="45">
        <v>31</v>
      </c>
      <c r="M221" s="45">
        <v>39.610812816960006</v>
      </c>
      <c r="N221" s="45">
        <v>28.511015135591318</v>
      </c>
      <c r="O221" s="47">
        <v>1</v>
      </c>
      <c r="P221" s="47">
        <v>0.71977859346990913</v>
      </c>
      <c r="Q221" s="310">
        <f t="shared" si="259"/>
        <v>0.71977859346990913</v>
      </c>
      <c r="R221" s="311">
        <f t="shared" si="260"/>
        <v>4.41</v>
      </c>
      <c r="S221" s="311">
        <f t="shared" si="261"/>
        <v>0</v>
      </c>
      <c r="T221" s="310">
        <f t="shared" si="262"/>
        <v>0.8311118301893482</v>
      </c>
      <c r="U221" s="316">
        <f t="shared" si="263"/>
        <v>0.15467706004248297</v>
      </c>
      <c r="V221" s="48">
        <v>0.15346818897489853</v>
      </c>
      <c r="W221" s="49">
        <v>0</v>
      </c>
      <c r="X221" s="48" t="s">
        <v>355</v>
      </c>
      <c r="Y221" s="48" t="s">
        <v>537</v>
      </c>
      <c r="Z221" s="246">
        <f>3.5*Z3</f>
        <v>4.41</v>
      </c>
      <c r="AA221" s="246"/>
      <c r="AB221" s="397">
        <f>Z221</f>
        <v>4.41</v>
      </c>
      <c r="AC221" s="388">
        <v>0</v>
      </c>
      <c r="AD221" s="294">
        <v>0</v>
      </c>
      <c r="AE221" s="294">
        <v>0</v>
      </c>
      <c r="AF221" s="294">
        <v>0</v>
      </c>
      <c r="AG221" s="294">
        <v>0</v>
      </c>
      <c r="AH221" s="294">
        <v>0</v>
      </c>
      <c r="AI221" s="289">
        <f>AB221</f>
        <v>4.41</v>
      </c>
      <c r="AJ221" s="294">
        <v>0</v>
      </c>
      <c r="AK221" s="289"/>
      <c r="AL221" s="289"/>
      <c r="AM221" s="289"/>
      <c r="AN221" s="289"/>
      <c r="AO221" s="294" t="s">
        <v>630</v>
      </c>
      <c r="AP221" s="300" t="s">
        <v>592</v>
      </c>
      <c r="AQ221" s="48"/>
      <c r="AR221" s="289"/>
      <c r="AS221" s="48"/>
      <c r="AT221" s="48"/>
      <c r="AU221" s="48">
        <v>3.5</v>
      </c>
      <c r="AV221" s="48"/>
      <c r="AW221" s="48" t="s">
        <v>284</v>
      </c>
      <c r="AX221" s="48"/>
      <c r="AY221" s="48"/>
      <c r="AZ221" s="48"/>
      <c r="BA221" s="48"/>
      <c r="BB221" s="241"/>
      <c r="BC221" s="56" t="s">
        <v>146</v>
      </c>
      <c r="BD221" s="52">
        <v>0</v>
      </c>
      <c r="BE221" s="53">
        <v>488.90419687513946</v>
      </c>
      <c r="BF221" s="54">
        <v>0</v>
      </c>
      <c r="BG221" s="53">
        <v>488.90419687513946</v>
      </c>
      <c r="BH221" s="450">
        <v>248433.79046306523</v>
      </c>
      <c r="BI221" s="347">
        <f t="shared" si="264"/>
        <v>38427.00832403719</v>
      </c>
      <c r="BJ221" s="347">
        <f t="shared" si="247"/>
        <v>286860.79878710245</v>
      </c>
      <c r="BK221" s="45">
        <v>345153.06889777799</v>
      </c>
      <c r="BL221" s="47">
        <v>8713.6073297136481</v>
      </c>
      <c r="BM221" s="45">
        <v>-96719.27843471276</v>
      </c>
      <c r="BN221" s="55">
        <v>0.71977859346990902</v>
      </c>
      <c r="BO221" s="47">
        <f t="shared" si="265"/>
        <v>0.8311118301893482</v>
      </c>
      <c r="BP221" s="45">
        <v>75031.241676654899</v>
      </c>
      <c r="BQ221" s="55">
        <v>3.3110712939242553</v>
      </c>
      <c r="BR221" s="54">
        <v>0</v>
      </c>
      <c r="BS221" s="53">
        <v>443.56130744156388</v>
      </c>
      <c r="BT221" s="53">
        <v>0</v>
      </c>
      <c r="BU221" s="53">
        <v>932.46550431670335</v>
      </c>
      <c r="BV221" s="450">
        <v>234234.3729484668</v>
      </c>
      <c r="BW221" s="347">
        <f t="shared" si="266"/>
        <v>36315.767831365352</v>
      </c>
      <c r="BX221" s="347">
        <f t="shared" si="270"/>
        <v>270550.14077983215</v>
      </c>
      <c r="BY221" s="45">
        <v>324341.64236919535</v>
      </c>
      <c r="BZ221" s="47">
        <v>8234.867988971735</v>
      </c>
      <c r="CA221" s="45">
        <v>-90107.269420728553</v>
      </c>
      <c r="CB221" s="55">
        <v>0.72218408724045302</v>
      </c>
      <c r="CC221" s="47">
        <f t="shared" si="267"/>
        <v>0.83415172595033971</v>
      </c>
      <c r="CD221" s="45">
        <v>69060.734711071593</v>
      </c>
      <c r="CE221" s="55">
        <v>3.3917156243476092</v>
      </c>
      <c r="CF221" s="52">
        <v>0</v>
      </c>
      <c r="CG221" s="53">
        <v>415.09256986504386</v>
      </c>
      <c r="CH221" s="54">
        <v>0</v>
      </c>
      <c r="CI221" s="53">
        <v>1347.5580741817471</v>
      </c>
      <c r="CJ221" s="450">
        <v>229505.6237544269</v>
      </c>
      <c r="CK221" s="347">
        <f t="shared" si="268"/>
        <v>35462.548383045687</v>
      </c>
      <c r="CL221" s="347">
        <f t="shared" si="271"/>
        <v>264968.1721374726</v>
      </c>
      <c r="CM221" s="45">
        <v>314916.65948617633</v>
      </c>
      <c r="CN221" s="47">
        <v>8041.3941911668217</v>
      </c>
      <c r="CO221" s="45">
        <v>-85411.035731749434</v>
      </c>
      <c r="CP221" s="55">
        <v>0.72878209786961534</v>
      </c>
      <c r="CQ221" s="47">
        <f t="shared" si="269"/>
        <v>0.84139140993620165</v>
      </c>
      <c r="CR221" s="45">
        <v>65633.439560004859</v>
      </c>
      <c r="CS221" s="55">
        <v>3.4967788568295766</v>
      </c>
    </row>
    <row r="222" spans="1:97" ht="15" customHeight="1">
      <c r="A222" s="377" t="str">
        <f t="shared" si="258"/>
        <v>Residential - Efficient Product Rebates; Outdoor Motion Sensor; RES-Lighting; RES-SF</v>
      </c>
      <c r="B222" s="149" t="s">
        <v>147</v>
      </c>
      <c r="C222" s="15" t="s">
        <v>144</v>
      </c>
      <c r="D222" s="15" t="s">
        <v>139</v>
      </c>
      <c r="E222" s="43">
        <v>10</v>
      </c>
      <c r="F222" s="44">
        <v>177.92099999999999</v>
      </c>
      <c r="G222" s="44">
        <v>0</v>
      </c>
      <c r="H222" s="45">
        <v>34</v>
      </c>
      <c r="I222" s="46">
        <v>0.11764705882352941</v>
      </c>
      <c r="J222" s="45">
        <v>17.792100000000001</v>
      </c>
      <c r="K222" s="45">
        <v>21.792100000000001</v>
      </c>
      <c r="L222" s="45">
        <v>30</v>
      </c>
      <c r="M222" s="45">
        <v>51.792100000000005</v>
      </c>
      <c r="N222" s="45">
        <v>90.409509092980045</v>
      </c>
      <c r="O222" s="47">
        <v>1</v>
      </c>
      <c r="P222" s="47">
        <v>1.7456235428372289</v>
      </c>
      <c r="Q222" s="310">
        <f t="shared" si="259"/>
        <v>1.7456235428372289</v>
      </c>
      <c r="R222" s="311">
        <f t="shared" si="260"/>
        <v>4.41</v>
      </c>
      <c r="S222" s="311">
        <f t="shared" si="261"/>
        <v>0</v>
      </c>
      <c r="T222" s="310">
        <f t="shared" si="262"/>
        <v>1.8307716638827163</v>
      </c>
      <c r="U222" s="316">
        <f t="shared" si="263"/>
        <v>4.8778054921906532E-2</v>
      </c>
      <c r="V222" s="48">
        <v>0.12248188802895668</v>
      </c>
      <c r="W222" s="49">
        <v>0</v>
      </c>
      <c r="X222" s="48" t="s">
        <v>355</v>
      </c>
      <c r="Y222" s="48" t="s">
        <v>537</v>
      </c>
      <c r="Z222" s="246">
        <f>3.5*Z3</f>
        <v>4.41</v>
      </c>
      <c r="AA222" s="246"/>
      <c r="AB222" s="397">
        <f>Z222</f>
        <v>4.41</v>
      </c>
      <c r="AC222" s="388">
        <v>0</v>
      </c>
      <c r="AD222" s="294">
        <v>0</v>
      </c>
      <c r="AE222" s="294">
        <v>0</v>
      </c>
      <c r="AF222" s="294">
        <v>0</v>
      </c>
      <c r="AG222" s="294">
        <v>0</v>
      </c>
      <c r="AH222" s="294">
        <v>0</v>
      </c>
      <c r="AI222" s="289">
        <f>AB222</f>
        <v>4.41</v>
      </c>
      <c r="AJ222" s="294">
        <v>0</v>
      </c>
      <c r="AK222" s="289"/>
      <c r="AL222" s="289"/>
      <c r="AM222" s="289"/>
      <c r="AN222" s="289"/>
      <c r="AO222" s="294" t="s">
        <v>630</v>
      </c>
      <c r="AP222" s="300" t="s">
        <v>592</v>
      </c>
      <c r="AQ222" s="48"/>
      <c r="AR222" s="289"/>
      <c r="AS222" s="48"/>
      <c r="AT222" s="48"/>
      <c r="AU222" s="48">
        <v>3.5</v>
      </c>
      <c r="AV222" s="48"/>
      <c r="AW222" s="48" t="s">
        <v>284</v>
      </c>
      <c r="AX222" s="48"/>
      <c r="AY222" s="48"/>
      <c r="AZ222" s="48"/>
      <c r="BA222" s="48"/>
      <c r="BB222" s="241"/>
      <c r="BC222" s="56" t="s">
        <v>147</v>
      </c>
      <c r="BD222" s="52">
        <v>0</v>
      </c>
      <c r="BE222" s="53">
        <v>740.12784849474269</v>
      </c>
      <c r="BF222" s="54">
        <v>0</v>
      </c>
      <c r="BG222" s="53">
        <v>740.12784849474269</v>
      </c>
      <c r="BH222" s="450">
        <v>376091.61059376464</v>
      </c>
      <c r="BI222" s="347">
        <f t="shared" si="264"/>
        <v>18345.017237210985</v>
      </c>
      <c r="BJ222" s="347">
        <f t="shared" si="247"/>
        <v>394436.62783097563</v>
      </c>
      <c r="BK222" s="45">
        <v>215448.29189373128</v>
      </c>
      <c r="BL222" s="47">
        <v>4159.8678542428534</v>
      </c>
      <c r="BM222" s="45">
        <v>160643.31870003336</v>
      </c>
      <c r="BN222" s="55">
        <v>1.7456235428372289</v>
      </c>
      <c r="BO222" s="47">
        <f t="shared" si="265"/>
        <v>1.8307716638827167</v>
      </c>
      <c r="BP222" s="45">
        <v>90652.256266445693</v>
      </c>
      <c r="BQ222" s="55">
        <v>4.1487286261067098</v>
      </c>
      <c r="BR222" s="54">
        <v>0</v>
      </c>
      <c r="BS222" s="53">
        <v>842.82239350093198</v>
      </c>
      <c r="BT222" s="53">
        <v>0</v>
      </c>
      <c r="BU222" s="53">
        <v>1582.9502419956748</v>
      </c>
      <c r="BV222" s="450">
        <v>445074.83303111419</v>
      </c>
      <c r="BW222" s="347">
        <f t="shared" si="266"/>
        <v>20890.433143581198</v>
      </c>
      <c r="BX222" s="347">
        <f t="shared" si="270"/>
        <v>465965.2661746954</v>
      </c>
      <c r="BY222" s="45">
        <v>245342.26812146752</v>
      </c>
      <c r="BZ222" s="47">
        <v>4737.0596697463034</v>
      </c>
      <c r="CA222" s="45">
        <v>199732.56490964667</v>
      </c>
      <c r="CB222" s="55">
        <v>1.8140976540200575</v>
      </c>
      <c r="CC222" s="47">
        <f t="shared" si="267"/>
        <v>1.8992457750655451</v>
      </c>
      <c r="CD222" s="45">
        <v>103230.47802907843</v>
      </c>
      <c r="CE222" s="55">
        <v>4.3114673256259017</v>
      </c>
      <c r="CF222" s="52">
        <v>0</v>
      </c>
      <c r="CG222" s="53">
        <v>921.60282674359985</v>
      </c>
      <c r="CH222" s="54">
        <v>0</v>
      </c>
      <c r="CI222" s="53">
        <v>2504.5530687392747</v>
      </c>
      <c r="CJ222" s="450">
        <v>509556.29409218446</v>
      </c>
      <c r="CK222" s="347">
        <f t="shared" si="268"/>
        <v>22843.107142716573</v>
      </c>
      <c r="CL222" s="347">
        <f t="shared" si="271"/>
        <v>532399.40123490104</v>
      </c>
      <c r="CM222" s="45">
        <v>268274.94091752631</v>
      </c>
      <c r="CN222" s="47">
        <v>5179.8428895048919</v>
      </c>
      <c r="CO222" s="45">
        <v>241281.35317465814</v>
      </c>
      <c r="CP222" s="55">
        <v>1.8993808827222272</v>
      </c>
      <c r="CQ222" s="47">
        <f t="shared" si="269"/>
        <v>1.9845290037677148</v>
      </c>
      <c r="CR222" s="45">
        <v>112879.65423237956</v>
      </c>
      <c r="CS222" s="55">
        <v>4.5141553414328062</v>
      </c>
    </row>
    <row r="223" spans="1:97" s="23" customFormat="1" ht="15" customHeight="1">
      <c r="A223" s="377" t="str">
        <f t="shared" si="258"/>
        <v>Residential - Efficient Product Rebates; Power bar with integrated timer; RES-Plug Load; RES-SF</v>
      </c>
      <c r="B223" s="42" t="s">
        <v>148</v>
      </c>
      <c r="C223" s="15" t="s">
        <v>149</v>
      </c>
      <c r="D223" s="15" t="s">
        <v>139</v>
      </c>
      <c r="E223" s="43">
        <v>10</v>
      </c>
      <c r="F223" s="44">
        <v>59.466885309917416</v>
      </c>
      <c r="G223" s="99">
        <v>-3.3815047012008036E-8</v>
      </c>
      <c r="H223" s="45">
        <v>15</v>
      </c>
      <c r="I223" s="46">
        <v>0.33333333333333331</v>
      </c>
      <c r="J223" s="45">
        <v>5.9466885309917421</v>
      </c>
      <c r="K223" s="45">
        <v>10.946688530991743</v>
      </c>
      <c r="L223" s="45">
        <v>10</v>
      </c>
      <c r="M223" s="45">
        <v>20.946688530991743</v>
      </c>
      <c r="N223" s="45">
        <v>30.217747772515548</v>
      </c>
      <c r="O223" s="47">
        <v>1</v>
      </c>
      <c r="P223" s="47">
        <v>1.4426026208298643</v>
      </c>
      <c r="Q223" s="310">
        <f t="shared" si="259"/>
        <v>1.4426026208298643</v>
      </c>
      <c r="R223" s="311">
        <f t="shared" si="260"/>
        <v>0</v>
      </c>
      <c r="S223" s="311">
        <f t="shared" si="261"/>
        <v>0</v>
      </c>
      <c r="T223" s="310">
        <f t="shared" si="262"/>
        <v>1.4426026208298643</v>
      </c>
      <c r="U223" s="316">
        <f t="shared" si="263"/>
        <v>0</v>
      </c>
      <c r="V223" s="48">
        <v>0.18408040834730149</v>
      </c>
      <c r="W223" s="49">
        <v>-323722410.53234297</v>
      </c>
      <c r="X223" s="228" t="s">
        <v>40</v>
      </c>
      <c r="Y223" s="228" t="s">
        <v>572</v>
      </c>
      <c r="Z223" s="248" t="s">
        <v>40</v>
      </c>
      <c r="AA223" s="248"/>
      <c r="AB223" s="398"/>
      <c r="AC223" s="389">
        <v>0</v>
      </c>
      <c r="AD223" s="294">
        <v>0</v>
      </c>
      <c r="AE223" s="294">
        <v>0</v>
      </c>
      <c r="AF223" s="294">
        <v>0</v>
      </c>
      <c r="AG223" s="294">
        <v>0</v>
      </c>
      <c r="AH223" s="294">
        <v>0</v>
      </c>
      <c r="AI223" s="294">
        <v>0</v>
      </c>
      <c r="AJ223" s="294">
        <v>0</v>
      </c>
      <c r="AK223" s="295"/>
      <c r="AL223" s="295"/>
      <c r="AM223" s="295"/>
      <c r="AN223" s="295"/>
      <c r="AO223" s="294" t="s">
        <v>632</v>
      </c>
      <c r="AP223" s="301" t="s">
        <v>358</v>
      </c>
      <c r="AQ223" s="136"/>
      <c r="AR223" s="495" t="s">
        <v>589</v>
      </c>
      <c r="AS223" s="142"/>
      <c r="AT223" s="142"/>
      <c r="AU223" s="146"/>
      <c r="AV223" s="48"/>
      <c r="AW223" s="131" t="s">
        <v>284</v>
      </c>
      <c r="AX223" s="131"/>
      <c r="AY223" s="131"/>
      <c r="AZ223" s="48"/>
      <c r="BA223" s="48"/>
      <c r="BB223" s="50"/>
      <c r="BC223" s="51" t="s">
        <v>148</v>
      </c>
      <c r="BD223" s="100">
        <v>-2.1044122632635224E-7</v>
      </c>
      <c r="BE223" s="53">
        <v>370.08034517839423</v>
      </c>
      <c r="BF223" s="101">
        <v>-2.1044122632635224E-7</v>
      </c>
      <c r="BG223" s="53">
        <v>370.08034517839423</v>
      </c>
      <c r="BH223" s="450">
        <v>188054.14926113837</v>
      </c>
      <c r="BI223" s="347">
        <f t="shared" si="264"/>
        <v>0</v>
      </c>
      <c r="BJ223" s="347">
        <f t="shared" si="247"/>
        <v>188054.14926113837</v>
      </c>
      <c r="BK223" s="45">
        <v>130357.55414956846</v>
      </c>
      <c r="BL223" s="47">
        <v>6223.3013087819345</v>
      </c>
      <c r="BM223" s="45">
        <v>57696.595111569914</v>
      </c>
      <c r="BN223" s="55">
        <v>1.4426026208298639</v>
      </c>
      <c r="BO223" s="47">
        <f t="shared" si="265"/>
        <v>1.4426026208298639</v>
      </c>
      <c r="BP223" s="45">
        <v>68124.5410617491</v>
      </c>
      <c r="BQ223" s="55">
        <v>2.7604464753851814</v>
      </c>
      <c r="BR223" s="101">
        <v>-2.4288738064396093E-7</v>
      </c>
      <c r="BS223" s="53">
        <v>427.13990617406409</v>
      </c>
      <c r="BT223" s="101">
        <v>-4.5332860697031311E-7</v>
      </c>
      <c r="BU223" s="53">
        <v>797.22025135245826</v>
      </c>
      <c r="BV223" s="450">
        <v>225562.61392677538</v>
      </c>
      <c r="BW223" s="347">
        <f t="shared" si="266"/>
        <v>0</v>
      </c>
      <c r="BX223" s="347">
        <f t="shared" si="270"/>
        <v>225562.61392677538</v>
      </c>
      <c r="BY223" s="45">
        <v>150456.28381503647</v>
      </c>
      <c r="BZ223" s="47">
        <v>7182.8195465086701</v>
      </c>
      <c r="CA223" s="45">
        <v>75106.330111738906</v>
      </c>
      <c r="CB223" s="55">
        <v>1.4991903841256038</v>
      </c>
      <c r="CC223" s="47">
        <f t="shared" si="267"/>
        <v>1.4991903841256038</v>
      </c>
      <c r="CD223" s="45">
        <v>78628.088349949758</v>
      </c>
      <c r="CE223" s="55">
        <v>2.8687281944699539</v>
      </c>
      <c r="CF223" s="100">
        <v>-2.7271544535998425E-7</v>
      </c>
      <c r="CG223" s="53">
        <v>479.59531464517073</v>
      </c>
      <c r="CH223" s="54">
        <v>-7.2604405233029736E-7</v>
      </c>
      <c r="CI223" s="53">
        <v>1276.8155659976289</v>
      </c>
      <c r="CJ223" s="450">
        <v>265169.33729471988</v>
      </c>
      <c r="CK223" s="347">
        <f t="shared" si="268"/>
        <v>0</v>
      </c>
      <c r="CL223" s="347">
        <f t="shared" si="271"/>
        <v>265169.33729471988</v>
      </c>
      <c r="CM223" s="45">
        <v>168933.24115497255</v>
      </c>
      <c r="CN223" s="47">
        <v>8064.9139793636987</v>
      </c>
      <c r="CO223" s="45">
        <v>96236.096139747329</v>
      </c>
      <c r="CP223" s="55">
        <v>1.569669388225756</v>
      </c>
      <c r="CQ223" s="47">
        <f t="shared" si="269"/>
        <v>1.569669388225756</v>
      </c>
      <c r="CR223" s="45">
        <v>88284.101361335575</v>
      </c>
      <c r="CS223" s="55">
        <v>3.0035910566662007</v>
      </c>
    </row>
    <row r="224" spans="1:97" s="23" customFormat="1" ht="15" customHeight="1">
      <c r="A224" s="377" t="str">
        <f t="shared" si="258"/>
        <v>Residential - Efficient Product Rebates; Smartstrip; RES-Plug Load; RES-SF</v>
      </c>
      <c r="B224" s="42" t="s">
        <v>150</v>
      </c>
      <c r="C224" s="15" t="s">
        <v>149</v>
      </c>
      <c r="D224" s="15" t="s">
        <v>139</v>
      </c>
      <c r="E224" s="43">
        <v>10</v>
      </c>
      <c r="F224" s="44">
        <v>60.202199999999998</v>
      </c>
      <c r="G224" s="99">
        <v>-3.4233173851578965E-8</v>
      </c>
      <c r="H224" s="45">
        <v>28</v>
      </c>
      <c r="I224" s="46">
        <v>0.5357142857142857</v>
      </c>
      <c r="J224" s="45">
        <v>6.0202200000000001</v>
      </c>
      <c r="K224" s="45">
        <v>21.020220000000002</v>
      </c>
      <c r="L224" s="45">
        <v>13</v>
      </c>
      <c r="M224" s="45">
        <v>34.020220000000002</v>
      </c>
      <c r="N224" s="45">
        <v>30.591393604520057</v>
      </c>
      <c r="O224" s="47">
        <v>1</v>
      </c>
      <c r="P224" s="47">
        <v>0.8992121039934502</v>
      </c>
      <c r="Q224" s="310">
        <f t="shared" si="259"/>
        <v>0.8992121039934502</v>
      </c>
      <c r="R224" s="311">
        <f t="shared" si="260"/>
        <v>0</v>
      </c>
      <c r="S224" s="311">
        <f t="shared" si="261"/>
        <v>0</v>
      </c>
      <c r="T224" s="310">
        <f t="shared" si="262"/>
        <v>0.8992121039934502</v>
      </c>
      <c r="U224" s="316">
        <f t="shared" si="263"/>
        <v>0</v>
      </c>
      <c r="V224" s="48">
        <v>0.34916032968894828</v>
      </c>
      <c r="W224" s="49">
        <v>-614030708.66683519</v>
      </c>
      <c r="X224" s="48" t="s">
        <v>40</v>
      </c>
      <c r="Y224" s="48" t="s">
        <v>538</v>
      </c>
      <c r="Z224" s="246" t="s">
        <v>40</v>
      </c>
      <c r="AA224" s="246"/>
      <c r="AB224" s="393"/>
      <c r="AC224" s="388">
        <v>0</v>
      </c>
      <c r="AD224" s="294">
        <v>0</v>
      </c>
      <c r="AE224" s="294">
        <v>0</v>
      </c>
      <c r="AF224" s="294">
        <v>0</v>
      </c>
      <c r="AG224" s="294">
        <v>0</v>
      </c>
      <c r="AH224" s="294">
        <v>0</v>
      </c>
      <c r="AI224" s="294">
        <v>0</v>
      </c>
      <c r="AJ224" s="294">
        <v>0</v>
      </c>
      <c r="AK224" s="289"/>
      <c r="AL224" s="289"/>
      <c r="AM224" s="289"/>
      <c r="AN224" s="289"/>
      <c r="AO224" s="294" t="s">
        <v>632</v>
      </c>
      <c r="AP224" s="300" t="s">
        <v>422</v>
      </c>
      <c r="AQ224" s="136" t="s">
        <v>40</v>
      </c>
      <c r="AR224" s="289"/>
      <c r="AS224" s="142"/>
      <c r="AT224" s="142"/>
      <c r="AU224" s="146"/>
      <c r="AV224" s="48"/>
      <c r="AW224" s="131" t="s">
        <v>284</v>
      </c>
      <c r="AX224" s="131"/>
      <c r="AY224" s="131"/>
      <c r="AZ224" s="48"/>
      <c r="BA224" s="48"/>
      <c r="BB224" s="50"/>
      <c r="BC224" s="51" t="s">
        <v>150</v>
      </c>
      <c r="BD224" s="100">
        <v>-2.0862689877722632E-7</v>
      </c>
      <c r="BE224" s="53">
        <v>366.88968250564437</v>
      </c>
      <c r="BF224" s="101">
        <v>-2.0862689877722632E-7</v>
      </c>
      <c r="BG224" s="53">
        <v>366.88968250564437</v>
      </c>
      <c r="BH224" s="450">
        <v>186432.83280291359</v>
      </c>
      <c r="BI224" s="347">
        <f t="shared" si="264"/>
        <v>0</v>
      </c>
      <c r="BJ224" s="347">
        <f t="shared" si="247"/>
        <v>186432.83280291359</v>
      </c>
      <c r="BK224" s="45">
        <v>207329.09618871362</v>
      </c>
      <c r="BL224" s="47">
        <v>6094.2902835053274</v>
      </c>
      <c r="BM224" s="45">
        <v>-20896.263385800034</v>
      </c>
      <c r="BN224" s="55">
        <v>0.8992121039934502</v>
      </c>
      <c r="BO224" s="47">
        <f t="shared" si="265"/>
        <v>0.8992121039934502</v>
      </c>
      <c r="BP224" s="45">
        <v>128103.32250314436</v>
      </c>
      <c r="BQ224" s="55">
        <v>1.4553317522138234</v>
      </c>
      <c r="BR224" s="101">
        <v>-2.3611534157101467E-7</v>
      </c>
      <c r="BS224" s="53">
        <v>415.23064960191834</v>
      </c>
      <c r="BT224" s="101">
        <v>-4.44742240348241E-7</v>
      </c>
      <c r="BU224" s="53">
        <v>782.12033210756272</v>
      </c>
      <c r="BV224" s="450">
        <v>219273.61352313915</v>
      </c>
      <c r="BW224" s="347">
        <f t="shared" si="266"/>
        <v>0</v>
      </c>
      <c r="BX224" s="347">
        <f t="shared" si="270"/>
        <v>219273.61352313915</v>
      </c>
      <c r="BY224" s="45">
        <v>234646.54199016275</v>
      </c>
      <c r="BZ224" s="47">
        <v>6897.2670367846749</v>
      </c>
      <c r="CA224" s="45">
        <v>-15372.928467023594</v>
      </c>
      <c r="CB224" s="55">
        <v>0.93448474315181651</v>
      </c>
      <c r="CC224" s="47">
        <f t="shared" si="267"/>
        <v>0.93448474315181651</v>
      </c>
      <c r="CD224" s="45">
        <v>144982.07051196197</v>
      </c>
      <c r="CE224" s="55">
        <v>1.5124188304721973</v>
      </c>
      <c r="CF224" s="100">
        <v>-2.5969198556677232E-7</v>
      </c>
      <c r="CG224" s="53">
        <v>456.69235698888724</v>
      </c>
      <c r="CH224" s="54">
        <v>-7.0443422591501331E-7</v>
      </c>
      <c r="CI224" s="53">
        <v>1238.81268909645</v>
      </c>
      <c r="CJ224" s="450">
        <v>252506.24005762738</v>
      </c>
      <c r="CK224" s="347">
        <f t="shared" si="268"/>
        <v>0</v>
      </c>
      <c r="CL224" s="347">
        <f t="shared" si="271"/>
        <v>252506.24005762738</v>
      </c>
      <c r="CM224" s="45">
        <v>258076.52306860016</v>
      </c>
      <c r="CN224" s="47">
        <v>7585.974548918266</v>
      </c>
      <c r="CO224" s="45">
        <v>-5570.2830109727802</v>
      </c>
      <c r="CP224" s="55">
        <v>0.97841615756156119</v>
      </c>
      <c r="CQ224" s="47">
        <f t="shared" si="269"/>
        <v>0.97841615756156119</v>
      </c>
      <c r="CR224" s="45">
        <v>159458.85393266272</v>
      </c>
      <c r="CS224" s="55">
        <v>1.5835197220485311</v>
      </c>
    </row>
    <row r="225" spans="1:97" s="23" customFormat="1" ht="15" customHeight="1">
      <c r="A225" s="377" t="str">
        <f t="shared" si="258"/>
        <v>Residential - Efficient Product Rebates; Heavy Duty Outdoor Timer; RES-Plug Load; RES-SF</v>
      </c>
      <c r="B225" s="149" t="s">
        <v>151</v>
      </c>
      <c r="C225" s="15" t="s">
        <v>149</v>
      </c>
      <c r="D225" s="15" t="s">
        <v>139</v>
      </c>
      <c r="E225" s="43">
        <v>10</v>
      </c>
      <c r="F225" s="44">
        <v>429.69600000000003</v>
      </c>
      <c r="G225" s="99">
        <v>-2.4434086912651158E-7</v>
      </c>
      <c r="H225" s="45">
        <v>30</v>
      </c>
      <c r="I225" s="46">
        <v>0.33333333333333331</v>
      </c>
      <c r="J225" s="45">
        <v>42.969600000000007</v>
      </c>
      <c r="K225" s="45">
        <v>52.969600000000007</v>
      </c>
      <c r="L225" s="45">
        <v>20</v>
      </c>
      <c r="M225" s="45">
        <v>72.969600000000014</v>
      </c>
      <c r="N225" s="45">
        <v>218.34749338542198</v>
      </c>
      <c r="O225" s="47">
        <v>1</v>
      </c>
      <c r="P225" s="47">
        <v>2.9923076649100713</v>
      </c>
      <c r="Q225" s="310">
        <f t="shared" si="259"/>
        <v>2.9923076649100713</v>
      </c>
      <c r="R225" s="311">
        <f t="shared" si="260"/>
        <v>4.41</v>
      </c>
      <c r="S225" s="311">
        <f t="shared" si="261"/>
        <v>0</v>
      </c>
      <c r="T225" s="310">
        <f t="shared" si="262"/>
        <v>3.0527437917354892</v>
      </c>
      <c r="U225" s="316">
        <f t="shared" si="263"/>
        <v>2.0197163391363428E-2</v>
      </c>
      <c r="V225" s="48">
        <v>0.12327226690497468</v>
      </c>
      <c r="W225" s="49">
        <v>-216785674.00271508</v>
      </c>
      <c r="X225" s="48" t="s">
        <v>355</v>
      </c>
      <c r="Y225" s="48" t="s">
        <v>537</v>
      </c>
      <c r="Z225" s="246">
        <f>3.5*Z3</f>
        <v>4.41</v>
      </c>
      <c r="AA225" s="246"/>
      <c r="AB225" s="387">
        <f>Z225</f>
        <v>4.41</v>
      </c>
      <c r="AC225" s="387">
        <v>0</v>
      </c>
      <c r="AD225" s="294">
        <v>0</v>
      </c>
      <c r="AE225" s="294">
        <v>0</v>
      </c>
      <c r="AF225" s="294">
        <v>0</v>
      </c>
      <c r="AG225" s="294">
        <v>0</v>
      </c>
      <c r="AH225" s="294">
        <v>0</v>
      </c>
      <c r="AI225" s="289">
        <f>AB225</f>
        <v>4.41</v>
      </c>
      <c r="AJ225" s="294">
        <v>0</v>
      </c>
      <c r="AK225" s="294"/>
      <c r="AL225" s="294"/>
      <c r="AM225" s="294"/>
      <c r="AN225" s="294"/>
      <c r="AO225" s="294" t="s">
        <v>631</v>
      </c>
      <c r="AP225" s="300" t="s">
        <v>423</v>
      </c>
      <c r="AQ225" s="136"/>
      <c r="AR225" s="294" t="s">
        <v>589</v>
      </c>
      <c r="AS225" s="142"/>
      <c r="AT225" s="142"/>
      <c r="AU225" s="146"/>
      <c r="AV225" s="48"/>
      <c r="AW225" s="131" t="s">
        <v>284</v>
      </c>
      <c r="AX225" s="131"/>
      <c r="AY225" s="131"/>
      <c r="AZ225" s="48"/>
      <c r="BA225" s="48"/>
      <c r="BB225" s="50"/>
      <c r="BC225" s="51" t="s">
        <v>151</v>
      </c>
      <c r="BD225" s="100">
        <v>-6.8097248258420346E-8</v>
      </c>
      <c r="BE225" s="53">
        <v>119.75530451477503</v>
      </c>
      <c r="BF225" s="101">
        <v>-6.8097248258420346E-8</v>
      </c>
      <c r="BG225" s="53">
        <v>119.75530451477503</v>
      </c>
      <c r="BH225" s="450">
        <v>60852.953158533099</v>
      </c>
      <c r="BI225" s="347">
        <f t="shared" si="264"/>
        <v>1229.0570377898746</v>
      </c>
      <c r="BJ225" s="347">
        <f t="shared" si="247"/>
        <v>62082.010196322975</v>
      </c>
      <c r="BK225" s="45">
        <v>20336.462681340596</v>
      </c>
      <c r="BL225" s="47">
        <v>278.69774099543639</v>
      </c>
      <c r="BM225" s="45">
        <v>40516.490477192507</v>
      </c>
      <c r="BN225" s="55">
        <v>2.9923076649100722</v>
      </c>
      <c r="BO225" s="47">
        <f t="shared" si="265"/>
        <v>3.0527437917354896</v>
      </c>
      <c r="BP225" s="45">
        <v>14762.507861431866</v>
      </c>
      <c r="BQ225" s="55">
        <v>4.1221284167790957</v>
      </c>
      <c r="BR225" s="101">
        <v>-7.4119883732575295E-8</v>
      </c>
      <c r="BS225" s="53">
        <v>130.34666559961491</v>
      </c>
      <c r="BT225" s="101">
        <v>-1.4221713199099563E-7</v>
      </c>
      <c r="BU225" s="53">
        <v>250.10197011438993</v>
      </c>
      <c r="BV225" s="450">
        <v>68833.031482914332</v>
      </c>
      <c r="BW225" s="347">
        <f t="shared" si="266"/>
        <v>1337.7569148754044</v>
      </c>
      <c r="BX225" s="347">
        <f t="shared" si="270"/>
        <v>70170.788397789729</v>
      </c>
      <c r="BY225" s="45">
        <v>22135.053735984649</v>
      </c>
      <c r="BZ225" s="47">
        <v>303.34623920077195</v>
      </c>
      <c r="CA225" s="45">
        <v>46697.977746929682</v>
      </c>
      <c r="CB225" s="55">
        <v>3.1096844084463835</v>
      </c>
      <c r="CC225" s="47">
        <f t="shared" si="267"/>
        <v>3.1701205352718009</v>
      </c>
      <c r="CD225" s="45">
        <v>16068.128951969211</v>
      </c>
      <c r="CE225" s="55">
        <v>4.2838236915243684</v>
      </c>
      <c r="CF225" s="100">
        <v>-7.8516353062325951E-8</v>
      </c>
      <c r="CG225" s="53">
        <v>138.0782632315215</v>
      </c>
      <c r="CH225" s="54">
        <v>-2.2073348505332161E-7</v>
      </c>
      <c r="CI225" s="53">
        <v>388.18023334591146</v>
      </c>
      <c r="CJ225" s="450">
        <v>76343.784932505951</v>
      </c>
      <c r="CK225" s="347">
        <f t="shared" si="268"/>
        <v>1417.1068403034001</v>
      </c>
      <c r="CL225" s="347">
        <f t="shared" si="271"/>
        <v>77760.891772809351</v>
      </c>
      <c r="CM225" s="45">
        <v>23448.008910250108</v>
      </c>
      <c r="CN225" s="47">
        <v>321.33941956993198</v>
      </c>
      <c r="CO225" s="45">
        <v>52895.776022255843</v>
      </c>
      <c r="CP225" s="55">
        <v>3.2558749540193532</v>
      </c>
      <c r="CQ225" s="47">
        <f t="shared" si="269"/>
        <v>3.3163110808447707</v>
      </c>
      <c r="CR225" s="45">
        <v>17021.220518851471</v>
      </c>
      <c r="CS225" s="55">
        <v>4.4852121413945083</v>
      </c>
    </row>
    <row r="226" spans="1:97" s="23" customFormat="1" ht="15" customHeight="1">
      <c r="A226" s="377" t="str">
        <f t="shared" si="258"/>
        <v>Residential - Efficient Product Rebates; Advanced Power Strip (load sensing or remote control/wireless APS); RES-Plug Load; RES-SF</v>
      </c>
      <c r="B226" s="42" t="s">
        <v>152</v>
      </c>
      <c r="C226" s="15" t="s">
        <v>149</v>
      </c>
      <c r="D226" s="15" t="s">
        <v>139</v>
      </c>
      <c r="E226" s="43">
        <v>10</v>
      </c>
      <c r="F226" s="44">
        <v>459.30204020491738</v>
      </c>
      <c r="G226" s="99">
        <v>-2.6117594693748481E-7</v>
      </c>
      <c r="H226" s="45">
        <v>50</v>
      </c>
      <c r="I226" s="46">
        <v>0.6</v>
      </c>
      <c r="J226" s="45">
        <v>45.930204020491743</v>
      </c>
      <c r="K226" s="45">
        <v>75.930204020491743</v>
      </c>
      <c r="L226" s="45">
        <v>20</v>
      </c>
      <c r="M226" s="45">
        <v>95.930204020491743</v>
      </c>
      <c r="N226" s="45">
        <v>233.39162846652985</v>
      </c>
      <c r="O226" s="47">
        <v>1</v>
      </c>
      <c r="P226" s="47">
        <v>2.4329316386805018</v>
      </c>
      <c r="Q226" s="310">
        <f t="shared" si="259"/>
        <v>2.4329316386805018</v>
      </c>
      <c r="R226" s="311">
        <f t="shared" si="260"/>
        <v>0</v>
      </c>
      <c r="S226" s="311">
        <f t="shared" si="261"/>
        <v>0</v>
      </c>
      <c r="T226" s="310">
        <f t="shared" si="262"/>
        <v>2.4329316386805018</v>
      </c>
      <c r="U226" s="316">
        <f t="shared" si="263"/>
        <v>0</v>
      </c>
      <c r="V226" s="48">
        <v>0.16531649627904008</v>
      </c>
      <c r="W226" s="49">
        <v>-290724337.02582276</v>
      </c>
      <c r="X226" s="48" t="s">
        <v>40</v>
      </c>
      <c r="Y226" s="48" t="s">
        <v>539</v>
      </c>
      <c r="Z226" s="246" t="s">
        <v>40</v>
      </c>
      <c r="AA226" s="246"/>
      <c r="AB226" s="393"/>
      <c r="AC226" s="388">
        <v>0</v>
      </c>
      <c r="AD226" s="294">
        <v>0</v>
      </c>
      <c r="AE226" s="294">
        <v>0</v>
      </c>
      <c r="AF226" s="294">
        <v>0</v>
      </c>
      <c r="AG226" s="294">
        <v>0</v>
      </c>
      <c r="AH226" s="294">
        <v>0</v>
      </c>
      <c r="AI226" s="294">
        <v>0</v>
      </c>
      <c r="AJ226" s="294">
        <v>0</v>
      </c>
      <c r="AK226" s="289"/>
      <c r="AL226" s="289"/>
      <c r="AM226" s="289"/>
      <c r="AN226" s="289"/>
      <c r="AO226" s="294" t="s">
        <v>633</v>
      </c>
      <c r="AP226" s="300" t="s">
        <v>419</v>
      </c>
      <c r="AQ226" s="136" t="s">
        <v>40</v>
      </c>
      <c r="AR226" s="289"/>
      <c r="AS226" s="142"/>
      <c r="AT226" s="142"/>
      <c r="AU226" s="146"/>
      <c r="AV226" s="48"/>
      <c r="AW226" s="131" t="s">
        <v>284</v>
      </c>
      <c r="AX226" s="131"/>
      <c r="AY226" s="131"/>
      <c r="AZ226" s="48"/>
      <c r="BA226" s="48"/>
      <c r="BB226" s="50"/>
      <c r="BC226" s="51" t="s">
        <v>152</v>
      </c>
      <c r="BD226" s="100">
        <v>-1.5686366172709174E-6</v>
      </c>
      <c r="BE226" s="53">
        <v>2758.5924626708693</v>
      </c>
      <c r="BF226" s="101">
        <v>-1.5686366172709174E-6</v>
      </c>
      <c r="BG226" s="53">
        <v>2758.5924626708693</v>
      </c>
      <c r="BH226" s="450">
        <v>1401762.5239613645</v>
      </c>
      <c r="BI226" s="347">
        <f t="shared" si="264"/>
        <v>0</v>
      </c>
      <c r="BJ226" s="347">
        <f t="shared" si="247"/>
        <v>1401762.5239613645</v>
      </c>
      <c r="BK226" s="45">
        <v>576161.9034728033</v>
      </c>
      <c r="BL226" s="47">
        <v>6006.0531441143276</v>
      </c>
      <c r="BM226" s="45">
        <v>825600.62048856122</v>
      </c>
      <c r="BN226" s="55">
        <v>2.4329316386805018</v>
      </c>
      <c r="BO226" s="47">
        <f t="shared" si="265"/>
        <v>2.4329316386805018</v>
      </c>
      <c r="BP226" s="45">
        <v>456040.8405905168</v>
      </c>
      <c r="BQ226" s="55">
        <v>3.0737653280049533</v>
      </c>
      <c r="BR226" s="101">
        <v>-1.7487943963354768E-6</v>
      </c>
      <c r="BS226" s="53">
        <v>3075.4165670856037</v>
      </c>
      <c r="BT226" s="101">
        <v>-3.3174310136063942E-6</v>
      </c>
      <c r="BU226" s="53">
        <v>5834.009029756473</v>
      </c>
      <c r="BV226" s="450">
        <v>1624055.7010911764</v>
      </c>
      <c r="BW226" s="347">
        <f t="shared" si="266"/>
        <v>0</v>
      </c>
      <c r="BX226" s="347">
        <f t="shared" si="270"/>
        <v>1624055.7010911764</v>
      </c>
      <c r="BY226" s="45">
        <v>642334.04797613551</v>
      </c>
      <c r="BZ226" s="47">
        <v>6695.8478253515013</v>
      </c>
      <c r="CA226" s="45">
        <v>981721.65311504086</v>
      </c>
      <c r="CB226" s="55">
        <v>2.5283662079073137</v>
      </c>
      <c r="CC226" s="47">
        <f t="shared" si="267"/>
        <v>2.5283662079073137</v>
      </c>
      <c r="CD226" s="45">
        <v>508417.09146910539</v>
      </c>
      <c r="CE226" s="55">
        <v>3.1943373429841984</v>
      </c>
      <c r="CF226" s="100">
        <v>-1.8898828606511989E-6</v>
      </c>
      <c r="CG226" s="53">
        <v>3323.5336707831389</v>
      </c>
      <c r="CH226" s="54">
        <v>-5.2073138742575931E-6</v>
      </c>
      <c r="CI226" s="53">
        <v>9157.5427005396123</v>
      </c>
      <c r="CJ226" s="450">
        <v>1837589.3050796026</v>
      </c>
      <c r="CK226" s="347">
        <f t="shared" si="268"/>
        <v>0</v>
      </c>
      <c r="CL226" s="347">
        <f t="shared" si="271"/>
        <v>1837589.3050796026</v>
      </c>
      <c r="CM226" s="45">
        <v>694155.9914799328</v>
      </c>
      <c r="CN226" s="47">
        <v>7236.0524880323765</v>
      </c>
      <c r="CO226" s="45">
        <v>1143433.3135996698</v>
      </c>
      <c r="CP226" s="55">
        <v>2.6472281844919077</v>
      </c>
      <c r="CQ226" s="47">
        <f t="shared" si="269"/>
        <v>2.6472281844919077</v>
      </c>
      <c r="CR226" s="45">
        <v>549434.94171928521</v>
      </c>
      <c r="CS226" s="55">
        <v>3.3445075395631743</v>
      </c>
    </row>
    <row r="227" spans="1:97" s="23" customFormat="1" ht="15" customHeight="1" thickBot="1">
      <c r="A227" s="377" t="str">
        <f t="shared" si="258"/>
        <v>Residential - Efficient Product Rebates; Dehumidifier (Retirement); RES-Appliance; RES-SF</v>
      </c>
      <c r="B227" s="62" t="s">
        <v>153</v>
      </c>
      <c r="C227" s="16" t="s">
        <v>138</v>
      </c>
      <c r="D227" s="16" t="s">
        <v>139</v>
      </c>
      <c r="E227" s="63">
        <v>12</v>
      </c>
      <c r="F227" s="64">
        <v>1369.3203000000001</v>
      </c>
      <c r="G227" s="64">
        <v>458.22281418688141</v>
      </c>
      <c r="H227" s="65">
        <v>50</v>
      </c>
      <c r="I227" s="66">
        <v>0.3</v>
      </c>
      <c r="J227" s="65">
        <v>136.93203000000003</v>
      </c>
      <c r="K227" s="65">
        <v>151.93203000000003</v>
      </c>
      <c r="L227" s="65">
        <v>35</v>
      </c>
      <c r="M227" s="65">
        <v>186.93203000000003</v>
      </c>
      <c r="N227" s="65">
        <v>1424.2983869803788</v>
      </c>
      <c r="O227" s="67">
        <v>0.6</v>
      </c>
      <c r="P227" s="67">
        <v>5.1193233089433292</v>
      </c>
      <c r="Q227" s="312">
        <f t="shared" si="259"/>
        <v>5.1193233089433292</v>
      </c>
      <c r="R227" s="313">
        <f t="shared" si="260"/>
        <v>0</v>
      </c>
      <c r="S227" s="313">
        <f t="shared" si="261"/>
        <v>0</v>
      </c>
      <c r="T227" s="312">
        <f t="shared" si="262"/>
        <v>5.1193233089433292</v>
      </c>
      <c r="U227" s="317">
        <f t="shared" si="263"/>
        <v>0</v>
      </c>
      <c r="V227" s="68">
        <v>0.11095433990133646</v>
      </c>
      <c r="W227" s="69">
        <v>0.3315680173402194</v>
      </c>
      <c r="X227" s="68" t="s">
        <v>40</v>
      </c>
      <c r="Y227" s="68" t="s">
        <v>540</v>
      </c>
      <c r="Z227" s="249" t="s">
        <v>40</v>
      </c>
      <c r="AA227" s="249"/>
      <c r="AB227" s="395"/>
      <c r="AC227" s="399">
        <v>0</v>
      </c>
      <c r="AD227" s="324">
        <v>0</v>
      </c>
      <c r="AE227" s="324">
        <v>0</v>
      </c>
      <c r="AF227" s="324">
        <v>0</v>
      </c>
      <c r="AG227" s="324">
        <v>0</v>
      </c>
      <c r="AH227" s="324">
        <v>0</v>
      </c>
      <c r="AI227" s="324">
        <v>0</v>
      </c>
      <c r="AJ227" s="324">
        <v>0</v>
      </c>
      <c r="AK227" s="299"/>
      <c r="AL227" s="299"/>
      <c r="AM227" s="299"/>
      <c r="AN227" s="299"/>
      <c r="AO227" s="324" t="s">
        <v>633</v>
      </c>
      <c r="AP227" s="302" t="s">
        <v>424</v>
      </c>
      <c r="AQ227" s="137" t="s">
        <v>40</v>
      </c>
      <c r="AR227" s="299"/>
      <c r="AS227" s="143"/>
      <c r="AT227" s="143"/>
      <c r="AU227" s="147"/>
      <c r="AV227" s="68"/>
      <c r="AW227" s="132" t="s">
        <v>284</v>
      </c>
      <c r="AX227" s="132"/>
      <c r="AY227" s="132"/>
      <c r="AZ227" s="68"/>
      <c r="BA227" s="48"/>
      <c r="BB227" s="50"/>
      <c r="BC227" s="51" t="s">
        <v>153</v>
      </c>
      <c r="BD227" s="52">
        <v>136.89806778165806</v>
      </c>
      <c r="BE227" s="53">
        <v>409.09639904517684</v>
      </c>
      <c r="BF227" s="54">
        <v>136.89806778165806</v>
      </c>
      <c r="BG227" s="53">
        <v>409.09639904517684</v>
      </c>
      <c r="BH227" s="450">
        <v>425521.58270021022</v>
      </c>
      <c r="BI227" s="347">
        <f t="shared" si="264"/>
        <v>0</v>
      </c>
      <c r="BJ227" s="347">
        <f t="shared" si="247"/>
        <v>425521.58270021022</v>
      </c>
      <c r="BK227" s="45">
        <v>83120.669866041615</v>
      </c>
      <c r="BL227" s="47">
        <v>497.93122306151554</v>
      </c>
      <c r="BM227" s="45">
        <v>342400.91283416859</v>
      </c>
      <c r="BN227" s="55">
        <v>5.1193233089433292</v>
      </c>
      <c r="BO227" s="47">
        <f t="shared" si="265"/>
        <v>5.1193233089433292</v>
      </c>
      <c r="BP227" s="45">
        <v>75651.701520118891</v>
      </c>
      <c r="BQ227" s="55">
        <v>5.6247456983772741</v>
      </c>
      <c r="BR227" s="54">
        <v>154.71186546998385</v>
      </c>
      <c r="BS227" s="53">
        <v>462.32987856540268</v>
      </c>
      <c r="BT227" s="54">
        <v>291.60993325164191</v>
      </c>
      <c r="BU227" s="53">
        <v>871.42627761057952</v>
      </c>
      <c r="BV227" s="450">
        <v>520822.47717921046</v>
      </c>
      <c r="BW227" s="347">
        <f t="shared" si="266"/>
        <v>0</v>
      </c>
      <c r="BX227" s="347">
        <f t="shared" si="270"/>
        <v>520822.47717921046</v>
      </c>
      <c r="BY227" s="45">
        <v>93936.70854873053</v>
      </c>
      <c r="BZ227" s="47">
        <v>562.72429292766969</v>
      </c>
      <c r="CA227" s="45">
        <v>426885.76863047993</v>
      </c>
      <c r="CB227" s="55">
        <v>5.5443977676632032</v>
      </c>
      <c r="CC227" s="47">
        <f t="shared" si="267"/>
        <v>5.5443977676632032</v>
      </c>
      <c r="CD227" s="45">
        <v>85495.844154815495</v>
      </c>
      <c r="CE227" s="55">
        <v>6.0917870608553493</v>
      </c>
      <c r="CF227" s="52">
        <v>155.92685542518205</v>
      </c>
      <c r="CG227" s="53">
        <v>465.96066768903296</v>
      </c>
      <c r="CH227" s="54">
        <v>447.53678867682402</v>
      </c>
      <c r="CI227" s="53">
        <v>1337.3869452996125</v>
      </c>
      <c r="CJ227" s="450">
        <v>569411.38358184963</v>
      </c>
      <c r="CK227" s="347">
        <f t="shared" si="268"/>
        <v>0</v>
      </c>
      <c r="CL227" s="347">
        <f t="shared" si="271"/>
        <v>569411.38358184963</v>
      </c>
      <c r="CM227" s="45">
        <v>94674.416396569999</v>
      </c>
      <c r="CN227" s="47">
        <v>567.1435038354831</v>
      </c>
      <c r="CO227" s="45">
        <v>474736.96718527965</v>
      </c>
      <c r="CP227" s="55">
        <v>6.0144166212412911</v>
      </c>
      <c r="CQ227" s="47">
        <f t="shared" si="269"/>
        <v>6.0144166212412911</v>
      </c>
      <c r="CR227" s="45">
        <v>86167.263839037754</v>
      </c>
      <c r="CS227" s="55">
        <v>6.6082101045418122</v>
      </c>
    </row>
    <row r="228" spans="1:97" s="23" customFormat="1" ht="15" customHeight="1" thickBot="1">
      <c r="A228" s="377"/>
      <c r="B228" s="70"/>
      <c r="C228" s="15"/>
      <c r="D228" s="15"/>
      <c r="E228" s="15"/>
      <c r="F228" s="70"/>
      <c r="G228" s="70"/>
      <c r="H228" s="48"/>
      <c r="I228" s="46"/>
      <c r="J228" s="45"/>
      <c r="K228" s="45"/>
      <c r="L228" s="45"/>
      <c r="M228" s="45"/>
      <c r="N228" s="45"/>
      <c r="O228" s="47"/>
      <c r="P228" s="71"/>
      <c r="Q228"/>
      <c r="R228"/>
      <c r="S228"/>
      <c r="T228"/>
      <c r="U228"/>
      <c r="V228" s="48"/>
      <c r="W228" s="48"/>
      <c r="X228" s="48"/>
      <c r="Y228" s="48" t="s">
        <v>515</v>
      </c>
      <c r="Z228" s="48"/>
      <c r="AA228" s="48"/>
      <c r="AB228" s="48"/>
      <c r="AC228" s="279"/>
      <c r="AD228" s="279"/>
      <c r="AE228" s="279"/>
      <c r="AF228" s="279"/>
      <c r="AG228" s="279"/>
      <c r="AH228" s="279"/>
      <c r="AI228" s="279"/>
      <c r="AJ228" s="279"/>
      <c r="AK228" s="279"/>
      <c r="AL228" s="279"/>
      <c r="AM228" s="279"/>
      <c r="AN228" s="279"/>
      <c r="AO228" s="279"/>
      <c r="AP228" s="48"/>
      <c r="AQ228" s="48"/>
      <c r="AR228" s="501"/>
      <c r="AS228" s="48"/>
      <c r="AT228" s="48"/>
      <c r="AU228" s="48"/>
      <c r="AV228" s="48"/>
      <c r="AW228" s="48"/>
      <c r="AX228" s="48"/>
      <c r="AY228" s="48"/>
      <c r="AZ228" s="48"/>
      <c r="BA228" s="48"/>
      <c r="BB228" s="50"/>
      <c r="BC228" s="72" t="s">
        <v>103</v>
      </c>
      <c r="BD228" s="73">
        <v>1071.3396824715683</v>
      </c>
      <c r="BE228" s="74">
        <v>11033.074255092843</v>
      </c>
      <c r="BF228" s="75">
        <v>1071.3396824715683</v>
      </c>
      <c r="BG228" s="74">
        <v>11033.074255092843</v>
      </c>
      <c r="BH228" s="428">
        <v>6578240.8481174055</v>
      </c>
      <c r="BI228" s="348">
        <f>SUM(BI216:BI227)</f>
        <v>266762.47133057396</v>
      </c>
      <c r="BJ228" s="430">
        <f t="shared" si="247"/>
        <v>6845003.3194479793</v>
      </c>
      <c r="BK228" s="76">
        <v>4040426.2598133064</v>
      </c>
      <c r="BL228" s="77"/>
      <c r="BM228" s="76">
        <v>2537814.5883041001</v>
      </c>
      <c r="BN228" s="78">
        <v>1.6281056564614453</v>
      </c>
      <c r="BO228" s="77"/>
      <c r="BP228" s="76">
        <v>2451584.6701212227</v>
      </c>
      <c r="BQ228" s="78">
        <v>2.6832607204189007</v>
      </c>
      <c r="BR228" s="75">
        <v>1138.0199871259333</v>
      </c>
      <c r="BS228" s="74">
        <v>11961.876545892816</v>
      </c>
      <c r="BT228" s="75">
        <v>2209.3596695975011</v>
      </c>
      <c r="BU228" s="74">
        <v>22994.950800985658</v>
      </c>
      <c r="BV228" s="428">
        <v>7323118.4195067324</v>
      </c>
      <c r="BW228" s="348">
        <f>SUM(BW216:BW227)</f>
        <v>267990.97292833461</v>
      </c>
      <c r="BX228" s="430">
        <f t="shared" si="270"/>
        <v>7591109.3924350673</v>
      </c>
      <c r="BY228" s="76">
        <v>4309993.0776722627</v>
      </c>
      <c r="BZ228" s="77"/>
      <c r="CA228" s="76">
        <v>3013125.3418344683</v>
      </c>
      <c r="CB228" s="78">
        <v>1.6991021302200782</v>
      </c>
      <c r="CC228" s="77"/>
      <c r="CD228" s="76">
        <v>2659220.3675390189</v>
      </c>
      <c r="CE228" s="78">
        <v>2.7538591795173137</v>
      </c>
      <c r="CF228" s="75">
        <v>1117.9749454937094</v>
      </c>
      <c r="CG228" s="74">
        <v>12243.295050215047</v>
      </c>
      <c r="CH228" s="75">
        <v>3327.3346150912112</v>
      </c>
      <c r="CI228" s="74">
        <v>35238.245851200707</v>
      </c>
      <c r="CJ228" s="428">
        <v>7916033.061519105</v>
      </c>
      <c r="CK228" s="348">
        <f>SUM(CK216:CK227)</f>
        <v>272279.91451359185</v>
      </c>
      <c r="CL228" s="430">
        <f t="shared" si="271"/>
        <v>8188312.9760326967</v>
      </c>
      <c r="CM228" s="76">
        <v>4406885.8400594275</v>
      </c>
      <c r="CN228" s="77"/>
      <c r="CO228" s="76">
        <v>3509147.221459677</v>
      </c>
      <c r="CP228" s="78">
        <v>1.7962872987452645</v>
      </c>
      <c r="CQ228" s="77"/>
      <c r="CR228" s="76">
        <v>2719852.6218593311</v>
      </c>
      <c r="CS228" s="78">
        <v>2.9104639706939666</v>
      </c>
    </row>
    <row r="229" spans="1:97" s="23" customFormat="1" ht="15" customHeight="1" thickBot="1">
      <c r="A229" s="377"/>
      <c r="B229"/>
      <c r="C229" s="15"/>
      <c r="D229" s="15"/>
      <c r="E229" s="15"/>
      <c r="F229" s="70"/>
      <c r="G229" s="70"/>
      <c r="H229" s="48"/>
      <c r="I229" s="46"/>
      <c r="J229" s="45"/>
      <c r="K229" s="45"/>
      <c r="L229" s="45"/>
      <c r="M229" s="45"/>
      <c r="N229" s="45"/>
      <c r="O229" s="47"/>
      <c r="P229" s="71"/>
      <c r="Q229"/>
      <c r="R229"/>
      <c r="S229"/>
      <c r="T229"/>
      <c r="U229"/>
      <c r="V229" s="48"/>
      <c r="W229" s="48"/>
      <c r="X229" s="48"/>
      <c r="Y229" s="48" t="s">
        <v>515</v>
      </c>
      <c r="Z229" s="48"/>
      <c r="AA229" s="48"/>
      <c r="AB229" s="48"/>
      <c r="AC229" s="279"/>
      <c r="AD229" s="279"/>
      <c r="AE229" s="279"/>
      <c r="AF229" s="279"/>
      <c r="AG229" s="279"/>
      <c r="AH229" s="279"/>
      <c r="AI229" s="279"/>
      <c r="AJ229" s="279"/>
      <c r="AK229" s="279"/>
      <c r="AL229" s="279"/>
      <c r="AM229" s="279"/>
      <c r="AN229" s="279"/>
      <c r="AO229" s="279"/>
      <c r="AP229" s="48"/>
      <c r="AQ229" s="48"/>
      <c r="AR229" s="501"/>
      <c r="AS229" s="48"/>
      <c r="AT229" s="48"/>
      <c r="AU229" s="48"/>
      <c r="AV229" s="48"/>
      <c r="AW229" s="48"/>
      <c r="AX229" s="48"/>
      <c r="AY229" s="48"/>
      <c r="AZ229" s="48"/>
      <c r="BA229" s="48"/>
      <c r="BB229" s="50"/>
      <c r="BC229" s="80" t="s">
        <v>104</v>
      </c>
      <c r="BD229" s="439">
        <v>1071.3396824715683</v>
      </c>
      <c r="BE229" s="81">
        <v>11033.074255092843</v>
      </c>
      <c r="BF229" s="82">
        <v>1071.3396824715683</v>
      </c>
      <c r="BG229" s="81">
        <v>11033.074255092843</v>
      </c>
      <c r="BH229" s="451">
        <v>6578240.8481174055</v>
      </c>
      <c r="BI229" s="429">
        <f>SUM(BH228:BI228)/BK228</f>
        <v>1.6941290050333111</v>
      </c>
      <c r="BJ229" s="347"/>
      <c r="BK229" s="83"/>
      <c r="BL229" s="84"/>
      <c r="BM229" s="83"/>
      <c r="BN229" s="429">
        <v>1.628105656461446</v>
      </c>
      <c r="BO229" s="84"/>
      <c r="BP229" s="83"/>
      <c r="BQ229" s="440">
        <v>2.6832607204189007</v>
      </c>
      <c r="BR229" s="81">
        <v>1138.0199871259333</v>
      </c>
      <c r="BS229" s="81">
        <v>11961.876545892816</v>
      </c>
      <c r="BT229" s="82">
        <v>2209.3596695975011</v>
      </c>
      <c r="BU229" s="81">
        <v>22994.950800985658</v>
      </c>
      <c r="BV229" s="451">
        <v>7323118.4195067324</v>
      </c>
      <c r="BW229" s="429">
        <f>SUM(BV228:BW228)/BY228</f>
        <v>1.7612811101160439</v>
      </c>
      <c r="BX229" s="347"/>
      <c r="BY229" s="83"/>
      <c r="BZ229" s="84"/>
      <c r="CA229" s="83"/>
      <c r="CB229" s="429">
        <v>1.6991021302200782</v>
      </c>
      <c r="CC229" s="84"/>
      <c r="CD229" s="83"/>
      <c r="CE229" s="84">
        <v>2.7538591795173142</v>
      </c>
      <c r="CF229" s="81">
        <v>1117.9749454937094</v>
      </c>
      <c r="CG229" s="81">
        <v>12243.295050215047</v>
      </c>
      <c r="CH229" s="82">
        <v>3327.3346150912112</v>
      </c>
      <c r="CI229" s="81">
        <v>35238.245851200707</v>
      </c>
      <c r="CJ229" s="451">
        <v>7916033.061519105</v>
      </c>
      <c r="CK229" s="429">
        <f>SUM(CJ228:CK228)/CM228</f>
        <v>1.8580724060513163</v>
      </c>
      <c r="CL229" s="347"/>
      <c r="CM229" s="83"/>
      <c r="CN229" s="84"/>
      <c r="CO229" s="83"/>
      <c r="CP229" s="429">
        <v>1.7962872987452649</v>
      </c>
      <c r="CQ229" s="84"/>
      <c r="CR229" s="83"/>
      <c r="CS229" s="84">
        <v>2.9104639706939666</v>
      </c>
    </row>
    <row r="230" spans="1:97" s="23" customFormat="1" ht="15" customHeight="1" thickBot="1">
      <c r="A230" s="377"/>
      <c r="B230" s="85"/>
      <c r="C230" s="85"/>
      <c r="D230" s="85"/>
      <c r="E230" s="22"/>
      <c r="F230" s="86"/>
      <c r="G230" s="86"/>
      <c r="H230" s="22"/>
      <c r="I230" s="22"/>
      <c r="J230" s="22"/>
      <c r="K230" s="22"/>
      <c r="L230" s="22"/>
      <c r="M230" s="22"/>
      <c r="N230" s="22"/>
      <c r="O230" s="22"/>
      <c r="P230" s="22"/>
      <c r="Q230"/>
      <c r="R230"/>
      <c r="S230"/>
      <c r="T230"/>
      <c r="U230"/>
      <c r="V230" s="22"/>
      <c r="W230" s="22"/>
      <c r="X230" s="22"/>
      <c r="Y230" s="22" t="s">
        <v>515</v>
      </c>
      <c r="Z230" s="22"/>
      <c r="AA230" s="22"/>
      <c r="AB230" s="22"/>
      <c r="AC230" s="284"/>
      <c r="AD230" s="284"/>
      <c r="AE230" s="284"/>
      <c r="AF230" s="284"/>
      <c r="AG230" s="284"/>
      <c r="AH230" s="284"/>
      <c r="AI230" s="284"/>
      <c r="AJ230" s="284"/>
      <c r="AK230" s="284"/>
      <c r="AL230" s="284"/>
      <c r="AM230" s="284"/>
      <c r="AN230" s="284"/>
      <c r="AO230" s="284"/>
      <c r="AP230" s="22"/>
      <c r="AQ230" s="22"/>
      <c r="AR230" s="502"/>
      <c r="AS230" s="22"/>
      <c r="AT230" s="22"/>
      <c r="AU230" s="22"/>
      <c r="AV230" s="22"/>
      <c r="AW230" s="22"/>
      <c r="AX230" s="22"/>
      <c r="AY230" s="22"/>
      <c r="AZ230" s="22"/>
      <c r="BA230" s="22"/>
      <c r="BB230" s="22"/>
      <c r="BD230" s="441"/>
      <c r="BE230" s="442"/>
      <c r="BF230" s="442"/>
      <c r="BG230" s="442"/>
      <c r="BH230" s="441"/>
      <c r="BI230" s="469" t="s">
        <v>461</v>
      </c>
      <c r="BJ230" s="468"/>
      <c r="BK230" s="442"/>
      <c r="BL230" s="443"/>
      <c r="BM230" s="442"/>
      <c r="BN230" s="470" t="s">
        <v>508</v>
      </c>
      <c r="BO230" s="442"/>
      <c r="BP230" s="442"/>
      <c r="BQ230" s="444"/>
      <c r="BV230" s="441"/>
      <c r="BW230" s="469" t="s">
        <v>461</v>
      </c>
      <c r="BX230" s="468"/>
      <c r="BY230" s="442"/>
      <c r="BZ230" s="443"/>
      <c r="CA230" s="442"/>
      <c r="CB230" s="470" t="s">
        <v>508</v>
      </c>
      <c r="CJ230" s="441"/>
      <c r="CK230" s="469" t="s">
        <v>461</v>
      </c>
      <c r="CL230" s="468"/>
      <c r="CM230" s="442"/>
      <c r="CN230" s="443"/>
      <c r="CO230" s="442"/>
      <c r="CP230" s="470" t="s">
        <v>508</v>
      </c>
    </row>
    <row r="231" spans="1:97" s="23" customFormat="1" ht="15" customHeight="1" thickBot="1">
      <c r="A231" s="377"/>
      <c r="B231" s="87"/>
      <c r="C231" s="87"/>
      <c r="D231" s="87"/>
      <c r="E231" s="22"/>
      <c r="F231" s="86"/>
      <c r="G231" s="86"/>
      <c r="H231" s="22"/>
      <c r="I231" s="22"/>
      <c r="J231" s="22"/>
      <c r="K231" s="22"/>
      <c r="L231" s="22"/>
      <c r="M231" s="22"/>
      <c r="N231" s="22"/>
      <c r="O231" s="22"/>
      <c r="P231" s="22"/>
      <c r="Q231"/>
      <c r="R231"/>
      <c r="S231"/>
      <c r="T231"/>
      <c r="U231"/>
      <c r="V231" s="22"/>
      <c r="W231" s="22"/>
      <c r="X231" s="22"/>
      <c r="Y231" s="22" t="s">
        <v>515</v>
      </c>
      <c r="Z231" s="22"/>
      <c r="AA231" s="22"/>
      <c r="AB231" s="22"/>
      <c r="AC231" s="284"/>
      <c r="AD231" s="522" t="s">
        <v>478</v>
      </c>
      <c r="AE231" s="523"/>
      <c r="AF231" s="524"/>
      <c r="AG231" s="371" t="s">
        <v>477</v>
      </c>
      <c r="AH231" s="522" t="s">
        <v>478</v>
      </c>
      <c r="AI231" s="523"/>
      <c r="AJ231" s="523"/>
      <c r="AK231" s="524"/>
      <c r="AL231" s="284"/>
      <c r="AM231" s="284"/>
      <c r="AN231" s="284"/>
      <c r="AO231" s="284"/>
      <c r="AP231" s="22"/>
      <c r="AQ231" s="22"/>
      <c r="AR231" s="502"/>
      <c r="AS231" s="22"/>
      <c r="AT231" s="22"/>
      <c r="AU231" s="22"/>
      <c r="AV231" s="22"/>
      <c r="AW231" s="22"/>
      <c r="AX231" s="22"/>
      <c r="AY231" s="22"/>
      <c r="AZ231" s="22"/>
      <c r="BA231" s="22"/>
      <c r="BB231" s="22"/>
      <c r="BC231" s="87" t="s">
        <v>154</v>
      </c>
      <c r="BD231" s="445"/>
      <c r="BE231" s="22"/>
      <c r="BF231" s="88"/>
      <c r="BG231" s="22"/>
      <c r="BH231" s="452"/>
      <c r="BI231" s="349"/>
      <c r="BJ231" s="426"/>
      <c r="BK231" s="22"/>
      <c r="BL231" s="379"/>
      <c r="BM231" s="22"/>
      <c r="BN231" s="446"/>
      <c r="BO231" s="22"/>
      <c r="BP231" s="22"/>
      <c r="BQ231" s="446"/>
      <c r="BR231" s="88"/>
      <c r="BS231" s="22"/>
      <c r="BT231" s="88"/>
      <c r="BU231" s="22"/>
      <c r="BV231" s="452"/>
      <c r="BW231" s="349"/>
      <c r="BX231" s="349"/>
      <c r="BY231" s="22"/>
      <c r="BZ231" s="379"/>
      <c r="CA231" s="22"/>
      <c r="CB231" s="446"/>
      <c r="CC231" s="22"/>
      <c r="CD231" s="22"/>
      <c r="CE231" s="22"/>
      <c r="CF231" s="88"/>
      <c r="CG231" s="22"/>
      <c r="CH231" s="88"/>
      <c r="CI231" s="22"/>
      <c r="CJ231" s="452"/>
      <c r="CK231" s="349"/>
      <c r="CL231" s="349"/>
      <c r="CM231" s="22"/>
      <c r="CN231" s="379"/>
      <c r="CO231" s="22"/>
      <c r="CP231" s="446"/>
      <c r="CQ231" s="22"/>
      <c r="CR231" s="22"/>
      <c r="CS231" s="22"/>
    </row>
    <row r="232" spans="1:97" s="23" customFormat="1" ht="15" customHeight="1" thickBot="1">
      <c r="A232" s="377"/>
      <c r="B232" s="87" t="s">
        <v>494</v>
      </c>
      <c r="C232" s="87"/>
      <c r="D232" s="87"/>
      <c r="E232" s="22"/>
      <c r="F232" s="86"/>
      <c r="G232" s="86"/>
      <c r="H232" s="22"/>
      <c r="I232" s="22"/>
      <c r="J232" s="22"/>
      <c r="K232" s="22"/>
      <c r="L232" s="22"/>
      <c r="M232" s="22"/>
      <c r="N232" s="22"/>
      <c r="O232" s="22"/>
      <c r="P232" s="22"/>
      <c r="Q232"/>
      <c r="R232"/>
      <c r="S232"/>
      <c r="T232"/>
      <c r="U232"/>
      <c r="V232" s="22"/>
      <c r="W232" s="22"/>
      <c r="X232" s="22"/>
      <c r="Y232" s="22" t="s">
        <v>515</v>
      </c>
      <c r="Z232" s="22"/>
      <c r="AA232" s="22"/>
      <c r="AB232" s="22"/>
      <c r="AC232" s="284"/>
      <c r="AD232" s="526" t="s">
        <v>275</v>
      </c>
      <c r="AE232" s="510" t="s">
        <v>276</v>
      </c>
      <c r="AF232" s="510" t="s">
        <v>277</v>
      </c>
      <c r="AG232" s="510" t="s">
        <v>280</v>
      </c>
      <c r="AH232" s="510" t="s">
        <v>278</v>
      </c>
      <c r="AI232" s="510" t="s">
        <v>279</v>
      </c>
      <c r="AJ232" s="512" t="s">
        <v>475</v>
      </c>
      <c r="AK232" s="514" t="s">
        <v>31</v>
      </c>
      <c r="AL232" s="514" t="s">
        <v>479</v>
      </c>
      <c r="AM232" s="284"/>
      <c r="AN232" s="284"/>
      <c r="AO232" s="284"/>
      <c r="AP232" s="22"/>
      <c r="AQ232" s="22"/>
      <c r="AR232" s="502"/>
      <c r="AS232" s="22"/>
      <c r="AT232" s="22"/>
      <c r="AU232" s="22"/>
      <c r="AV232" s="22"/>
      <c r="AW232" s="22"/>
      <c r="AX232" s="22"/>
      <c r="AY232" s="22"/>
      <c r="AZ232" s="22"/>
      <c r="BA232" s="22"/>
      <c r="BB232" s="22"/>
      <c r="BC232" s="434" t="s">
        <v>0</v>
      </c>
      <c r="BD232" s="5" t="s">
        <v>106</v>
      </c>
      <c r="BE232" s="6"/>
      <c r="BF232" s="7"/>
      <c r="BG232" s="6"/>
      <c r="BH232" s="453"/>
      <c r="BI232" s="350"/>
      <c r="BJ232" s="427"/>
      <c r="BK232" s="6"/>
      <c r="BL232" s="380"/>
      <c r="BM232" s="6"/>
      <c r="BN232" s="8"/>
      <c r="BO232" s="6"/>
      <c r="BP232" s="6"/>
      <c r="BQ232" s="8"/>
      <c r="BR232" s="7" t="s">
        <v>107</v>
      </c>
      <c r="BS232" s="6"/>
      <c r="BT232" s="7"/>
      <c r="BU232" s="6"/>
      <c r="BV232" s="453"/>
      <c r="BW232" s="350"/>
      <c r="BX232" s="350"/>
      <c r="BY232" s="6"/>
      <c r="BZ232" s="380"/>
      <c r="CA232" s="6"/>
      <c r="CB232" s="8"/>
      <c r="CC232" s="6"/>
      <c r="CD232" s="6"/>
      <c r="CE232" s="8"/>
      <c r="CF232" s="5" t="s">
        <v>108</v>
      </c>
      <c r="CG232" s="6"/>
      <c r="CH232" s="7"/>
      <c r="CI232" s="6"/>
      <c r="CJ232" s="453"/>
      <c r="CK232" s="350"/>
      <c r="CL232" s="350"/>
      <c r="CM232" s="6"/>
      <c r="CN232" s="380"/>
      <c r="CO232" s="6"/>
      <c r="CP232" s="8"/>
      <c r="CQ232" s="6"/>
      <c r="CR232" s="6"/>
      <c r="CS232" s="8"/>
    </row>
    <row r="233" spans="1:97" s="23" customFormat="1" ht="15" customHeight="1" thickBot="1">
      <c r="A233" s="377"/>
      <c r="B233" s="87"/>
      <c r="C233" s="87"/>
      <c r="D233" s="87"/>
      <c r="E233" s="22"/>
      <c r="F233" s="222"/>
      <c r="G233" s="222"/>
      <c r="H233" s="141"/>
      <c r="I233" s="141"/>
      <c r="J233" s="141"/>
      <c r="K233" s="141"/>
      <c r="L233" s="141"/>
      <c r="M233" s="141"/>
      <c r="N233" s="141"/>
      <c r="O233" s="141"/>
      <c r="P233" s="141"/>
      <c r="Q233"/>
      <c r="R233"/>
      <c r="S233"/>
      <c r="T233"/>
      <c r="U233"/>
      <c r="V233" s="141"/>
      <c r="W233" s="141"/>
      <c r="X233" s="141"/>
      <c r="Y233" s="141" t="s">
        <v>515</v>
      </c>
      <c r="Z233" s="141"/>
      <c r="AA233" s="141"/>
      <c r="AB233" s="141"/>
      <c r="AC233" s="285"/>
      <c r="AD233" s="527"/>
      <c r="AE233" s="511"/>
      <c r="AF233" s="511"/>
      <c r="AG233" s="511"/>
      <c r="AH233" s="511"/>
      <c r="AI233" s="511"/>
      <c r="AJ233" s="513"/>
      <c r="AK233" s="515"/>
      <c r="AL233" s="515"/>
      <c r="AM233" s="285"/>
      <c r="AN233" s="285"/>
      <c r="AO233" s="285"/>
      <c r="AP233" s="141"/>
      <c r="AQ233" s="22"/>
      <c r="AR233" s="503"/>
      <c r="AS233" s="22"/>
      <c r="AT233" s="22"/>
      <c r="AU233" s="22"/>
      <c r="AV233" s="22"/>
      <c r="AW233" s="22"/>
      <c r="AX233" s="22"/>
      <c r="AY233" s="22"/>
      <c r="AZ233" s="22"/>
      <c r="BA233" s="22"/>
      <c r="BB233" s="22"/>
      <c r="BC233" s="435"/>
      <c r="BD233" s="9"/>
      <c r="BE233" s="10"/>
      <c r="BF233" s="11"/>
      <c r="BG233" s="10"/>
      <c r="BH233" s="454" t="s">
        <v>109</v>
      </c>
      <c r="BI233" s="351"/>
      <c r="BJ233" s="427"/>
      <c r="BK233" s="10" t="s">
        <v>110</v>
      </c>
      <c r="BL233" s="381"/>
      <c r="BM233" s="10" t="s">
        <v>111</v>
      </c>
      <c r="BN233" s="12" t="s">
        <v>112</v>
      </c>
      <c r="BO233" s="10"/>
      <c r="BP233" s="10" t="s">
        <v>113</v>
      </c>
      <c r="BQ233" s="12" t="s">
        <v>114</v>
      </c>
      <c r="BR233" s="11"/>
      <c r="BS233" s="10"/>
      <c r="BT233" s="11"/>
      <c r="BU233" s="10"/>
      <c r="BV233" s="454" t="s">
        <v>109</v>
      </c>
      <c r="BW233" s="351"/>
      <c r="BX233" s="351"/>
      <c r="BY233" s="10" t="s">
        <v>110</v>
      </c>
      <c r="BZ233" s="381"/>
      <c r="CA233" s="10" t="s">
        <v>111</v>
      </c>
      <c r="CB233" s="12" t="s">
        <v>112</v>
      </c>
      <c r="CC233" s="10"/>
      <c r="CD233" s="10" t="s">
        <v>113</v>
      </c>
      <c r="CE233" s="12" t="s">
        <v>114</v>
      </c>
      <c r="CF233" s="9"/>
      <c r="CG233" s="10"/>
      <c r="CH233" s="11"/>
      <c r="CI233" s="10"/>
      <c r="CJ233" s="454" t="s">
        <v>109</v>
      </c>
      <c r="CK233" s="351"/>
      <c r="CL233" s="351"/>
      <c r="CM233" s="10" t="s">
        <v>110</v>
      </c>
      <c r="CN233" s="381"/>
      <c r="CO233" s="10" t="s">
        <v>111</v>
      </c>
      <c r="CP233" s="12" t="s">
        <v>112</v>
      </c>
      <c r="CQ233" s="10"/>
      <c r="CR233" s="10" t="s">
        <v>113</v>
      </c>
      <c r="CS233" s="12" t="s">
        <v>114</v>
      </c>
    </row>
    <row r="234" spans="1:97" s="23" customFormat="1" ht="15" customHeight="1" thickBot="1">
      <c r="A234" s="377"/>
      <c r="B234" s="17" t="s">
        <v>0</v>
      </c>
      <c r="C234" s="18" t="s">
        <v>1</v>
      </c>
      <c r="D234" s="18" t="s">
        <v>2</v>
      </c>
      <c r="E234" s="19" t="s">
        <v>3</v>
      </c>
      <c r="F234" s="140" t="s">
        <v>4</v>
      </c>
      <c r="G234" s="220" t="s">
        <v>5</v>
      </c>
      <c r="H234" s="220" t="s">
        <v>6</v>
      </c>
      <c r="I234" s="220" t="s">
        <v>7</v>
      </c>
      <c r="J234" s="220" t="s">
        <v>8</v>
      </c>
      <c r="K234" s="220" t="s">
        <v>9</v>
      </c>
      <c r="L234" s="220" t="s">
        <v>10</v>
      </c>
      <c r="M234" s="220" t="s">
        <v>11</v>
      </c>
      <c r="N234" s="220" t="s">
        <v>12</v>
      </c>
      <c r="O234" s="220" t="s">
        <v>13</v>
      </c>
      <c r="P234" s="220" t="s">
        <v>14</v>
      </c>
      <c r="Q234" s="314" t="s">
        <v>431</v>
      </c>
      <c r="R234" s="314" t="s">
        <v>432</v>
      </c>
      <c r="S234" s="314" t="s">
        <v>433</v>
      </c>
      <c r="T234" s="314" t="s">
        <v>434</v>
      </c>
      <c r="U234" s="319" t="s">
        <v>435</v>
      </c>
      <c r="V234" s="220" t="s">
        <v>15</v>
      </c>
      <c r="W234" s="221" t="s">
        <v>16</v>
      </c>
      <c r="X234" s="123"/>
      <c r="Y234" s="476" t="s">
        <v>515</v>
      </c>
      <c r="Z234" s="225"/>
      <c r="AA234" s="256"/>
      <c r="AB234" s="123"/>
      <c r="AC234" s="283"/>
      <c r="AD234" s="283"/>
      <c r="AE234" s="283"/>
      <c r="AF234" s="283" t="s">
        <v>481</v>
      </c>
      <c r="AG234" s="283"/>
      <c r="AH234" s="283"/>
      <c r="AI234" s="283"/>
      <c r="AJ234" s="283"/>
      <c r="AK234" s="370"/>
      <c r="AL234" s="283"/>
      <c r="AM234" s="283"/>
      <c r="AN234" s="283"/>
      <c r="AO234" s="283"/>
      <c r="AP234" s="218"/>
      <c r="AQ234" s="123"/>
      <c r="AR234" s="505"/>
      <c r="AS234" s="123"/>
      <c r="AT234" s="123"/>
      <c r="AU234" s="123"/>
      <c r="AV234" s="123"/>
      <c r="AW234" s="123"/>
      <c r="AX234" s="123"/>
      <c r="AY234" s="123"/>
      <c r="AZ234" s="123"/>
      <c r="BA234" s="21"/>
      <c r="BB234" s="22"/>
      <c r="BC234" s="433"/>
      <c r="BD234" s="13" t="s">
        <v>17</v>
      </c>
      <c r="BE234" s="1" t="s">
        <v>18</v>
      </c>
      <c r="BF234" s="14" t="s">
        <v>19</v>
      </c>
      <c r="BG234" s="1" t="s">
        <v>20</v>
      </c>
      <c r="BH234" s="455" t="s">
        <v>21</v>
      </c>
      <c r="BI234" s="345"/>
      <c r="BJ234" s="427"/>
      <c r="BK234" s="1" t="s">
        <v>22</v>
      </c>
      <c r="BL234" s="382"/>
      <c r="BM234" s="2" t="s">
        <v>23</v>
      </c>
      <c r="BN234" s="4" t="s">
        <v>24</v>
      </c>
      <c r="BO234" s="3"/>
      <c r="BP234" s="1" t="s">
        <v>25</v>
      </c>
      <c r="BQ234" s="4" t="s">
        <v>26</v>
      </c>
      <c r="BR234" s="14" t="s">
        <v>17</v>
      </c>
      <c r="BS234" s="1" t="s">
        <v>18</v>
      </c>
      <c r="BT234" s="14" t="s">
        <v>19</v>
      </c>
      <c r="BU234" s="1" t="s">
        <v>20</v>
      </c>
      <c r="BV234" s="455" t="s">
        <v>21</v>
      </c>
      <c r="BW234" s="345"/>
      <c r="BX234" s="345"/>
      <c r="BY234" s="1" t="s">
        <v>22</v>
      </c>
      <c r="BZ234" s="382"/>
      <c r="CA234" s="2" t="s">
        <v>23</v>
      </c>
      <c r="CB234" s="4" t="s">
        <v>24</v>
      </c>
      <c r="CC234" s="3"/>
      <c r="CD234" s="1" t="s">
        <v>25</v>
      </c>
      <c r="CE234" s="4" t="s">
        <v>26</v>
      </c>
      <c r="CF234" s="13" t="s">
        <v>17</v>
      </c>
      <c r="CG234" s="1" t="s">
        <v>18</v>
      </c>
      <c r="CH234" s="14" t="s">
        <v>19</v>
      </c>
      <c r="CI234" s="1" t="s">
        <v>20</v>
      </c>
      <c r="CJ234" s="455" t="s">
        <v>21</v>
      </c>
      <c r="CK234" s="345"/>
      <c r="CL234" s="345"/>
      <c r="CM234" s="1" t="s">
        <v>22</v>
      </c>
      <c r="CN234" s="382"/>
      <c r="CO234" s="2" t="s">
        <v>23</v>
      </c>
      <c r="CP234" s="4" t="s">
        <v>24</v>
      </c>
      <c r="CQ234" s="3"/>
      <c r="CR234" s="1" t="s">
        <v>25</v>
      </c>
      <c r="CS234" s="4" t="s">
        <v>26</v>
      </c>
    </row>
    <row r="235" spans="1:97" s="23" customFormat="1" ht="15" customHeight="1">
      <c r="A235" s="377" t="str">
        <f t="shared" ref="A235:A267" si="272">CONCATENATE($B$232,"; ",B235,"; ",C235,"; ",D235)</f>
        <v>Existing Residential; 10.5 W LED; RES-Lighting; RES-SF</v>
      </c>
      <c r="B235" s="149" t="s">
        <v>155</v>
      </c>
      <c r="C235" s="15" t="s">
        <v>144</v>
      </c>
      <c r="D235" s="15" t="s">
        <v>139</v>
      </c>
      <c r="E235" s="43">
        <v>25</v>
      </c>
      <c r="F235" s="44">
        <v>44.278310395771207</v>
      </c>
      <c r="G235" s="44">
        <v>11.099905208711141</v>
      </c>
      <c r="H235" s="45">
        <v>13</v>
      </c>
      <c r="I235" s="46">
        <v>1</v>
      </c>
      <c r="J235" s="45">
        <v>1.6382974846435345</v>
      </c>
      <c r="K235" s="45">
        <v>14.638297484643534</v>
      </c>
      <c r="L235" s="45">
        <v>0</v>
      </c>
      <c r="M235" s="45">
        <v>14.638297484643534</v>
      </c>
      <c r="N235" s="45">
        <v>72.918117449433282</v>
      </c>
      <c r="O235" s="47">
        <v>0.90720000000000001</v>
      </c>
      <c r="P235" s="47">
        <v>4.9249420065746916</v>
      </c>
      <c r="Q235" s="310">
        <f t="shared" ref="Q235:Q267" si="273">N235*O235/(O235*H235+J235)</f>
        <v>4.9249420065746916</v>
      </c>
      <c r="R235" s="311">
        <f t="shared" ref="R235:R267" si="274">AB235</f>
        <v>3.7800000000000002</v>
      </c>
      <c r="S235" s="311">
        <f t="shared" ref="S235:S267" si="275">-PV(RDR,E235,AC235)</f>
        <v>0</v>
      </c>
      <c r="T235" s="310">
        <f t="shared" ref="T235:T267" si="276">(N235+SUM(R235:S235))*O235/(O235*H235+J235)</f>
        <v>5.1802459205541247</v>
      </c>
      <c r="U235" s="316">
        <f t="shared" ref="U235:U267" si="277">(T235-Q235)/Q235</f>
        <v>5.1838968588585985E-2</v>
      </c>
      <c r="V235" s="48">
        <v>0.33059747207611523</v>
      </c>
      <c r="W235" s="49">
        <v>1.3187768011888501</v>
      </c>
      <c r="X235" s="48" t="s">
        <v>195</v>
      </c>
      <c r="Y235" s="48" t="s">
        <v>541</v>
      </c>
      <c r="Z235" s="246">
        <f>3*Z3</f>
        <v>3.7800000000000002</v>
      </c>
      <c r="AA235" s="246"/>
      <c r="AB235" s="413">
        <f>Z235</f>
        <v>3.7800000000000002</v>
      </c>
      <c r="AC235" s="410">
        <v>0</v>
      </c>
      <c r="AD235" s="289">
        <v>0</v>
      </c>
      <c r="AE235" s="289">
        <v>0</v>
      </c>
      <c r="AF235" s="289">
        <v>0</v>
      </c>
      <c r="AG235" s="373">
        <v>0</v>
      </c>
      <c r="AH235" s="289">
        <v>0</v>
      </c>
      <c r="AI235" s="289">
        <f t="shared" ref="AI235:AI242" si="278">AB235</f>
        <v>3.7800000000000002</v>
      </c>
      <c r="AJ235" s="289">
        <v>0</v>
      </c>
      <c r="AK235" s="294">
        <v>0</v>
      </c>
      <c r="AL235" s="289">
        <f>SUM(AD235:AK235)</f>
        <v>3.7800000000000002</v>
      </c>
      <c r="AM235" s="289"/>
      <c r="AN235" s="289"/>
      <c r="AO235" s="289" t="s">
        <v>634</v>
      </c>
      <c r="AP235" s="303" t="s">
        <v>377</v>
      </c>
      <c r="AQ235" s="136" t="s">
        <v>195</v>
      </c>
      <c r="AR235" s="289"/>
      <c r="AS235" s="142"/>
      <c r="AT235" s="142"/>
      <c r="AU235" s="146" t="s">
        <v>195</v>
      </c>
      <c r="AV235" s="48"/>
      <c r="AW235" s="131" t="s">
        <v>284</v>
      </c>
      <c r="AX235" s="131"/>
      <c r="AY235" s="131">
        <v>10.18</v>
      </c>
      <c r="AZ235" s="48"/>
      <c r="BA235" s="48"/>
      <c r="BB235" s="50"/>
      <c r="BC235" s="51" t="s">
        <v>155</v>
      </c>
      <c r="BD235" s="90">
        <v>1085.5759844286015</v>
      </c>
      <c r="BE235" s="91">
        <v>4330.439719341156</v>
      </c>
      <c r="BF235" s="92">
        <v>1085.5759844286015</v>
      </c>
      <c r="BG235" s="91">
        <v>4330.439719341156</v>
      </c>
      <c r="BH235" s="449">
        <v>7131426.4081035629</v>
      </c>
      <c r="BI235" s="346">
        <f t="shared" ref="BI235:BI267" si="279">SUM(R235:S235)*O235*BL235</f>
        <v>369685.78956149361</v>
      </c>
      <c r="BJ235" s="347">
        <f t="shared" si="247"/>
        <v>7501112.1976650562</v>
      </c>
      <c r="BK235" s="93">
        <v>1448022.4129712111</v>
      </c>
      <c r="BL235" s="94">
        <v>107804.75466155926</v>
      </c>
      <c r="BM235" s="93">
        <v>5683403.9951323513</v>
      </c>
      <c r="BN235" s="95">
        <v>4.9249420065746916</v>
      </c>
      <c r="BO235" s="94">
        <f t="shared" ref="BO235:BO266" si="280">SUM(BH235:BI235)/BK235</f>
        <v>5.1802459205541247</v>
      </c>
      <c r="BP235" s="93">
        <v>1578078.068994916</v>
      </c>
      <c r="BQ235" s="95">
        <v>4.5190580543620351</v>
      </c>
      <c r="BR235" s="92">
        <v>1098.7085285648832</v>
      </c>
      <c r="BS235" s="91">
        <v>4382.8263708141885</v>
      </c>
      <c r="BT235" s="92">
        <v>2184.2845129934849</v>
      </c>
      <c r="BU235" s="91">
        <v>8713.2660901553445</v>
      </c>
      <c r="BV235" s="449">
        <v>7621148.7558579007</v>
      </c>
      <c r="BW235" s="346">
        <f t="shared" ref="BW235:BW267" si="281">SUM(R235:S235)*O235*BZ235</f>
        <v>385285.14543912379</v>
      </c>
      <c r="BX235" s="346">
        <f>BV235+BW235</f>
        <v>8006433.9012970245</v>
      </c>
      <c r="BY235" s="93">
        <v>1503807.5721893641</v>
      </c>
      <c r="BZ235" s="94">
        <v>112353.71158863243</v>
      </c>
      <c r="CA235" s="93">
        <v>6117341.1836685371</v>
      </c>
      <c r="CB235" s="95">
        <v>5.0679015698547252</v>
      </c>
      <c r="CC235" s="94">
        <f t="shared" ref="CC235:CC267" si="282">SUM(BV235:BW235)/BY235</f>
        <v>5.3241079838696477</v>
      </c>
      <c r="CD235" s="93">
        <v>1639351.0898498902</v>
      </c>
      <c r="CE235" s="95">
        <v>4.6488813793729467</v>
      </c>
      <c r="CF235" s="90">
        <v>989.32455109981095</v>
      </c>
      <c r="CG235" s="91">
        <v>3946.4859142559208</v>
      </c>
      <c r="CH235" s="92">
        <v>3173.6090640932953</v>
      </c>
      <c r="CI235" s="91">
        <v>12659.752004411264</v>
      </c>
      <c r="CJ235" s="449">
        <v>7255889.8589439634</v>
      </c>
      <c r="CK235" s="346">
        <f t="shared" ref="CK235:CK267" si="283">SUM(R235:S235)*O235*CN235</f>
        <v>357912.92280150653</v>
      </c>
      <c r="CL235" s="346">
        <f>CJ235+CK235</f>
        <v>7613802.7817454701</v>
      </c>
      <c r="CM235" s="93">
        <v>1391874.2261553896</v>
      </c>
      <c r="CN235" s="94">
        <v>104371.64728075062</v>
      </c>
      <c r="CO235" s="93">
        <v>5864015.6327885743</v>
      </c>
      <c r="CP235" s="95">
        <v>5.2130355764874352</v>
      </c>
      <c r="CQ235" s="94">
        <f t="shared" ref="CQ235:CQ267" si="284">SUM(CJ235:CK235)/CM235</f>
        <v>5.4701801633156046</v>
      </c>
      <c r="CR235" s="93">
        <v>1517788.181434887</v>
      </c>
      <c r="CS235" s="95">
        <v>4.780568163394439</v>
      </c>
    </row>
    <row r="236" spans="1:97" s="23" customFormat="1" ht="15" customHeight="1">
      <c r="A236" s="377" t="str">
        <f t="shared" si="272"/>
        <v>Existing Residential; 11 W LED; RES-Lighting; RES-SF</v>
      </c>
      <c r="B236" s="149" t="s">
        <v>156</v>
      </c>
      <c r="C236" s="15" t="s">
        <v>144</v>
      </c>
      <c r="D236" s="15" t="s">
        <v>139</v>
      </c>
      <c r="E236" s="43">
        <v>25</v>
      </c>
      <c r="F236" s="44">
        <v>70.90437708580923</v>
      </c>
      <c r="G236" s="44">
        <v>17.774658913144936</v>
      </c>
      <c r="H236" s="45">
        <v>16.8</v>
      </c>
      <c r="I236" s="46">
        <v>1</v>
      </c>
      <c r="J236" s="45">
        <v>2.6234619521749414</v>
      </c>
      <c r="K236" s="45">
        <v>19.423461952174943</v>
      </c>
      <c r="L236" s="45">
        <v>0</v>
      </c>
      <c r="M236" s="45">
        <v>19.423461952174943</v>
      </c>
      <c r="N236" s="45">
        <v>116.76628240348853</v>
      </c>
      <c r="O236" s="47">
        <v>0.90720000000000001</v>
      </c>
      <c r="P236" s="47">
        <v>5.929683685261816</v>
      </c>
      <c r="Q236" s="310">
        <f t="shared" si="273"/>
        <v>5.929683685261816</v>
      </c>
      <c r="R236" s="311">
        <f t="shared" si="274"/>
        <v>3.7800000000000002</v>
      </c>
      <c r="S236" s="311">
        <f t="shared" si="275"/>
        <v>0</v>
      </c>
      <c r="T236" s="310">
        <f t="shared" si="276"/>
        <v>6.1216415336142784</v>
      </c>
      <c r="U236" s="316">
        <f t="shared" si="277"/>
        <v>3.2372358888143091E-2</v>
      </c>
      <c r="V236" s="48">
        <v>0.27393882790435437</v>
      </c>
      <c r="W236" s="49">
        <v>1.0927614446548206</v>
      </c>
      <c r="X236" s="48" t="s">
        <v>195</v>
      </c>
      <c r="Y236" s="48" t="s">
        <v>541</v>
      </c>
      <c r="Z236" s="246">
        <f>3*Z3</f>
        <v>3.7800000000000002</v>
      </c>
      <c r="AA236" s="246"/>
      <c r="AB236" s="397">
        <f t="shared" ref="AB236:AB242" si="285">Z236</f>
        <v>3.7800000000000002</v>
      </c>
      <c r="AC236" s="388">
        <v>0</v>
      </c>
      <c r="AD236" s="289">
        <v>0</v>
      </c>
      <c r="AE236" s="289">
        <v>0</v>
      </c>
      <c r="AF236" s="289">
        <v>0</v>
      </c>
      <c r="AG236" s="373">
        <v>0</v>
      </c>
      <c r="AH236" s="289">
        <v>0</v>
      </c>
      <c r="AI236" s="289">
        <f t="shared" si="278"/>
        <v>3.7800000000000002</v>
      </c>
      <c r="AJ236" s="289">
        <v>0</v>
      </c>
      <c r="AK236" s="294">
        <v>0</v>
      </c>
      <c r="AL236" s="289">
        <f t="shared" ref="AL236:AL244" si="286">SUM(AD236:AK236)</f>
        <v>3.7800000000000002</v>
      </c>
      <c r="AM236" s="289"/>
      <c r="AN236" s="289"/>
      <c r="AO236" s="289" t="s">
        <v>634</v>
      </c>
      <c r="AP236" s="303" t="s">
        <v>377</v>
      </c>
      <c r="AQ236" s="136" t="s">
        <v>195</v>
      </c>
      <c r="AR236" s="289"/>
      <c r="AS236" s="142"/>
      <c r="AT236" s="142"/>
      <c r="AU236" s="146" t="s">
        <v>195</v>
      </c>
      <c r="AV236" s="48"/>
      <c r="AW236" s="131" t="s">
        <v>284</v>
      </c>
      <c r="AX236" s="131"/>
      <c r="AY236" s="131">
        <v>10.18</v>
      </c>
      <c r="AZ236" s="48"/>
      <c r="BA236" s="48"/>
      <c r="BB236" s="50"/>
      <c r="BC236" s="51" t="s">
        <v>156</v>
      </c>
      <c r="BD236" s="52">
        <v>879.42742075805654</v>
      </c>
      <c r="BE236" s="53">
        <v>3508.0984544190678</v>
      </c>
      <c r="BF236" s="54">
        <v>879.42742075805654</v>
      </c>
      <c r="BG236" s="53">
        <v>3508.0984544190678</v>
      </c>
      <c r="BH236" s="450">
        <v>5777183.7461064318</v>
      </c>
      <c r="BI236" s="347">
        <f t="shared" si="279"/>
        <v>187021.06559170448</v>
      </c>
      <c r="BJ236" s="347">
        <f t="shared" si="247"/>
        <v>5964204.8116981359</v>
      </c>
      <c r="BK236" s="45">
        <v>974281.94364997558</v>
      </c>
      <c r="BL236" s="47">
        <v>54537.557736725961</v>
      </c>
      <c r="BM236" s="45">
        <v>4802901.8024564562</v>
      </c>
      <c r="BN236" s="55">
        <v>5.929683685261816</v>
      </c>
      <c r="BO236" s="47">
        <f t="shared" si="280"/>
        <v>6.1216415336142775</v>
      </c>
      <c r="BP236" s="45">
        <v>1059308.1776638408</v>
      </c>
      <c r="BQ236" s="55">
        <v>5.4537327927055372</v>
      </c>
      <c r="BR236" s="54">
        <v>863.31473428261586</v>
      </c>
      <c r="BS236" s="53">
        <v>3443.8238034509318</v>
      </c>
      <c r="BT236" s="54">
        <v>1742.7421550406723</v>
      </c>
      <c r="BU236" s="53">
        <v>6951.9222578699992</v>
      </c>
      <c r="BV236" s="450">
        <v>5988348.9042227892</v>
      </c>
      <c r="BW236" s="347">
        <f t="shared" si="281"/>
        <v>189383.24591646084</v>
      </c>
      <c r="BX236" s="347">
        <f t="shared" ref="BX236:BX267" si="287">BV236+BW236</f>
        <v>6177732.1501392499</v>
      </c>
      <c r="BY236" s="45">
        <v>982159.092000501</v>
      </c>
      <c r="BZ236" s="47">
        <v>55226.397496238445</v>
      </c>
      <c r="CA236" s="45">
        <v>5006189.812222288</v>
      </c>
      <c r="CB236" s="55">
        <v>6.0971271894713919</v>
      </c>
      <c r="CC236" s="47">
        <f t="shared" si="282"/>
        <v>6.2899505797540369</v>
      </c>
      <c r="CD236" s="45">
        <v>1068259.2547530367</v>
      </c>
      <c r="CE236" s="55">
        <v>5.6057074886818494</v>
      </c>
      <c r="CF236" s="52">
        <v>761.08283818408188</v>
      </c>
      <c r="CG236" s="53">
        <v>3036.0135075353751</v>
      </c>
      <c r="CH236" s="54">
        <v>2503.8249932247545</v>
      </c>
      <c r="CI236" s="53">
        <v>9987.9357654053747</v>
      </c>
      <c r="CJ236" s="450">
        <v>5581922.7787859002</v>
      </c>
      <c r="CK236" s="347">
        <f t="shared" si="283"/>
        <v>172569.84313779403</v>
      </c>
      <c r="CL236" s="347">
        <f t="shared" ref="CL236:CL268" si="288">CJ236+CK236</f>
        <v>5754492.6219236944</v>
      </c>
      <c r="CM236" s="45">
        <v>890800.38283773628</v>
      </c>
      <c r="CN236" s="47">
        <v>50323.410114088474</v>
      </c>
      <c r="CO236" s="45">
        <v>4691122.3959481642</v>
      </c>
      <c r="CP236" s="55">
        <v>6.266188122870032</v>
      </c>
      <c r="CQ236" s="47">
        <f t="shared" si="284"/>
        <v>6.4599126053270943</v>
      </c>
      <c r="CR236" s="45">
        <v>969256.59214200475</v>
      </c>
      <c r="CS236" s="55">
        <v>5.7589732420082411</v>
      </c>
    </row>
    <row r="237" spans="1:97" s="23" customFormat="1" ht="15" customHeight="1">
      <c r="A237" s="377" t="str">
        <f t="shared" si="272"/>
        <v>Existing Residential; 8 W LED; RES-Lighting; MURB</v>
      </c>
      <c r="B237" s="149" t="s">
        <v>157</v>
      </c>
      <c r="C237" s="15" t="s">
        <v>144</v>
      </c>
      <c r="D237" s="15" t="s">
        <v>158</v>
      </c>
      <c r="E237" s="43">
        <v>25</v>
      </c>
      <c r="F237" s="44">
        <v>47.008424215771214</v>
      </c>
      <c r="G237" s="44">
        <v>5.3662584721200259</v>
      </c>
      <c r="H237" s="45">
        <v>12</v>
      </c>
      <c r="I237" s="46">
        <v>1</v>
      </c>
      <c r="J237" s="45">
        <v>1.7393116959835349</v>
      </c>
      <c r="K237" s="45">
        <v>13.739311695983535</v>
      </c>
      <c r="L237" s="45">
        <v>0</v>
      </c>
      <c r="M237" s="45">
        <v>13.739311695983535</v>
      </c>
      <c r="N237" s="45">
        <v>63.933703943844982</v>
      </c>
      <c r="O237" s="47">
        <v>0.83</v>
      </c>
      <c r="P237" s="47">
        <v>4.5357347211809875</v>
      </c>
      <c r="Q237" s="310">
        <f t="shared" si="273"/>
        <v>4.5357347211809875</v>
      </c>
      <c r="R237" s="311">
        <f t="shared" si="274"/>
        <v>3.7800000000000002</v>
      </c>
      <c r="S237" s="311">
        <f t="shared" si="275"/>
        <v>0</v>
      </c>
      <c r="T237" s="310">
        <f t="shared" si="276"/>
        <v>4.8039043435936533</v>
      </c>
      <c r="U237" s="316">
        <f t="shared" si="277"/>
        <v>5.9123744861084231E-2</v>
      </c>
      <c r="V237" s="48">
        <v>0.29227339408186392</v>
      </c>
      <c r="W237" s="49">
        <v>2.5603149321571164</v>
      </c>
      <c r="X237" s="48" t="s">
        <v>195</v>
      </c>
      <c r="Y237" s="48" t="s">
        <v>541</v>
      </c>
      <c r="Z237" s="246">
        <f>3*Z3</f>
        <v>3.7800000000000002</v>
      </c>
      <c r="AA237" s="246"/>
      <c r="AB237" s="397">
        <f t="shared" si="285"/>
        <v>3.7800000000000002</v>
      </c>
      <c r="AC237" s="388">
        <v>0</v>
      </c>
      <c r="AD237" s="289">
        <v>0</v>
      </c>
      <c r="AE237" s="289">
        <v>0</v>
      </c>
      <c r="AF237" s="289">
        <v>0</v>
      </c>
      <c r="AG237" s="373">
        <v>0</v>
      </c>
      <c r="AH237" s="289">
        <v>0</v>
      </c>
      <c r="AI237" s="289">
        <f t="shared" si="278"/>
        <v>3.7800000000000002</v>
      </c>
      <c r="AJ237" s="289">
        <v>0</v>
      </c>
      <c r="AK237" s="294">
        <v>0</v>
      </c>
      <c r="AL237" s="289">
        <f t="shared" si="286"/>
        <v>3.7800000000000002</v>
      </c>
      <c r="AM237" s="289"/>
      <c r="AN237" s="289"/>
      <c r="AO237" s="289" t="s">
        <v>634</v>
      </c>
      <c r="AP237" s="303" t="s">
        <v>377</v>
      </c>
      <c r="AQ237" s="136" t="s">
        <v>195</v>
      </c>
      <c r="AR237" s="289"/>
      <c r="AS237" s="142"/>
      <c r="AT237" s="142"/>
      <c r="AU237" s="146" t="s">
        <v>195</v>
      </c>
      <c r="AV237" s="48"/>
      <c r="AW237" s="131" t="s">
        <v>284</v>
      </c>
      <c r="AX237" s="131"/>
      <c r="AY237" s="131">
        <v>10.18</v>
      </c>
      <c r="AZ237" s="48"/>
      <c r="BA237" s="48"/>
      <c r="BB237" s="50"/>
      <c r="BC237" s="51" t="s">
        <v>157</v>
      </c>
      <c r="BD237" s="52">
        <v>43.775116258942504</v>
      </c>
      <c r="BE237" s="53">
        <v>383.47001842833458</v>
      </c>
      <c r="BF237" s="54">
        <v>43.775116258942504</v>
      </c>
      <c r="BG237" s="53">
        <v>383.47001842833458</v>
      </c>
      <c r="BH237" s="450">
        <v>521537.55499238044</v>
      </c>
      <c r="BI237" s="347">
        <f t="shared" si="279"/>
        <v>30835.2533368433</v>
      </c>
      <c r="BJ237" s="347">
        <f t="shared" si="247"/>
        <v>552372.80832922377</v>
      </c>
      <c r="BK237" s="45">
        <v>114984.13973747246</v>
      </c>
      <c r="BL237" s="47">
        <v>9828.2824430558103</v>
      </c>
      <c r="BM237" s="45">
        <v>406553.41525490797</v>
      </c>
      <c r="BN237" s="55">
        <v>4.5357347211809884</v>
      </c>
      <c r="BO237" s="47">
        <f t="shared" si="280"/>
        <v>4.803904343593655</v>
      </c>
      <c r="BP237" s="45">
        <v>135033.83592130634</v>
      </c>
      <c r="BQ237" s="55">
        <v>3.8622731216516493</v>
      </c>
      <c r="BR237" s="54">
        <v>43.947307004760745</v>
      </c>
      <c r="BS237" s="53">
        <v>384.97840936170235</v>
      </c>
      <c r="BT237" s="54">
        <v>87.722423263703249</v>
      </c>
      <c r="BU237" s="53">
        <v>768.44842779003693</v>
      </c>
      <c r="BV237" s="450">
        <v>549636.41480772733</v>
      </c>
      <c r="BW237" s="347">
        <f t="shared" si="281"/>
        <v>31877.167174107133</v>
      </c>
      <c r="BX237" s="347">
        <f t="shared" si="287"/>
        <v>581513.58198183449</v>
      </c>
      <c r="BY237" s="45">
        <v>118359.04423644888</v>
      </c>
      <c r="BZ237" s="47">
        <v>10160.377119304881</v>
      </c>
      <c r="CA237" s="45">
        <v>431277.37057127844</v>
      </c>
      <c r="CB237" s="55">
        <v>4.6438057890168887</v>
      </c>
      <c r="CC237" s="47">
        <f t="shared" si="282"/>
        <v>4.9131317824781515</v>
      </c>
      <c r="CD237" s="45">
        <v>139086.21355983085</v>
      </c>
      <c r="CE237" s="55">
        <v>3.9517677614488349</v>
      </c>
      <c r="CF237" s="52">
        <v>36.288909167549804</v>
      </c>
      <c r="CG237" s="53">
        <v>317.89084430773482</v>
      </c>
      <c r="CH237" s="54">
        <v>124.01133243125305</v>
      </c>
      <c r="CI237" s="53">
        <v>1086.3392720977718</v>
      </c>
      <c r="CJ237" s="450">
        <v>477267.34323657077</v>
      </c>
      <c r="CK237" s="347">
        <f t="shared" si="283"/>
        <v>27155.649160933357</v>
      </c>
      <c r="CL237" s="347">
        <f t="shared" si="288"/>
        <v>504422.9923975041</v>
      </c>
      <c r="CM237" s="45">
        <v>100379.44767252376</v>
      </c>
      <c r="CN237" s="47">
        <v>8655.4628548904693</v>
      </c>
      <c r="CO237" s="45">
        <v>376887.89556404704</v>
      </c>
      <c r="CP237" s="55">
        <v>4.7546320915572258</v>
      </c>
      <c r="CQ237" s="47">
        <f t="shared" si="284"/>
        <v>5.0251620634846015</v>
      </c>
      <c r="CR237" s="45">
        <v>118036.59189650032</v>
      </c>
      <c r="CS237" s="55">
        <v>4.0433846451197084</v>
      </c>
    </row>
    <row r="238" spans="1:97" s="23" customFormat="1" ht="15" customHeight="1">
      <c r="A238" s="377" t="str">
        <f t="shared" si="272"/>
        <v>Existing Residential; 12 W LED; RES-Lighting; MURB</v>
      </c>
      <c r="B238" s="149" t="s">
        <v>159</v>
      </c>
      <c r="C238" s="15" t="s">
        <v>144</v>
      </c>
      <c r="D238" s="15" t="s">
        <v>158</v>
      </c>
      <c r="E238" s="43">
        <v>25</v>
      </c>
      <c r="F238" s="44">
        <v>65.14568262776713</v>
      </c>
      <c r="G238" s="44">
        <v>7.4367217611606655</v>
      </c>
      <c r="H238" s="45">
        <v>17</v>
      </c>
      <c r="I238" s="46">
        <v>1</v>
      </c>
      <c r="J238" s="45">
        <v>2.4103902572273839</v>
      </c>
      <c r="K238" s="45">
        <v>19.410390257227384</v>
      </c>
      <c r="L238" s="45">
        <v>0</v>
      </c>
      <c r="M238" s="45">
        <v>19.410390257227384</v>
      </c>
      <c r="N238" s="45">
        <v>88.601242348089599</v>
      </c>
      <c r="O238" s="47">
        <v>0.83</v>
      </c>
      <c r="P238" s="47">
        <v>4.4514100456399515</v>
      </c>
      <c r="Q238" s="310">
        <f t="shared" si="273"/>
        <v>4.4514100456399515</v>
      </c>
      <c r="R238" s="311">
        <f t="shared" si="274"/>
        <v>3.7800000000000002</v>
      </c>
      <c r="S238" s="311">
        <f t="shared" si="275"/>
        <v>0</v>
      </c>
      <c r="T238" s="310">
        <f t="shared" si="276"/>
        <v>4.6413208135546169</v>
      </c>
      <c r="U238" s="316">
        <f t="shared" si="277"/>
        <v>4.2663058664002079E-2</v>
      </c>
      <c r="V238" s="48">
        <v>0.29795359376515412</v>
      </c>
      <c r="W238" s="49">
        <v>2.610073481382738</v>
      </c>
      <c r="X238" s="48" t="s">
        <v>195</v>
      </c>
      <c r="Y238" s="48" t="s">
        <v>541</v>
      </c>
      <c r="Z238" s="246">
        <f>3*Z3</f>
        <v>3.7800000000000002</v>
      </c>
      <c r="AA238" s="246"/>
      <c r="AB238" s="397">
        <f t="shared" si="285"/>
        <v>3.7800000000000002</v>
      </c>
      <c r="AC238" s="388">
        <v>0</v>
      </c>
      <c r="AD238" s="289">
        <v>0</v>
      </c>
      <c r="AE238" s="289">
        <v>0</v>
      </c>
      <c r="AF238" s="289">
        <v>0</v>
      </c>
      <c r="AG238" s="373">
        <v>0</v>
      </c>
      <c r="AH238" s="289">
        <v>0</v>
      </c>
      <c r="AI238" s="289">
        <f t="shared" si="278"/>
        <v>3.7800000000000002</v>
      </c>
      <c r="AJ238" s="289">
        <v>0</v>
      </c>
      <c r="AK238" s="294">
        <v>0</v>
      </c>
      <c r="AL238" s="289">
        <f t="shared" si="286"/>
        <v>3.7800000000000002</v>
      </c>
      <c r="AM238" s="289"/>
      <c r="AN238" s="289"/>
      <c r="AO238" s="289" t="s">
        <v>634</v>
      </c>
      <c r="AP238" s="303" t="s">
        <v>377</v>
      </c>
      <c r="AQ238" s="136" t="s">
        <v>195</v>
      </c>
      <c r="AR238" s="289"/>
      <c r="AS238" s="142"/>
      <c r="AT238" s="142"/>
      <c r="AU238" s="146" t="s">
        <v>195</v>
      </c>
      <c r="AV238" s="48"/>
      <c r="AW238" s="131" t="s">
        <v>284</v>
      </c>
      <c r="AX238" s="131"/>
      <c r="AY238" s="131">
        <v>10.18</v>
      </c>
      <c r="AZ238" s="48"/>
      <c r="BA238" s="48"/>
      <c r="BB238" s="50"/>
      <c r="BC238" s="51" t="s">
        <v>159</v>
      </c>
      <c r="BD238" s="52">
        <v>28.451152881794513</v>
      </c>
      <c r="BE238" s="53">
        <v>249.23209924451879</v>
      </c>
      <c r="BF238" s="54">
        <v>28.451152881794513</v>
      </c>
      <c r="BG238" s="53">
        <v>249.23209924451879</v>
      </c>
      <c r="BH238" s="450">
        <v>338967.56830781244</v>
      </c>
      <c r="BI238" s="347">
        <f t="shared" si="279"/>
        <v>14461.393251910291</v>
      </c>
      <c r="BJ238" s="347">
        <f t="shared" si="247"/>
        <v>353428.96155972272</v>
      </c>
      <c r="BK238" s="45">
        <v>76148.35857231867</v>
      </c>
      <c r="BL238" s="47">
        <v>4609.3559163352747</v>
      </c>
      <c r="BM238" s="45">
        <v>262819.20973549376</v>
      </c>
      <c r="BN238" s="55">
        <v>4.4514100456399515</v>
      </c>
      <c r="BO238" s="47">
        <f t="shared" si="280"/>
        <v>4.641320813554616</v>
      </c>
      <c r="BP238" s="45">
        <v>89469.39717052762</v>
      </c>
      <c r="BQ238" s="55">
        <v>3.7886425864895932</v>
      </c>
      <c r="BR238" s="54">
        <v>27.833834891963146</v>
      </c>
      <c r="BS238" s="53">
        <v>243.82439365359605</v>
      </c>
      <c r="BT238" s="54">
        <v>56.284987773757656</v>
      </c>
      <c r="BU238" s="53">
        <v>493.05649289811481</v>
      </c>
      <c r="BV238" s="450">
        <v>348109.82203554804</v>
      </c>
      <c r="BW238" s="347">
        <f t="shared" si="281"/>
        <v>14593.692529552129</v>
      </c>
      <c r="BX238" s="347">
        <f t="shared" si="287"/>
        <v>362703.51456510019</v>
      </c>
      <c r="BY238" s="45">
        <v>76502.288929805727</v>
      </c>
      <c r="BZ238" s="47">
        <v>4651.5243607930543</v>
      </c>
      <c r="CA238" s="45">
        <v>271607.5331057423</v>
      </c>
      <c r="CB238" s="55">
        <v>4.5503190414989332</v>
      </c>
      <c r="CC238" s="47">
        <f t="shared" si="282"/>
        <v>4.7410805563987362</v>
      </c>
      <c r="CD238" s="45">
        <v>89945.19433249766</v>
      </c>
      <c r="CE238" s="55">
        <v>3.8702437036124584</v>
      </c>
      <c r="CF238" s="52">
        <v>22.54795906894384</v>
      </c>
      <c r="CG238" s="53">
        <v>197.52012144394712</v>
      </c>
      <c r="CH238" s="54">
        <v>78.832946842701489</v>
      </c>
      <c r="CI238" s="53">
        <v>690.57661434206193</v>
      </c>
      <c r="CJ238" s="450">
        <v>296548.02988304774</v>
      </c>
      <c r="CK238" s="347">
        <f t="shared" si="283"/>
        <v>12219.683448436372</v>
      </c>
      <c r="CL238" s="347">
        <f t="shared" si="288"/>
        <v>308767.71333148412</v>
      </c>
      <c r="CM238" s="45">
        <v>63761.362160574885</v>
      </c>
      <c r="CN238" s="47">
        <v>3894.8439626558206</v>
      </c>
      <c r="CO238" s="45">
        <v>232786.66772247286</v>
      </c>
      <c r="CP238" s="55">
        <v>4.6509048714522319</v>
      </c>
      <c r="CQ238" s="47">
        <f t="shared" si="284"/>
        <v>4.8425520231812467</v>
      </c>
      <c r="CR238" s="45">
        <v>75017.461212650203</v>
      </c>
      <c r="CS238" s="55">
        <v>3.9530533970275283</v>
      </c>
    </row>
    <row r="239" spans="1:97" s="23" customFormat="1" ht="15" customHeight="1">
      <c r="A239" s="377" t="str">
        <f t="shared" si="272"/>
        <v>Existing Residential; 12 W LED; RES-Lighting; MURB</v>
      </c>
      <c r="B239" s="149" t="s">
        <v>159</v>
      </c>
      <c r="C239" s="15" t="s">
        <v>144</v>
      </c>
      <c r="D239" s="15" t="s">
        <v>158</v>
      </c>
      <c r="E239" s="43">
        <v>25</v>
      </c>
      <c r="F239" s="44">
        <v>11.932907685541917</v>
      </c>
      <c r="G239" s="44">
        <v>1.3622040736920058</v>
      </c>
      <c r="H239" s="45">
        <v>17</v>
      </c>
      <c r="I239" s="46">
        <v>1</v>
      </c>
      <c r="J239" s="45">
        <v>0.4415175843650509</v>
      </c>
      <c r="K239" s="45">
        <v>17.441517584365052</v>
      </c>
      <c r="L239" s="45">
        <v>0</v>
      </c>
      <c r="M239" s="45">
        <v>17.441517584365052</v>
      </c>
      <c r="N239" s="45">
        <v>16.229324847283717</v>
      </c>
      <c r="O239" s="47">
        <v>0.83</v>
      </c>
      <c r="P239" s="47">
        <v>0.9256999859395254</v>
      </c>
      <c r="Q239" s="310">
        <f t="shared" si="273"/>
        <v>0.9256999859395254</v>
      </c>
      <c r="R239" s="311">
        <f t="shared" si="274"/>
        <v>3.7800000000000002</v>
      </c>
      <c r="S239" s="311">
        <f t="shared" si="275"/>
        <v>0</v>
      </c>
      <c r="T239" s="310">
        <f t="shared" si="276"/>
        <v>1.1413063638867298</v>
      </c>
      <c r="U239" s="316">
        <f t="shared" si="277"/>
        <v>0.23291172218002998</v>
      </c>
      <c r="V239" s="48">
        <v>1.4616318205073728</v>
      </c>
      <c r="W239" s="49">
        <v>12.803894747644527</v>
      </c>
      <c r="X239" s="48" t="s">
        <v>195</v>
      </c>
      <c r="Y239" s="48" t="s">
        <v>541</v>
      </c>
      <c r="Z239" s="246">
        <f>3*Z3</f>
        <v>3.7800000000000002</v>
      </c>
      <c r="AA239" s="246"/>
      <c r="AB239" s="397">
        <f t="shared" si="285"/>
        <v>3.7800000000000002</v>
      </c>
      <c r="AC239" s="388">
        <v>0</v>
      </c>
      <c r="AD239" s="289">
        <v>0</v>
      </c>
      <c r="AE239" s="289">
        <v>0</v>
      </c>
      <c r="AF239" s="289">
        <v>0</v>
      </c>
      <c r="AG239" s="373">
        <v>0</v>
      </c>
      <c r="AH239" s="289">
        <v>0</v>
      </c>
      <c r="AI239" s="289">
        <f t="shared" si="278"/>
        <v>3.7800000000000002</v>
      </c>
      <c r="AJ239" s="289">
        <v>0</v>
      </c>
      <c r="AK239" s="294">
        <v>0</v>
      </c>
      <c r="AL239" s="289">
        <f t="shared" si="286"/>
        <v>3.7800000000000002</v>
      </c>
      <c r="AM239" s="289"/>
      <c r="AN239" s="289"/>
      <c r="AO239" s="289" t="s">
        <v>634</v>
      </c>
      <c r="AP239" s="303" t="s">
        <v>377</v>
      </c>
      <c r="AQ239" s="136" t="s">
        <v>195</v>
      </c>
      <c r="AR239" s="289"/>
      <c r="AS239" s="142"/>
      <c r="AT239" s="142"/>
      <c r="AU239" s="146" t="s">
        <v>195</v>
      </c>
      <c r="AV239" s="48"/>
      <c r="AW239" s="131" t="s">
        <v>284</v>
      </c>
      <c r="AX239" s="131"/>
      <c r="AY239" s="131">
        <v>10.18</v>
      </c>
      <c r="AZ239" s="48"/>
      <c r="BA239" s="48"/>
      <c r="BB239" s="50"/>
      <c r="BC239" s="51" t="s">
        <v>159</v>
      </c>
      <c r="BD239" s="52">
        <v>0.601905016038493</v>
      </c>
      <c r="BE239" s="53">
        <v>5.2726879404971747</v>
      </c>
      <c r="BF239" s="54">
        <v>0.601905016038493</v>
      </c>
      <c r="BG239" s="53">
        <v>5.2726879404971747</v>
      </c>
      <c r="BH239" s="450">
        <v>7171.1076344254725</v>
      </c>
      <c r="BI239" s="347">
        <f t="shared" si="279"/>
        <v>1670.35176</v>
      </c>
      <c r="BJ239" s="347">
        <f t="shared" si="247"/>
        <v>8841.4593944254721</v>
      </c>
      <c r="BK239" s="45">
        <v>7746.6865543346221</v>
      </c>
      <c r="BL239" s="47">
        <v>532.4</v>
      </c>
      <c r="BM239" s="45">
        <v>-575.57891990914959</v>
      </c>
      <c r="BN239" s="55">
        <v>0.92569998593952574</v>
      </c>
      <c r="BO239" s="47">
        <f t="shared" si="280"/>
        <v>1.1413214323843108</v>
      </c>
      <c r="BP239" s="45">
        <v>9285.2150282363309</v>
      </c>
      <c r="BQ239" s="55">
        <v>0.77231465427759516</v>
      </c>
      <c r="BR239" s="54">
        <v>0.94624720907256099</v>
      </c>
      <c r="BS239" s="53">
        <v>8.2891255514755962</v>
      </c>
      <c r="BT239" s="54">
        <v>1.548152225111054</v>
      </c>
      <c r="BU239" s="53">
        <v>13.561813491972771</v>
      </c>
      <c r="BV239" s="450">
        <v>11834.443540763939</v>
      </c>
      <c r="BW239" s="347">
        <f t="shared" si="281"/>
        <v>2595.5710199999999</v>
      </c>
      <c r="BX239" s="347">
        <f t="shared" si="287"/>
        <v>14430.014560763939</v>
      </c>
      <c r="BY239" s="45">
        <v>12043.250252322379</v>
      </c>
      <c r="BZ239" s="47">
        <v>827.3</v>
      </c>
      <c r="CA239" s="45">
        <v>-208.80671155843993</v>
      </c>
      <c r="CB239" s="55">
        <v>0.98266193036068694</v>
      </c>
      <c r="CC239" s="47">
        <f t="shared" si="282"/>
        <v>1.1981827379183874</v>
      </c>
      <c r="CD239" s="45">
        <v>14434.256219638255</v>
      </c>
      <c r="CE239" s="55">
        <v>0.81988592697023144</v>
      </c>
      <c r="CF239" s="52">
        <v>0.94829876557854609</v>
      </c>
      <c r="CG239" s="53">
        <v>8.3070971864680256</v>
      </c>
      <c r="CH239" s="54">
        <v>2.4964509906896004</v>
      </c>
      <c r="CI239" s="53">
        <v>21.868910678440798</v>
      </c>
      <c r="CJ239" s="450">
        <v>12471.910642244056</v>
      </c>
      <c r="CK239" s="347">
        <f t="shared" si="283"/>
        <v>2571.72678</v>
      </c>
      <c r="CL239" s="347">
        <f t="shared" si="288"/>
        <v>15043.637422244057</v>
      </c>
      <c r="CM239" s="45">
        <v>11936.919180086157</v>
      </c>
      <c r="CN239" s="47">
        <v>819.7</v>
      </c>
      <c r="CO239" s="45">
        <v>534.99146215789915</v>
      </c>
      <c r="CP239" s="55">
        <v>1.0448182193484565</v>
      </c>
      <c r="CQ239" s="47">
        <f t="shared" si="284"/>
        <v>1.2602613115904062</v>
      </c>
      <c r="CR239" s="45">
        <v>14305.982404076973</v>
      </c>
      <c r="CS239" s="55">
        <v>0.87179686721058491</v>
      </c>
    </row>
    <row r="240" spans="1:97" s="23" customFormat="1" ht="15" customHeight="1">
      <c r="A240" s="377" t="str">
        <f t="shared" si="272"/>
        <v>Existing Residential; 5W Chandelier LED bulb; RES-Lighting; MURB</v>
      </c>
      <c r="B240" s="149" t="s">
        <v>160</v>
      </c>
      <c r="C240" s="15" t="s">
        <v>144</v>
      </c>
      <c r="D240" s="15" t="s">
        <v>158</v>
      </c>
      <c r="E240" s="43">
        <v>25</v>
      </c>
      <c r="F240" s="44">
        <v>37.968342635815198</v>
      </c>
      <c r="G240" s="44">
        <v>4.3342856890200192</v>
      </c>
      <c r="H240" s="45">
        <v>13.75</v>
      </c>
      <c r="I240" s="46">
        <v>1</v>
      </c>
      <c r="J240" s="45">
        <v>1.4048286775251622</v>
      </c>
      <c r="K240" s="45">
        <v>15.154828677525161</v>
      </c>
      <c r="L240" s="45">
        <v>0</v>
      </c>
      <c r="M240" s="45">
        <v>15.154828677525161</v>
      </c>
      <c r="N240" s="45">
        <v>51.638760877720927</v>
      </c>
      <c r="O240" s="47">
        <v>0.83</v>
      </c>
      <c r="P240" s="47">
        <v>3.3439238867036716</v>
      </c>
      <c r="Q240" s="310">
        <f t="shared" si="273"/>
        <v>3.3439238867036716</v>
      </c>
      <c r="R240" s="311">
        <f t="shared" si="274"/>
        <v>3.7800000000000002</v>
      </c>
      <c r="S240" s="311">
        <f t="shared" si="275"/>
        <v>0</v>
      </c>
      <c r="T240" s="310">
        <f t="shared" si="276"/>
        <v>3.5887018805380144</v>
      </c>
      <c r="U240" s="316">
        <f t="shared" si="277"/>
        <v>7.3200826970866495E-2</v>
      </c>
      <c r="V240" s="48">
        <v>0.39914380311216818</v>
      </c>
      <c r="W240" s="49">
        <v>3.4964997152625776</v>
      </c>
      <c r="X240" s="48" t="s">
        <v>195</v>
      </c>
      <c r="Y240" s="48" t="s">
        <v>541</v>
      </c>
      <c r="Z240" s="246">
        <f>3*Z3</f>
        <v>3.7800000000000002</v>
      </c>
      <c r="AA240" s="246"/>
      <c r="AB240" s="397">
        <f t="shared" si="285"/>
        <v>3.7800000000000002</v>
      </c>
      <c r="AC240" s="388">
        <v>0</v>
      </c>
      <c r="AD240" s="289">
        <v>0</v>
      </c>
      <c r="AE240" s="289">
        <v>0</v>
      </c>
      <c r="AF240" s="289">
        <v>0</v>
      </c>
      <c r="AG240" s="373">
        <v>0</v>
      </c>
      <c r="AH240" s="289">
        <v>0</v>
      </c>
      <c r="AI240" s="289">
        <f t="shared" si="278"/>
        <v>3.7800000000000002</v>
      </c>
      <c r="AJ240" s="289">
        <v>0</v>
      </c>
      <c r="AK240" s="294">
        <v>0</v>
      </c>
      <c r="AL240" s="289">
        <f t="shared" si="286"/>
        <v>3.7800000000000002</v>
      </c>
      <c r="AM240" s="289"/>
      <c r="AN240" s="289"/>
      <c r="AO240" s="289" t="s">
        <v>634</v>
      </c>
      <c r="AP240" s="303" t="s">
        <v>377</v>
      </c>
      <c r="AQ240" s="136" t="s">
        <v>195</v>
      </c>
      <c r="AR240" s="289"/>
      <c r="AS240" s="142"/>
      <c r="AT240" s="142"/>
      <c r="AU240" s="146" t="s">
        <v>195</v>
      </c>
      <c r="AV240" s="48"/>
      <c r="AW240" s="131" t="s">
        <v>284</v>
      </c>
      <c r="AX240" s="131"/>
      <c r="AY240" s="131"/>
      <c r="AZ240" s="48"/>
      <c r="BA240" s="48"/>
      <c r="BB240" s="50"/>
      <c r="BC240" s="51" t="s">
        <v>160</v>
      </c>
      <c r="BD240" s="52">
        <v>11.769662453958512</v>
      </c>
      <c r="BE240" s="53">
        <v>103.10224309667609</v>
      </c>
      <c r="BF240" s="54">
        <v>11.769662453958512</v>
      </c>
      <c r="BG240" s="53">
        <v>103.10224309667609</v>
      </c>
      <c r="BH240" s="450">
        <v>140223.97891562851</v>
      </c>
      <c r="BI240" s="347">
        <f t="shared" si="279"/>
        <v>10264.511217769357</v>
      </c>
      <c r="BJ240" s="347">
        <f t="shared" si="247"/>
        <v>150488.49013339786</v>
      </c>
      <c r="BK240" s="45">
        <v>41933.962514277395</v>
      </c>
      <c r="BL240" s="47">
        <v>3271.661636313303</v>
      </c>
      <c r="BM240" s="45">
        <v>98290.016401351109</v>
      </c>
      <c r="BN240" s="55">
        <v>3.3439238867036711</v>
      </c>
      <c r="BO240" s="47">
        <f t="shared" si="280"/>
        <v>3.588701880538014</v>
      </c>
      <c r="BP240" s="45">
        <v>49581.471589159737</v>
      </c>
      <c r="BQ240" s="55">
        <v>2.82815282445724</v>
      </c>
      <c r="BR240" s="54">
        <v>12.308158254962422</v>
      </c>
      <c r="BS240" s="53">
        <v>107.81946631347031</v>
      </c>
      <c r="BT240" s="54">
        <v>24.077820708920932</v>
      </c>
      <c r="BU240" s="53">
        <v>210.92170941014641</v>
      </c>
      <c r="BV240" s="450">
        <v>153934.61937066668</v>
      </c>
      <c r="BW240" s="347">
        <f t="shared" si="281"/>
        <v>10611.232011139507</v>
      </c>
      <c r="BX240" s="347">
        <f t="shared" si="287"/>
        <v>164545.85138180619</v>
      </c>
      <c r="BY240" s="45">
        <v>43405.468185673359</v>
      </c>
      <c r="BZ240" s="47">
        <v>3382.1737780134849</v>
      </c>
      <c r="CA240" s="45">
        <v>110529.15118499333</v>
      </c>
      <c r="CB240" s="55">
        <v>3.5464337975157512</v>
      </c>
      <c r="CC240" s="47">
        <f t="shared" si="282"/>
        <v>3.7909014292378278</v>
      </c>
      <c r="CD240" s="45">
        <v>51311.299391779881</v>
      </c>
      <c r="CE240" s="55">
        <v>3.000014055292608</v>
      </c>
      <c r="CF240" s="52">
        <v>10.605097339765134</v>
      </c>
      <c r="CG240" s="53">
        <v>92.900652696342149</v>
      </c>
      <c r="CH240" s="54">
        <v>34.682918048686062</v>
      </c>
      <c r="CI240" s="53">
        <v>303.82236210648853</v>
      </c>
      <c r="CJ240" s="450">
        <v>139476.95723631681</v>
      </c>
      <c r="CK240" s="347">
        <f t="shared" si="283"/>
        <v>9039.4668233850989</v>
      </c>
      <c r="CL240" s="347">
        <f t="shared" si="288"/>
        <v>148516.42405970191</v>
      </c>
      <c r="CM240" s="45">
        <v>37023.012815704991</v>
      </c>
      <c r="CN240" s="47">
        <v>2881.1967946022501</v>
      </c>
      <c r="CO240" s="45">
        <v>102453.94442061182</v>
      </c>
      <c r="CP240" s="55">
        <v>3.7673043501514099</v>
      </c>
      <c r="CQ240" s="47">
        <f t="shared" si="284"/>
        <v>4.0114624058013435</v>
      </c>
      <c r="CR240" s="45">
        <v>43757.810323087753</v>
      </c>
      <c r="CS240" s="55">
        <v>3.1874757033426135</v>
      </c>
    </row>
    <row r="241" spans="1:98" s="23" customFormat="1" ht="15" customHeight="1">
      <c r="A241" s="377" t="str">
        <f t="shared" si="272"/>
        <v>Existing Residential; 1W LED Nightlight; RES-Lighting; RES-SF</v>
      </c>
      <c r="B241" s="149" t="s">
        <v>161</v>
      </c>
      <c r="C241" s="15" t="s">
        <v>144</v>
      </c>
      <c r="D241" s="15" t="s">
        <v>139</v>
      </c>
      <c r="E241" s="43">
        <v>8</v>
      </c>
      <c r="F241" s="44">
        <v>31.358361907199999</v>
      </c>
      <c r="G241" s="44">
        <v>7.8610688068084258</v>
      </c>
      <c r="H241" s="45">
        <v>7</v>
      </c>
      <c r="I241" s="46">
        <v>1</v>
      </c>
      <c r="J241" s="45">
        <v>1.1602593905663998</v>
      </c>
      <c r="K241" s="45">
        <v>8.1602593905664005</v>
      </c>
      <c r="L241" s="45">
        <v>0</v>
      </c>
      <c r="M241" s="45">
        <v>8.1602593905664005</v>
      </c>
      <c r="N241" s="45">
        <v>19.763513147396857</v>
      </c>
      <c r="O241" s="47">
        <v>0.90720000000000001</v>
      </c>
      <c r="P241" s="47">
        <v>2.3872017348887282</v>
      </c>
      <c r="Q241" s="310">
        <f t="shared" si="273"/>
        <v>2.3872017348887282</v>
      </c>
      <c r="R241" s="311">
        <f t="shared" si="274"/>
        <v>3.7800000000000002</v>
      </c>
      <c r="S241" s="311">
        <f t="shared" si="275"/>
        <v>0</v>
      </c>
      <c r="T241" s="310">
        <f t="shared" si="276"/>
        <v>2.8437816197796866</v>
      </c>
      <c r="U241" s="316">
        <f t="shared" si="277"/>
        <v>0.19126154200463513</v>
      </c>
      <c r="V241" s="48">
        <v>0.26022594594435028</v>
      </c>
      <c r="W241" s="49">
        <v>1.0380597843767565</v>
      </c>
      <c r="X241" s="48" t="s">
        <v>195</v>
      </c>
      <c r="Y241" s="48" t="s">
        <v>541</v>
      </c>
      <c r="Z241" s="246">
        <f>3*Z3</f>
        <v>3.7800000000000002</v>
      </c>
      <c r="AA241" s="246"/>
      <c r="AB241" s="397">
        <f t="shared" si="285"/>
        <v>3.7800000000000002</v>
      </c>
      <c r="AC241" s="388">
        <v>0</v>
      </c>
      <c r="AD241" s="289">
        <v>0</v>
      </c>
      <c r="AE241" s="289">
        <v>0</v>
      </c>
      <c r="AF241" s="289">
        <v>0</v>
      </c>
      <c r="AG241" s="373">
        <v>0</v>
      </c>
      <c r="AH241" s="289">
        <v>0</v>
      </c>
      <c r="AI241" s="289">
        <f t="shared" si="278"/>
        <v>3.7800000000000002</v>
      </c>
      <c r="AJ241" s="289">
        <v>0</v>
      </c>
      <c r="AK241" s="294">
        <v>0</v>
      </c>
      <c r="AL241" s="289">
        <f t="shared" si="286"/>
        <v>3.7800000000000002</v>
      </c>
      <c r="AM241" s="289"/>
      <c r="AN241" s="289"/>
      <c r="AO241" s="289" t="s">
        <v>634</v>
      </c>
      <c r="AP241" s="303" t="s">
        <v>377</v>
      </c>
      <c r="AQ241" s="136" t="s">
        <v>195</v>
      </c>
      <c r="AR241" s="289"/>
      <c r="AS241" s="142"/>
      <c r="AT241" s="142"/>
      <c r="AU241" s="146" t="s">
        <v>195</v>
      </c>
      <c r="AV241" s="48" t="s">
        <v>198</v>
      </c>
      <c r="AW241" s="131" t="s">
        <v>284</v>
      </c>
      <c r="AX241" s="131"/>
      <c r="AY241" s="131"/>
      <c r="AZ241" s="48"/>
      <c r="BA241" s="48"/>
      <c r="BB241" s="50"/>
      <c r="BC241" s="51" t="s">
        <v>161</v>
      </c>
      <c r="BD241" s="52">
        <v>270.06248823057922</v>
      </c>
      <c r="BE241" s="53">
        <v>1077.2984503276116</v>
      </c>
      <c r="BF241" s="54">
        <v>270.06248823057922</v>
      </c>
      <c r="BG241" s="53">
        <v>1077.2984503276116</v>
      </c>
      <c r="BH241" s="450">
        <v>678964.10372862837</v>
      </c>
      <c r="BI241" s="347">
        <f t="shared" si="279"/>
        <v>129859.72144493242</v>
      </c>
      <c r="BJ241" s="347">
        <f t="shared" si="247"/>
        <v>808823.82517356076</v>
      </c>
      <c r="BK241" s="45">
        <v>284418.40243563504</v>
      </c>
      <c r="BL241" s="47">
        <v>37868.632785141679</v>
      </c>
      <c r="BM241" s="45">
        <v>394545.70129299333</v>
      </c>
      <c r="BN241" s="55">
        <v>2.3872017348887278</v>
      </c>
      <c r="BO241" s="47">
        <f t="shared" si="280"/>
        <v>2.8437816197796857</v>
      </c>
      <c r="BP241" s="45">
        <v>309017.86629286304</v>
      </c>
      <c r="BQ241" s="55">
        <v>2.1971677944509498</v>
      </c>
      <c r="BR241" s="54">
        <v>322.27584123303478</v>
      </c>
      <c r="BS241" s="53">
        <v>1285.5812246014241</v>
      </c>
      <c r="BT241" s="54">
        <v>592.33832946361406</v>
      </c>
      <c r="BU241" s="53">
        <v>2362.8796749290359</v>
      </c>
      <c r="BV241" s="450">
        <v>893768.38972592715</v>
      </c>
      <c r="BW241" s="347">
        <f t="shared" si="281"/>
        <v>154966.54587297255</v>
      </c>
      <c r="BX241" s="347">
        <f t="shared" si="287"/>
        <v>1048734.9355988996</v>
      </c>
      <c r="BY241" s="45">
        <v>339407.29979811131</v>
      </c>
      <c r="BZ241" s="47">
        <v>45190.080144549815</v>
      </c>
      <c r="CA241" s="45">
        <v>554361.08992781583</v>
      </c>
      <c r="CB241" s="55">
        <v>2.6333210577897557</v>
      </c>
      <c r="CC241" s="47">
        <f t="shared" si="282"/>
        <v>3.0899009426807131</v>
      </c>
      <c r="CD241" s="45">
        <v>368762.77586001082</v>
      </c>
      <c r="CE241" s="55">
        <v>2.4236947117059837</v>
      </c>
      <c r="CF241" s="52">
        <v>325.58689707851312</v>
      </c>
      <c r="CG241" s="53">
        <v>1298.7892615807639</v>
      </c>
      <c r="CH241" s="54">
        <v>917.92522654212723</v>
      </c>
      <c r="CI241" s="53">
        <v>3661.6689365098</v>
      </c>
      <c r="CJ241" s="450">
        <v>998683.57163737528</v>
      </c>
      <c r="CK241" s="347">
        <f t="shared" si="283"/>
        <v>156558.66920931434</v>
      </c>
      <c r="CL241" s="347">
        <f t="shared" si="288"/>
        <v>1155242.2408466896</v>
      </c>
      <c r="CM241" s="45">
        <v>342894.36392210796</v>
      </c>
      <c r="CN241" s="47">
        <v>45654.362165962812</v>
      </c>
      <c r="CO241" s="45">
        <v>655789.20771526732</v>
      </c>
      <c r="CP241" s="55">
        <v>2.9125108975667988</v>
      </c>
      <c r="CQ241" s="47">
        <f t="shared" si="284"/>
        <v>3.3690907824577567</v>
      </c>
      <c r="CR241" s="45">
        <v>372551.43758511741</v>
      </c>
      <c r="CS241" s="55">
        <v>2.6806595570019898</v>
      </c>
    </row>
    <row r="242" spans="1:98" s="23" customFormat="1" ht="15" customHeight="1">
      <c r="A242" s="377" t="str">
        <f t="shared" si="272"/>
        <v>Existing Residential; 1W LED Nightlight; RES-Lighting; MURB</v>
      </c>
      <c r="B242" s="149" t="s">
        <v>161</v>
      </c>
      <c r="C242" s="15" t="s">
        <v>144</v>
      </c>
      <c r="D242" s="15" t="s">
        <v>158</v>
      </c>
      <c r="E242" s="43">
        <v>8</v>
      </c>
      <c r="F242" s="44">
        <v>31.358361907199999</v>
      </c>
      <c r="G242" s="44">
        <v>3.579721678904126</v>
      </c>
      <c r="H242" s="45">
        <v>7</v>
      </c>
      <c r="I242" s="46">
        <v>1</v>
      </c>
      <c r="J242" s="45">
        <v>1.1602593905663998</v>
      </c>
      <c r="K242" s="45">
        <v>8.1602593905664005</v>
      </c>
      <c r="L242" s="45">
        <v>0</v>
      </c>
      <c r="M242" s="45">
        <v>8.1602593905664005</v>
      </c>
      <c r="N242" s="45">
        <v>15.994386938607263</v>
      </c>
      <c r="O242" s="47">
        <v>0.83</v>
      </c>
      <c r="P242" s="47">
        <v>1.9045691724200355</v>
      </c>
      <c r="Q242" s="310">
        <f t="shared" si="273"/>
        <v>1.9045691724200355</v>
      </c>
      <c r="R242" s="311">
        <f t="shared" si="274"/>
        <v>3.7800000000000002</v>
      </c>
      <c r="S242" s="311">
        <f t="shared" si="275"/>
        <v>0</v>
      </c>
      <c r="T242" s="310">
        <f t="shared" si="276"/>
        <v>2.3546815461784898</v>
      </c>
      <c r="U242" s="316">
        <f t="shared" si="277"/>
        <v>0.23633290944561505</v>
      </c>
      <c r="V242" s="48">
        <v>0.26022594594435028</v>
      </c>
      <c r="W242" s="49">
        <v>2.2795792864724982</v>
      </c>
      <c r="X242" s="48" t="s">
        <v>195</v>
      </c>
      <c r="Y242" s="48" t="s">
        <v>541</v>
      </c>
      <c r="Z242" s="246">
        <f>3*Z3</f>
        <v>3.7800000000000002</v>
      </c>
      <c r="AA242" s="246"/>
      <c r="AB242" s="397">
        <f t="shared" si="285"/>
        <v>3.7800000000000002</v>
      </c>
      <c r="AC242" s="388">
        <v>0</v>
      </c>
      <c r="AD242" s="289">
        <v>0</v>
      </c>
      <c r="AE242" s="289">
        <v>0</v>
      </c>
      <c r="AF242" s="289">
        <v>0</v>
      </c>
      <c r="AG242" s="373">
        <v>0</v>
      </c>
      <c r="AH242" s="289">
        <v>0</v>
      </c>
      <c r="AI242" s="289">
        <f t="shared" si="278"/>
        <v>3.7800000000000002</v>
      </c>
      <c r="AJ242" s="289">
        <v>0</v>
      </c>
      <c r="AK242" s="294">
        <v>0</v>
      </c>
      <c r="AL242" s="289">
        <f t="shared" si="286"/>
        <v>3.7800000000000002</v>
      </c>
      <c r="AM242" s="289"/>
      <c r="AN242" s="289"/>
      <c r="AO242" s="289" t="s">
        <v>634</v>
      </c>
      <c r="AP242" s="303" t="s">
        <v>377</v>
      </c>
      <c r="AQ242" s="136" t="s">
        <v>195</v>
      </c>
      <c r="AR242" s="289"/>
      <c r="AS242" s="142"/>
      <c r="AT242" s="142"/>
      <c r="AU242" s="146" t="s">
        <v>195</v>
      </c>
      <c r="AV242" s="48" t="s">
        <v>198</v>
      </c>
      <c r="AW242" s="131" t="s">
        <v>284</v>
      </c>
      <c r="AX242" s="131"/>
      <c r="AY242" s="131"/>
      <c r="AZ242" s="48"/>
      <c r="BA242" s="48"/>
      <c r="BB242" s="50"/>
      <c r="BC242" s="51" t="s">
        <v>161</v>
      </c>
      <c r="BD242" s="52">
        <v>3.1353940886888254</v>
      </c>
      <c r="BE242" s="53">
        <v>27.466052216913987</v>
      </c>
      <c r="BF242" s="54">
        <v>3.1353940886888254</v>
      </c>
      <c r="BG242" s="53">
        <v>27.466052216913987</v>
      </c>
      <c r="BH242" s="450">
        <v>14009.107622820333</v>
      </c>
      <c r="BI242" s="347">
        <f t="shared" si="279"/>
        <v>3310.8131632378741</v>
      </c>
      <c r="BJ242" s="347">
        <f t="shared" si="247"/>
        <v>17319.920786058206</v>
      </c>
      <c r="BK242" s="45">
        <v>7355.525767026722</v>
      </c>
      <c r="BL242" s="47">
        <v>1055.2728894109371</v>
      </c>
      <c r="BM242" s="45">
        <v>6653.5818557936109</v>
      </c>
      <c r="BN242" s="55">
        <v>1.9045691724200358</v>
      </c>
      <c r="BO242" s="47">
        <f t="shared" si="280"/>
        <v>2.3546815461784902</v>
      </c>
      <c r="BP242" s="45">
        <v>8611.3005054257374</v>
      </c>
      <c r="BQ242" s="55">
        <v>1.6268283302845592</v>
      </c>
      <c r="BR242" s="54">
        <v>3.2033001496140643</v>
      </c>
      <c r="BS242" s="53">
        <v>28.060909310619074</v>
      </c>
      <c r="BT242" s="54">
        <v>6.3386942383028897</v>
      </c>
      <c r="BU242" s="53">
        <v>55.526961527533061</v>
      </c>
      <c r="BV242" s="450">
        <v>15421.666009501007</v>
      </c>
      <c r="BW242" s="347">
        <f t="shared" si="281"/>
        <v>3382.518433457647</v>
      </c>
      <c r="BX242" s="347">
        <f t="shared" si="287"/>
        <v>18804.184442958653</v>
      </c>
      <c r="BY242" s="45">
        <v>7514.8310303347071</v>
      </c>
      <c r="BZ242" s="47">
        <v>1078.1278872498397</v>
      </c>
      <c r="CA242" s="45">
        <v>7906.8349791662995</v>
      </c>
      <c r="CB242" s="55">
        <v>2.0521640403156387</v>
      </c>
      <c r="CC242" s="47">
        <f t="shared" si="282"/>
        <v>2.502276414074093</v>
      </c>
      <c r="CD242" s="45">
        <v>8797.8032161620176</v>
      </c>
      <c r="CE242" s="55">
        <v>1.7528996308044957</v>
      </c>
      <c r="CF242" s="52">
        <v>2.7445313334620747</v>
      </c>
      <c r="CG242" s="53">
        <v>24.042094481127666</v>
      </c>
      <c r="CH242" s="54">
        <v>9.0832255717649648</v>
      </c>
      <c r="CI242" s="53">
        <v>79.569056008660723</v>
      </c>
      <c r="CJ242" s="450">
        <v>14301.339361608971</v>
      </c>
      <c r="CK242" s="347">
        <f t="shared" si="283"/>
        <v>2898.0824128379104</v>
      </c>
      <c r="CL242" s="347">
        <f t="shared" si="288"/>
        <v>17199.421774446881</v>
      </c>
      <c r="CM242" s="45">
        <v>6438.5753020713892</v>
      </c>
      <c r="CN242" s="47">
        <v>923.72104699366048</v>
      </c>
      <c r="CO242" s="45">
        <v>7862.7640595375815</v>
      </c>
      <c r="CP242" s="55">
        <v>2.2211962570365542</v>
      </c>
      <c r="CQ242" s="47">
        <f t="shared" si="284"/>
        <v>2.6713086307950085</v>
      </c>
      <c r="CR242" s="45">
        <v>7537.803347993844</v>
      </c>
      <c r="CS242" s="55">
        <v>1.8972820994879382</v>
      </c>
    </row>
    <row r="243" spans="1:98" s="23" customFormat="1" ht="15" customHeight="1">
      <c r="A243" s="377" t="str">
        <f t="shared" si="272"/>
        <v>Existing Residential; Low Flow Faucet Aerator, 1.5 GPM; RES-Water Heat; RES-SF</v>
      </c>
      <c r="B243" s="281" t="s">
        <v>162</v>
      </c>
      <c r="C243" s="15" t="s">
        <v>163</v>
      </c>
      <c r="D243" s="15" t="s">
        <v>139</v>
      </c>
      <c r="E243" s="43">
        <v>10</v>
      </c>
      <c r="F243" s="44">
        <v>197.27970000000002</v>
      </c>
      <c r="G243" s="44">
        <v>31.987499726042874</v>
      </c>
      <c r="H243" s="45">
        <v>9</v>
      </c>
      <c r="I243" s="46">
        <v>1</v>
      </c>
      <c r="J243" s="45">
        <v>7.2993489</v>
      </c>
      <c r="K243" s="45">
        <v>16.299348899999998</v>
      </c>
      <c r="L243" s="45">
        <v>0</v>
      </c>
      <c r="M243" s="45">
        <v>16.299348899999998</v>
      </c>
      <c r="N243" s="45">
        <v>135.9984371543085</v>
      </c>
      <c r="O243" s="47">
        <v>0.90720000000000001</v>
      </c>
      <c r="P243" s="47">
        <v>7.9783105416418145</v>
      </c>
      <c r="Q243" s="310">
        <f t="shared" si="273"/>
        <v>7.9783105416418145</v>
      </c>
      <c r="R243" s="311">
        <f t="shared" si="274"/>
        <v>0</v>
      </c>
      <c r="S243" s="311">
        <f t="shared" si="275"/>
        <v>0.92319212517059268</v>
      </c>
      <c r="T243" s="310">
        <f t="shared" si="276"/>
        <v>8.0324693512452825</v>
      </c>
      <c r="U243" s="316">
        <f t="shared" si="277"/>
        <v>6.7882553982817166E-3</v>
      </c>
      <c r="V243" s="48">
        <v>8.2620507330455173E-2</v>
      </c>
      <c r="W243" s="49">
        <v>0.5095537019021763</v>
      </c>
      <c r="X243" s="48" t="s">
        <v>31</v>
      </c>
      <c r="Y243" s="48" t="s">
        <v>542</v>
      </c>
      <c r="Z243" s="246" t="s">
        <v>190</v>
      </c>
      <c r="AA243" s="261">
        <f>332/264.172</f>
        <v>1.2567569613736504</v>
      </c>
      <c r="AB243" s="400"/>
      <c r="AC243" s="387">
        <f>((AA243*AC3)-3.2994)</f>
        <v>0.13028974758869216</v>
      </c>
      <c r="AD243" s="294">
        <v>0</v>
      </c>
      <c r="AE243" s="294">
        <v>0</v>
      </c>
      <c r="AF243" s="294">
        <v>0</v>
      </c>
      <c r="AG243" s="360">
        <v>0</v>
      </c>
      <c r="AH243" s="294">
        <v>0</v>
      </c>
      <c r="AI243" s="294">
        <v>0</v>
      </c>
      <c r="AJ243" s="294">
        <v>0</v>
      </c>
      <c r="AK243" s="294">
        <f>AC243</f>
        <v>0.13028974758869216</v>
      </c>
      <c r="AL243" s="289">
        <f t="shared" si="286"/>
        <v>0.13028974758869216</v>
      </c>
      <c r="AM243" s="294"/>
      <c r="AN243" s="294"/>
      <c r="AO243" s="289" t="s">
        <v>635</v>
      </c>
      <c r="AP243" s="300" t="s">
        <v>425</v>
      </c>
      <c r="AQ243" s="136" t="s">
        <v>31</v>
      </c>
      <c r="AR243" s="294" t="s">
        <v>588</v>
      </c>
      <c r="AS243" s="142"/>
      <c r="AT243" s="142"/>
      <c r="AU243" s="146"/>
      <c r="AV243" s="48"/>
      <c r="AW243" s="131" t="s">
        <v>284</v>
      </c>
      <c r="AX243" s="131"/>
      <c r="AY243" s="131"/>
      <c r="AZ243" s="48"/>
      <c r="BA243" s="48"/>
      <c r="BB243" s="50"/>
      <c r="BC243" s="51" t="s">
        <v>162</v>
      </c>
      <c r="BD243" s="52">
        <v>109.63082866217077</v>
      </c>
      <c r="BE243" s="53">
        <v>676.13715277708616</v>
      </c>
      <c r="BF243" s="54">
        <v>109.63082866217077</v>
      </c>
      <c r="BG243" s="53">
        <v>676.13715277708616</v>
      </c>
      <c r="BH243" s="450">
        <v>477415.80019705149</v>
      </c>
      <c r="BI243" s="347">
        <f t="shared" si="279"/>
        <v>3164.0584154328694</v>
      </c>
      <c r="BJ243" s="347">
        <f t="shared" si="247"/>
        <v>480579.85861248436</v>
      </c>
      <c r="BK243" s="45">
        <v>58421.860424907267</v>
      </c>
      <c r="BL243" s="47">
        <v>3777.8904485915336</v>
      </c>
      <c r="BM243" s="45">
        <v>418993.93977214419</v>
      </c>
      <c r="BN243" s="55">
        <v>8.1718691723400259</v>
      </c>
      <c r="BO243" s="47">
        <f t="shared" si="280"/>
        <v>8.2260279819434938</v>
      </c>
      <c r="BP243" s="45">
        <v>61577.154527570921</v>
      </c>
      <c r="BQ243" s="55">
        <v>7.7531318856783242</v>
      </c>
      <c r="BR243" s="54">
        <v>95.131436331125713</v>
      </c>
      <c r="BS243" s="53">
        <v>586.7136031483534</v>
      </c>
      <c r="BT243" s="54">
        <v>204.76226499329644</v>
      </c>
      <c r="BU243" s="53">
        <v>1262.8507559254394</v>
      </c>
      <c r="BV243" s="450">
        <v>443839.01868859987</v>
      </c>
      <c r="BW243" s="347">
        <f t="shared" si="281"/>
        <v>2745.5910474165566</v>
      </c>
      <c r="BX243" s="347">
        <f t="shared" si="287"/>
        <v>446584.60973601643</v>
      </c>
      <c r="BY243" s="45">
        <v>50695.188234728164</v>
      </c>
      <c r="BZ243" s="47">
        <v>3278.2397894997093</v>
      </c>
      <c r="CA243" s="45">
        <v>393143.83045387169</v>
      </c>
      <c r="CB243" s="55">
        <v>8.7550521882578387</v>
      </c>
      <c r="CC243" s="47">
        <f t="shared" si="282"/>
        <v>8.8092109978613067</v>
      </c>
      <c r="CD243" s="45">
        <v>53433.174106918319</v>
      </c>
      <c r="CE243" s="55">
        <v>8.3064318395252013</v>
      </c>
      <c r="CF243" s="52">
        <v>78.542108809132117</v>
      </c>
      <c r="CG243" s="53">
        <v>484.40058760259279</v>
      </c>
      <c r="CH243" s="54">
        <v>283.30437380242859</v>
      </c>
      <c r="CI243" s="53">
        <v>1747.2513435280323</v>
      </c>
      <c r="CJ243" s="450">
        <v>394060.85256269603</v>
      </c>
      <c r="CK243" s="347">
        <f t="shared" si="283"/>
        <v>2266.8060013408449</v>
      </c>
      <c r="CL243" s="347">
        <f t="shared" si="288"/>
        <v>396327.65856403689</v>
      </c>
      <c r="CM243" s="45">
        <v>41854.797362380348</v>
      </c>
      <c r="CN243" s="47">
        <v>2706.569733196267</v>
      </c>
      <c r="CO243" s="45">
        <v>352206.05520031566</v>
      </c>
      <c r="CP243" s="55">
        <v>9.4149506722228971</v>
      </c>
      <c r="CQ243" s="47">
        <f t="shared" si="284"/>
        <v>9.469109481826365</v>
      </c>
      <c r="CR243" s="45">
        <v>44115.32440354587</v>
      </c>
      <c r="CS243" s="55">
        <v>8.93251626029123</v>
      </c>
    </row>
    <row r="244" spans="1:98" s="23" customFormat="1" ht="15" customHeight="1">
      <c r="A244" s="377" t="str">
        <f t="shared" si="272"/>
        <v>Existing Residential; Low Flow Faucet Aerator, 1.5 GPM; RES-Water Heat; MURB</v>
      </c>
      <c r="B244" s="281" t="s">
        <v>162</v>
      </c>
      <c r="C244" s="15" t="s">
        <v>163</v>
      </c>
      <c r="D244" s="15" t="s">
        <v>158</v>
      </c>
      <c r="E244" s="43">
        <v>10</v>
      </c>
      <c r="F244" s="44">
        <v>126.25900800000002</v>
      </c>
      <c r="G244" s="44">
        <v>20.471999824667442</v>
      </c>
      <c r="H244" s="45">
        <v>9</v>
      </c>
      <c r="I244" s="46">
        <v>1</v>
      </c>
      <c r="J244" s="45">
        <v>4.6715832960000006</v>
      </c>
      <c r="K244" s="45">
        <v>13.671583296000001</v>
      </c>
      <c r="L244" s="45">
        <v>0</v>
      </c>
      <c r="M244" s="45">
        <v>13.671583296000001</v>
      </c>
      <c r="N244" s="45">
        <v>87.038999778757443</v>
      </c>
      <c r="O244" s="47">
        <v>0.83</v>
      </c>
      <c r="P244" s="47">
        <v>5.9499958164573696</v>
      </c>
      <c r="Q244" s="310">
        <f t="shared" si="273"/>
        <v>5.9499958164573696</v>
      </c>
      <c r="R244" s="311">
        <f t="shared" si="274"/>
        <v>0</v>
      </c>
      <c r="S244" s="311">
        <f t="shared" si="275"/>
        <v>9.3394271914690581</v>
      </c>
      <c r="T244" s="310">
        <f t="shared" si="276"/>
        <v>6.5884401099189223</v>
      </c>
      <c r="U244" s="316">
        <f t="shared" si="277"/>
        <v>0.10730163737185326</v>
      </c>
      <c r="V244" s="48">
        <v>0.10828204270383622</v>
      </c>
      <c r="W244" s="49">
        <v>0.66781865050265499</v>
      </c>
      <c r="X244" s="48" t="s">
        <v>31</v>
      </c>
      <c r="Y244" s="48" t="s">
        <v>542</v>
      </c>
      <c r="Z244" s="246" t="s">
        <v>190</v>
      </c>
      <c r="AA244" s="261">
        <f>332/264.172</f>
        <v>1.2567569613736504</v>
      </c>
      <c r="AB244" s="400"/>
      <c r="AC244" s="387">
        <f>((AA244*AC3)-2.11162)</f>
        <v>1.3180697475886922</v>
      </c>
      <c r="AD244" s="294">
        <v>0</v>
      </c>
      <c r="AE244" s="294">
        <v>0</v>
      </c>
      <c r="AF244" s="294">
        <v>0</v>
      </c>
      <c r="AG244" s="360">
        <v>0</v>
      </c>
      <c r="AH244" s="294">
        <v>0</v>
      </c>
      <c r="AI244" s="294">
        <v>0</v>
      </c>
      <c r="AJ244" s="294">
        <v>0</v>
      </c>
      <c r="AK244" s="294">
        <f>AC244</f>
        <v>1.3180697475886922</v>
      </c>
      <c r="AL244" s="289">
        <f t="shared" si="286"/>
        <v>1.3180697475886922</v>
      </c>
      <c r="AM244" s="294"/>
      <c r="AN244" s="294"/>
      <c r="AO244" s="289" t="s">
        <v>635</v>
      </c>
      <c r="AP244" s="300" t="s">
        <v>425</v>
      </c>
      <c r="AQ244" s="136" t="s">
        <v>31</v>
      </c>
      <c r="AR244" s="294" t="s">
        <v>588</v>
      </c>
      <c r="AS244" s="142"/>
      <c r="AT244" s="142"/>
      <c r="AU244" s="146"/>
      <c r="AV244" s="48"/>
      <c r="AW244" s="131" t="s">
        <v>284</v>
      </c>
      <c r="AX244" s="131"/>
      <c r="AY244" s="131"/>
      <c r="AZ244" s="48"/>
      <c r="BA244" s="48"/>
      <c r="BB244" s="50"/>
      <c r="BC244" s="51" t="s">
        <v>162</v>
      </c>
      <c r="BD244" s="52">
        <v>71.00224507180971</v>
      </c>
      <c r="BE244" s="53">
        <v>437.89923335861556</v>
      </c>
      <c r="BF244" s="54">
        <v>71.00224507180971</v>
      </c>
      <c r="BG244" s="53">
        <v>437.89923335861556</v>
      </c>
      <c r="BH244" s="450">
        <v>309197.64139703067</v>
      </c>
      <c r="BI244" s="347">
        <f t="shared" si="279"/>
        <v>32391.574050327625</v>
      </c>
      <c r="BJ244" s="347">
        <f t="shared" si="247"/>
        <v>341589.21544735832</v>
      </c>
      <c r="BK244" s="45">
        <v>50735.161050160168</v>
      </c>
      <c r="BL244" s="47">
        <v>4178.6280926701438</v>
      </c>
      <c r="BM244" s="45">
        <v>258462.48034687049</v>
      </c>
      <c r="BN244" s="55">
        <v>6.094346307314118</v>
      </c>
      <c r="BO244" s="47">
        <f t="shared" si="280"/>
        <v>6.7327906007756715</v>
      </c>
      <c r="BP244" s="45">
        <v>57128.462031945484</v>
      </c>
      <c r="BQ244" s="55">
        <v>5.4123221665608892</v>
      </c>
      <c r="BR244" s="54">
        <v>71.666778716477751</v>
      </c>
      <c r="BS244" s="53">
        <v>441.99767803803144</v>
      </c>
      <c r="BT244" s="54">
        <v>142.66902378828746</v>
      </c>
      <c r="BU244" s="53">
        <v>879.89691139664706</v>
      </c>
      <c r="BV244" s="450">
        <v>334363.84401238366</v>
      </c>
      <c r="BW244" s="347">
        <f t="shared" si="281"/>
        <v>32694.737573374379</v>
      </c>
      <c r="BX244" s="347">
        <f t="shared" si="287"/>
        <v>367058.58158575802</v>
      </c>
      <c r="BY244" s="45">
        <v>51210.008309586738</v>
      </c>
      <c r="BZ244" s="47">
        <v>4217.7372638424913</v>
      </c>
      <c r="CA244" s="45">
        <v>283153.83570279693</v>
      </c>
      <c r="CB244" s="55">
        <v>6.5292675211261253</v>
      </c>
      <c r="CC244" s="47">
        <f t="shared" si="282"/>
        <v>7.1677118145876779</v>
      </c>
      <c r="CD244" s="45">
        <v>57663.146323265755</v>
      </c>
      <c r="CE244" s="55">
        <v>5.7985709301727004</v>
      </c>
      <c r="CF244" s="52">
        <v>62.686121728828866</v>
      </c>
      <c r="CG244" s="53">
        <v>386.61037576370484</v>
      </c>
      <c r="CH244" s="54">
        <v>205.35514551711634</v>
      </c>
      <c r="CI244" s="53">
        <v>1266.507287160352</v>
      </c>
      <c r="CJ244" s="450">
        <v>314508.31849117758</v>
      </c>
      <c r="CK244" s="347">
        <f t="shared" si="283"/>
        <v>28597.717605318227</v>
      </c>
      <c r="CL244" s="347">
        <f t="shared" si="288"/>
        <v>343106.03609649581</v>
      </c>
      <c r="CM244" s="45">
        <v>44792.815752593713</v>
      </c>
      <c r="CN244" s="47">
        <v>3689.2071372067708</v>
      </c>
      <c r="CO244" s="45">
        <v>269715.50273858383</v>
      </c>
      <c r="CP244" s="55">
        <v>7.0214009368894406</v>
      </c>
      <c r="CQ244" s="47">
        <f t="shared" si="284"/>
        <v>7.6598452303509941</v>
      </c>
      <c r="CR244" s="45">
        <v>50437.302672520069</v>
      </c>
      <c r="CS244" s="55">
        <v>6.2356292233393411</v>
      </c>
    </row>
    <row r="245" spans="1:98" s="23" customFormat="1" ht="15" customHeight="1">
      <c r="A245" s="377" t="str">
        <f t="shared" si="272"/>
        <v>Existing Residential; Low Flow (1.25 GPM) showerhead; RES-Water Heat; RES-SF</v>
      </c>
      <c r="B245" s="281" t="s">
        <v>164</v>
      </c>
      <c r="C245" s="15" t="s">
        <v>163</v>
      </c>
      <c r="D245" s="15" t="s">
        <v>139</v>
      </c>
      <c r="E245" s="43">
        <v>10</v>
      </c>
      <c r="F245" s="44">
        <v>421.863</v>
      </c>
      <c r="G245" s="44">
        <v>68.40208392920114</v>
      </c>
      <c r="H245" s="45">
        <v>27</v>
      </c>
      <c r="I245" s="46">
        <v>1</v>
      </c>
      <c r="J245" s="45">
        <v>15.608930999999998</v>
      </c>
      <c r="K245" s="45">
        <v>42.608930999999998</v>
      </c>
      <c r="L245" s="45">
        <v>0</v>
      </c>
      <c r="M245" s="45">
        <v>42.608930999999998</v>
      </c>
      <c r="N245" s="45">
        <v>290.81911972305335</v>
      </c>
      <c r="O245" s="47">
        <v>0.90720000000000001</v>
      </c>
      <c r="P245" s="47">
        <v>6.5787828301034139</v>
      </c>
      <c r="Q245" s="310">
        <f t="shared" si="273"/>
        <v>6.5787828301034139</v>
      </c>
      <c r="R245" s="311">
        <f t="shared" si="274"/>
        <v>1.329849012775842E-2</v>
      </c>
      <c r="S245" s="311">
        <f t="shared" si="275"/>
        <v>83.129033335382161</v>
      </c>
      <c r="T245" s="310">
        <f t="shared" si="276"/>
        <v>8.459592267905542</v>
      </c>
      <c r="U245" s="316">
        <f t="shared" si="277"/>
        <v>0.28589018460920423</v>
      </c>
      <c r="V245" s="48">
        <v>0.10100182049622744</v>
      </c>
      <c r="W245" s="49">
        <v>0.62291860938187094</v>
      </c>
      <c r="X245" s="48" t="s">
        <v>359</v>
      </c>
      <c r="Y245" s="48" t="s">
        <v>542</v>
      </c>
      <c r="Z245" s="247">
        <f>(0.03*Z3)*0.45</f>
        <v>1.7010000000000001E-2</v>
      </c>
      <c r="AA245" s="261">
        <f>2401/264.172</f>
        <v>9.088775494753417</v>
      </c>
      <c r="AB245" s="401">
        <f>0.03*Adaptation!J31</f>
        <v>1.329849012775842E-2</v>
      </c>
      <c r="AC245" s="387">
        <f>((AA245*AC3)-13.0713)</f>
        <v>11.731968325182073</v>
      </c>
      <c r="AD245" s="294">
        <v>0</v>
      </c>
      <c r="AE245" s="294">
        <v>0</v>
      </c>
      <c r="AF245" s="294">
        <v>0</v>
      </c>
      <c r="AG245" s="360">
        <f t="shared" ref="AG245:AG258" si="289">AB245</f>
        <v>1.329849012775842E-2</v>
      </c>
      <c r="AH245" s="294">
        <v>0</v>
      </c>
      <c r="AI245" s="294">
        <v>0</v>
      </c>
      <c r="AJ245" s="294">
        <v>0</v>
      </c>
      <c r="AK245" s="294">
        <f>AC245</f>
        <v>11.731968325182073</v>
      </c>
      <c r="AL245" s="289">
        <f>AK245</f>
        <v>11.731968325182073</v>
      </c>
      <c r="AM245" s="294"/>
      <c r="AN245" s="294"/>
      <c r="AO245" s="289" t="s">
        <v>635</v>
      </c>
      <c r="AP245" s="300" t="s">
        <v>425</v>
      </c>
      <c r="AQ245" s="136">
        <v>0.03</v>
      </c>
      <c r="AR245" s="294" t="s">
        <v>593</v>
      </c>
      <c r="AS245" s="142">
        <v>0.03</v>
      </c>
      <c r="AT245" s="142"/>
      <c r="AU245" s="146"/>
      <c r="AV245" s="48"/>
      <c r="AW245" s="131" t="s">
        <v>284</v>
      </c>
      <c r="AX245" s="131"/>
      <c r="AY245" s="131"/>
      <c r="AZ245" s="60">
        <f>0.03*Z3</f>
        <v>3.78E-2</v>
      </c>
      <c r="BA245" s="48"/>
      <c r="BB245" s="50"/>
      <c r="BC245" s="51" t="s">
        <v>164</v>
      </c>
      <c r="BD245" s="52">
        <v>79.257699946928028</v>
      </c>
      <c r="BE245" s="53">
        <v>488.81392425585108</v>
      </c>
      <c r="BF245" s="54">
        <v>79.257699946928028</v>
      </c>
      <c r="BG245" s="53">
        <v>488.81392425585108</v>
      </c>
      <c r="BH245" s="450">
        <v>352118.70300168963</v>
      </c>
      <c r="BI245" s="347">
        <f t="shared" si="279"/>
        <v>96337.269424930942</v>
      </c>
      <c r="BJ245" s="347">
        <f t="shared" si="247"/>
        <v>448455.97242662054</v>
      </c>
      <c r="BK245" s="45">
        <v>51221.175037014167</v>
      </c>
      <c r="BL245" s="47">
        <v>1277.2299397527395</v>
      </c>
      <c r="BM245" s="45">
        <v>300897.52796467545</v>
      </c>
      <c r="BN245" s="55">
        <v>6.874475307277442</v>
      </c>
      <c r="BO245" s="47">
        <f t="shared" si="280"/>
        <v>8.7552847450795692</v>
      </c>
      <c r="BP245" s="45">
        <v>54421.402374058627</v>
      </c>
      <c r="BQ245" s="55">
        <v>6.4702247211758026</v>
      </c>
      <c r="BR245" s="54">
        <v>69.0964462057959</v>
      </c>
      <c r="BS245" s="53">
        <v>426.14540977854244</v>
      </c>
      <c r="BT245" s="54">
        <v>148.35414615272393</v>
      </c>
      <c r="BU245" s="53">
        <v>914.95933403439358</v>
      </c>
      <c r="BV245" s="450">
        <v>328448.75557818072</v>
      </c>
      <c r="BW245" s="347">
        <f t="shared" si="281"/>
        <v>83986.325100152113</v>
      </c>
      <c r="BX245" s="347">
        <f t="shared" si="287"/>
        <v>412435.08067833283</v>
      </c>
      <c r="BY245" s="45">
        <v>44654.351159730853</v>
      </c>
      <c r="BZ245" s="47">
        <v>1113.4823478810488</v>
      </c>
      <c r="CA245" s="45">
        <v>283794.40441844985</v>
      </c>
      <c r="CB245" s="55">
        <v>7.3553583704150807</v>
      </c>
      <c r="CC245" s="47">
        <f t="shared" si="282"/>
        <v>9.236167808217207</v>
      </c>
      <c r="CD245" s="45">
        <v>47444.292530581602</v>
      </c>
      <c r="CE245" s="55">
        <v>6.9228296610486817</v>
      </c>
      <c r="CF245" s="52">
        <v>57.309819792606675</v>
      </c>
      <c r="CG245" s="53">
        <v>353.45257217883108</v>
      </c>
      <c r="CH245" s="54">
        <v>205.66396594533063</v>
      </c>
      <c r="CI245" s="53">
        <v>1268.4119062132247</v>
      </c>
      <c r="CJ245" s="450">
        <v>292574.65668535512</v>
      </c>
      <c r="CK245" s="347">
        <f t="shared" si="283"/>
        <v>69659.749825588806</v>
      </c>
      <c r="CL245" s="347">
        <f t="shared" si="288"/>
        <v>362234.4065109439</v>
      </c>
      <c r="CM245" s="45">
        <v>37037.112014384446</v>
      </c>
      <c r="CN245" s="47">
        <v>923.54203730319682</v>
      </c>
      <c r="CO245" s="45">
        <v>255537.54467097067</v>
      </c>
      <c r="CP245" s="55">
        <v>7.8994997388491086</v>
      </c>
      <c r="CQ245" s="47">
        <f t="shared" si="284"/>
        <v>9.7803091766512349</v>
      </c>
      <c r="CR245" s="45">
        <v>39351.138943051337</v>
      </c>
      <c r="CS245" s="55">
        <v>7.434973028576553</v>
      </c>
    </row>
    <row r="246" spans="1:98" s="23" customFormat="1" ht="15" customHeight="1">
      <c r="A246" s="377" t="str">
        <f t="shared" si="272"/>
        <v>Existing Residential; Low Flow (1.25 GPM) showerhead; RES-Water Heat; MURB</v>
      </c>
      <c r="B246" s="281" t="s">
        <v>164</v>
      </c>
      <c r="C246" s="15" t="s">
        <v>163</v>
      </c>
      <c r="D246" s="15" t="s">
        <v>158</v>
      </c>
      <c r="E246" s="43">
        <v>10</v>
      </c>
      <c r="F246" s="44">
        <v>421.863</v>
      </c>
      <c r="G246" s="44">
        <v>68.40208392920114</v>
      </c>
      <c r="H246" s="45">
        <v>27</v>
      </c>
      <c r="I246" s="46">
        <v>1</v>
      </c>
      <c r="J246" s="45">
        <v>15.608930999999998</v>
      </c>
      <c r="K246" s="45">
        <v>42.608930999999998</v>
      </c>
      <c r="L246" s="45">
        <v>0</v>
      </c>
      <c r="M246" s="45">
        <v>42.608930999999998</v>
      </c>
      <c r="N246" s="45">
        <v>290.81911972305335</v>
      </c>
      <c r="O246" s="47">
        <v>0.83</v>
      </c>
      <c r="P246" s="47">
        <v>6.3489388844240331</v>
      </c>
      <c r="Q246" s="310">
        <f t="shared" si="273"/>
        <v>6.3489388844240331</v>
      </c>
      <c r="R246" s="311">
        <f t="shared" si="274"/>
        <v>1.329849012775842E-2</v>
      </c>
      <c r="S246" s="311">
        <f t="shared" si="275"/>
        <v>116.47214178263728</v>
      </c>
      <c r="T246" s="310">
        <f t="shared" si="276"/>
        <v>8.8919592398989167</v>
      </c>
      <c r="U246" s="316">
        <f t="shared" si="277"/>
        <v>0.40054257912510727</v>
      </c>
      <c r="V246" s="48">
        <v>0.10100182049622744</v>
      </c>
      <c r="W246" s="49">
        <v>0.62291860938187094</v>
      </c>
      <c r="X246" s="48" t="s">
        <v>359</v>
      </c>
      <c r="Y246" s="48" t="s">
        <v>542</v>
      </c>
      <c r="Z246" s="247">
        <f>(0.03*Z3)*0.45</f>
        <v>1.7010000000000001E-2</v>
      </c>
      <c r="AA246" s="261">
        <f>2401/264.172</f>
        <v>9.088775494753417</v>
      </c>
      <c r="AB246" s="401">
        <f>0.03*Adaptation!J31</f>
        <v>1.329849012775842E-2</v>
      </c>
      <c r="AC246" s="387">
        <f>((AA246*AC3)-8.3656)</f>
        <v>16.437668325182074</v>
      </c>
      <c r="AD246" s="294">
        <v>0</v>
      </c>
      <c r="AE246" s="294">
        <v>0</v>
      </c>
      <c r="AF246" s="294">
        <v>0</v>
      </c>
      <c r="AG246" s="360">
        <f t="shared" si="289"/>
        <v>1.329849012775842E-2</v>
      </c>
      <c r="AH246" s="294">
        <v>0</v>
      </c>
      <c r="AI246" s="294">
        <v>0</v>
      </c>
      <c r="AJ246" s="294">
        <v>0</v>
      </c>
      <c r="AK246" s="294">
        <f>AC246</f>
        <v>16.437668325182074</v>
      </c>
      <c r="AL246" s="289">
        <f>AK246</f>
        <v>16.437668325182074</v>
      </c>
      <c r="AM246" s="294"/>
      <c r="AN246" s="294"/>
      <c r="AO246" s="289" t="s">
        <v>635</v>
      </c>
      <c r="AP246" s="300" t="s">
        <v>425</v>
      </c>
      <c r="AQ246" s="136">
        <v>0.03</v>
      </c>
      <c r="AR246" s="294" t="s">
        <v>593</v>
      </c>
      <c r="AS246" s="142">
        <v>0.03</v>
      </c>
      <c r="AT246" s="142"/>
      <c r="AU246" s="146"/>
      <c r="AV246" s="48"/>
      <c r="AW246" s="131" t="s">
        <v>284</v>
      </c>
      <c r="AX246" s="131"/>
      <c r="AY246" s="131"/>
      <c r="AZ246" s="48"/>
      <c r="BA246" s="48"/>
      <c r="BB246" s="50"/>
      <c r="BC246" s="51" t="s">
        <v>164</v>
      </c>
      <c r="BD246" s="52">
        <v>49.152322976103648</v>
      </c>
      <c r="BE246" s="53">
        <v>303.14202779450579</v>
      </c>
      <c r="BF246" s="54">
        <v>49.152322976103648</v>
      </c>
      <c r="BG246" s="53">
        <v>303.14202779450579</v>
      </c>
      <c r="BH246" s="450">
        <v>214987.96028819997</v>
      </c>
      <c r="BI246" s="347">
        <f t="shared" si="279"/>
        <v>83704.028494610306</v>
      </c>
      <c r="BJ246" s="347">
        <f t="shared" si="247"/>
        <v>298691.98878281028</v>
      </c>
      <c r="BK246" s="45">
        <v>32915.201922943117</v>
      </c>
      <c r="BL246" s="47">
        <v>865.75821721402747</v>
      </c>
      <c r="BM246" s="45">
        <v>182072.75836525686</v>
      </c>
      <c r="BN246" s="55">
        <v>6.5315704515956616</v>
      </c>
      <c r="BO246" s="47">
        <f t="shared" si="280"/>
        <v>9.0745908070705426</v>
      </c>
      <c r="BP246" s="45">
        <v>36889.032139955511</v>
      </c>
      <c r="BQ246" s="55">
        <v>5.8279642434787737</v>
      </c>
      <c r="BR246" s="54">
        <v>46.221097153456867</v>
      </c>
      <c r="BS246" s="53">
        <v>285.06398618835908</v>
      </c>
      <c r="BT246" s="54">
        <v>95.373420129560515</v>
      </c>
      <c r="BU246" s="53">
        <v>588.20601398286487</v>
      </c>
      <c r="BV246" s="450">
        <v>216531.44536330248</v>
      </c>
      <c r="BW246" s="347">
        <f t="shared" si="281"/>
        <v>78712.292704172709</v>
      </c>
      <c r="BX246" s="347">
        <f t="shared" si="287"/>
        <v>295243.73806747521</v>
      </c>
      <c r="BY246" s="45">
        <v>30952.28574742339</v>
      </c>
      <c r="BZ246" s="47">
        <v>814.12824961920649</v>
      </c>
      <c r="CA246" s="45">
        <v>185579.15961587909</v>
      </c>
      <c r="CB246" s="55">
        <v>6.9956528293335349</v>
      </c>
      <c r="CC246" s="47">
        <f t="shared" si="282"/>
        <v>9.5386731848084167</v>
      </c>
      <c r="CD246" s="45">
        <v>34689.134413175547</v>
      </c>
      <c r="CE246" s="55">
        <v>6.2420538599850452</v>
      </c>
      <c r="CF246" s="52">
        <v>38.888573227754058</v>
      </c>
      <c r="CG246" s="53">
        <v>239.84137946090215</v>
      </c>
      <c r="CH246" s="54">
        <v>134.26199335731457</v>
      </c>
      <c r="CI246" s="53">
        <v>828.04739344376708</v>
      </c>
      <c r="CJ246" s="450">
        <v>195856.31067495144</v>
      </c>
      <c r="CK246" s="347">
        <f t="shared" si="283"/>
        <v>66225.359138228509</v>
      </c>
      <c r="CL246" s="347">
        <f t="shared" si="288"/>
        <v>262081.66981317993</v>
      </c>
      <c r="CM246" s="45">
        <v>26042.009060466859</v>
      </c>
      <c r="CN246" s="47">
        <v>684.9747842848833</v>
      </c>
      <c r="CO246" s="45">
        <v>169814.30161448458</v>
      </c>
      <c r="CP246" s="55">
        <v>7.5207834472445381</v>
      </c>
      <c r="CQ246" s="47">
        <f t="shared" si="284"/>
        <v>10.06380380271942</v>
      </c>
      <c r="CR246" s="45">
        <v>29186.043320334473</v>
      </c>
      <c r="CS246" s="55">
        <v>6.7106153624631473</v>
      </c>
    </row>
    <row r="247" spans="1:98" s="23" customFormat="1" ht="15" customHeight="1">
      <c r="A247" s="377" t="str">
        <f t="shared" si="272"/>
        <v>Existing Residential; DHW Pipe Insulation; RES-Water Heat; RES-SF</v>
      </c>
      <c r="B247" s="149" t="s">
        <v>128</v>
      </c>
      <c r="C247" s="15" t="s">
        <v>163</v>
      </c>
      <c r="D247" s="15" t="s">
        <v>139</v>
      </c>
      <c r="E247" s="43">
        <v>15</v>
      </c>
      <c r="F247" s="44">
        <v>120.69082909796498</v>
      </c>
      <c r="G247" s="44">
        <v>19.56915923284069</v>
      </c>
      <c r="H247" s="45">
        <v>14</v>
      </c>
      <c r="I247" s="46">
        <v>1</v>
      </c>
      <c r="J247" s="45">
        <v>4.4655606766247038</v>
      </c>
      <c r="K247" s="45">
        <v>18.465560676624705</v>
      </c>
      <c r="L247" s="45">
        <v>0</v>
      </c>
      <c r="M247" s="45">
        <v>18.465560676624705</v>
      </c>
      <c r="N247" s="45">
        <v>118.76111821158784</v>
      </c>
      <c r="O247" s="47">
        <v>0.90720000000000001</v>
      </c>
      <c r="P247" s="47">
        <v>6.2762334120278211</v>
      </c>
      <c r="Q247" s="310">
        <f t="shared" si="273"/>
        <v>6.2762334120278211</v>
      </c>
      <c r="R247" s="311">
        <f t="shared" si="274"/>
        <v>2.7926829268292681</v>
      </c>
      <c r="S247" s="311">
        <f t="shared" si="275"/>
        <v>64.579237257142196</v>
      </c>
      <c r="T247" s="310">
        <f t="shared" si="276"/>
        <v>9.8366739236923149</v>
      </c>
      <c r="U247" s="316">
        <f t="shared" si="277"/>
        <v>0.56728937213221531</v>
      </c>
      <c r="V247" s="48">
        <v>0.15299887170081641</v>
      </c>
      <c r="W247" s="49">
        <v>0.94360521353600402</v>
      </c>
      <c r="X247" s="48" t="s">
        <v>389</v>
      </c>
      <c r="Y247" s="48" t="s">
        <v>573</v>
      </c>
      <c r="Z247" s="246" t="s">
        <v>390</v>
      </c>
      <c r="AA247" s="246"/>
      <c r="AB247" s="397">
        <f>(5*Z3)*Adaptation!J31</f>
        <v>2.7926829268292681</v>
      </c>
      <c r="AC247" s="387">
        <f>5.56*Z3</f>
        <v>7.0055999999999994</v>
      </c>
      <c r="AD247" s="294">
        <f>AC247</f>
        <v>7.0055999999999994</v>
      </c>
      <c r="AE247" s="294">
        <v>0</v>
      </c>
      <c r="AF247" s="294">
        <v>0</v>
      </c>
      <c r="AG247" s="360">
        <f t="shared" si="289"/>
        <v>2.7926829268292681</v>
      </c>
      <c r="AH247" s="294">
        <v>0</v>
      </c>
      <c r="AI247" s="294">
        <v>0</v>
      </c>
      <c r="AJ247" s="294">
        <v>0</v>
      </c>
      <c r="AK247" s="294">
        <v>0</v>
      </c>
      <c r="AL247" s="289">
        <f>AD247</f>
        <v>7.0055999999999994</v>
      </c>
      <c r="AM247" s="294"/>
      <c r="AN247" s="294"/>
      <c r="AO247" s="294" t="s">
        <v>636</v>
      </c>
      <c r="AP247" s="300" t="s">
        <v>360</v>
      </c>
      <c r="AQ247" s="136" t="s">
        <v>221</v>
      </c>
      <c r="AR247" s="294" t="s">
        <v>594</v>
      </c>
      <c r="AS247" s="142"/>
      <c r="AT247" s="61" t="s">
        <v>224</v>
      </c>
      <c r="AU247" s="146"/>
      <c r="AV247" s="48"/>
      <c r="AW247" s="131" t="s">
        <v>284</v>
      </c>
      <c r="AX247" s="131"/>
      <c r="AY247" s="131"/>
      <c r="AZ247" s="48">
        <f>5*Z3</f>
        <v>6.3</v>
      </c>
      <c r="BA247" s="48"/>
      <c r="BB247" s="50"/>
      <c r="BC247" s="51" t="s">
        <v>128</v>
      </c>
      <c r="BD247" s="52">
        <v>154.47908151160868</v>
      </c>
      <c r="BE247" s="53">
        <v>952.7342592542102</v>
      </c>
      <c r="BF247" s="54">
        <v>154.47908151160868</v>
      </c>
      <c r="BG247" s="53">
        <v>952.7342592542102</v>
      </c>
      <c r="BH247" s="450">
        <v>937501.10785697366</v>
      </c>
      <c r="BI247" s="347">
        <f t="shared" si="279"/>
        <v>531834.41484943882</v>
      </c>
      <c r="BJ247" s="347">
        <f t="shared" si="247"/>
        <v>1469335.5227064125</v>
      </c>
      <c r="BK247" s="45">
        <v>149373.20623868759</v>
      </c>
      <c r="BL247" s="47">
        <v>8701.5069211546906</v>
      </c>
      <c r="BM247" s="45">
        <v>788127.90161828604</v>
      </c>
      <c r="BN247" s="55">
        <v>6.2762334120278211</v>
      </c>
      <c r="BO247" s="47">
        <f t="shared" si="280"/>
        <v>9.8366739236923149</v>
      </c>
      <c r="BP247" s="45">
        <v>160678.20403065174</v>
      </c>
      <c r="BQ247" s="55">
        <v>5.8346501537827216</v>
      </c>
      <c r="BR247" s="54">
        <v>155.24763815083938</v>
      </c>
      <c r="BS247" s="53">
        <v>957.47425533139642</v>
      </c>
      <c r="BT247" s="54">
        <v>309.72671966244803</v>
      </c>
      <c r="BU247" s="53">
        <v>1910.2085145856067</v>
      </c>
      <c r="BV247" s="450">
        <v>999984.4114467653</v>
      </c>
      <c r="BW247" s="347">
        <f t="shared" si="281"/>
        <v>534480.37096533668</v>
      </c>
      <c r="BX247" s="347">
        <f t="shared" si="287"/>
        <v>1534464.782412102</v>
      </c>
      <c r="BY247" s="45">
        <v>150116.3603813363</v>
      </c>
      <c r="BZ247" s="47">
        <v>8744.7982253890623</v>
      </c>
      <c r="CA247" s="45">
        <v>849868.051065429</v>
      </c>
      <c r="CB247" s="55">
        <v>6.6613952596941033</v>
      </c>
      <c r="CC247" s="47">
        <f t="shared" si="282"/>
        <v>10.221835771358597</v>
      </c>
      <c r="CD247" s="45">
        <v>161477.60223576176</v>
      </c>
      <c r="CE247" s="55">
        <v>6.1927127824623032</v>
      </c>
      <c r="CF247" s="52">
        <v>142.64860208016938</v>
      </c>
      <c r="CG247" s="53">
        <v>879.77096255770903</v>
      </c>
      <c r="CH247" s="54">
        <v>452.37532174261742</v>
      </c>
      <c r="CI247" s="53">
        <v>2789.9794771433158</v>
      </c>
      <c r="CJ247" s="450">
        <v>979088.68588117603</v>
      </c>
      <c r="CK247" s="347">
        <f t="shared" si="283"/>
        <v>491104.91254892817</v>
      </c>
      <c r="CL247" s="347">
        <f t="shared" si="288"/>
        <v>1470193.5984301041</v>
      </c>
      <c r="CM247" s="45">
        <v>137933.75031544571</v>
      </c>
      <c r="CN247" s="47">
        <v>8035.1189698157168</v>
      </c>
      <c r="CO247" s="45">
        <v>841154.93556573032</v>
      </c>
      <c r="CP247" s="55">
        <v>7.0982532095448905</v>
      </c>
      <c r="CQ247" s="47">
        <f t="shared" si="284"/>
        <v>10.658693721209385</v>
      </c>
      <c r="CR247" s="45">
        <v>148372.97688103031</v>
      </c>
      <c r="CS247" s="55">
        <v>6.5988342787395666</v>
      </c>
      <c r="CT247" s="244"/>
    </row>
    <row r="248" spans="1:98" s="23" customFormat="1" ht="15" customHeight="1">
      <c r="A248" s="377" t="str">
        <f t="shared" si="272"/>
        <v>Existing Residential; DHW Pipe Insulation; RES-Water Heat; MURB</v>
      </c>
      <c r="B248" s="149" t="s">
        <v>128</v>
      </c>
      <c r="C248" s="15" t="s">
        <v>163</v>
      </c>
      <c r="D248" s="15" t="s">
        <v>158</v>
      </c>
      <c r="E248" s="43">
        <v>15</v>
      </c>
      <c r="F248" s="44">
        <v>30.103020036982546</v>
      </c>
      <c r="G248" s="44">
        <v>4.8809905184671418</v>
      </c>
      <c r="H248" s="45">
        <v>14</v>
      </c>
      <c r="I248" s="46">
        <v>1</v>
      </c>
      <c r="J248" s="45">
        <v>1.1138117413683541</v>
      </c>
      <c r="K248" s="45">
        <v>15.113811741368353</v>
      </c>
      <c r="L248" s="45">
        <v>0</v>
      </c>
      <c r="M248" s="45">
        <v>15.113811741368353</v>
      </c>
      <c r="N248" s="45">
        <v>29.621706536094731</v>
      </c>
      <c r="O248" s="47">
        <v>0.83</v>
      </c>
      <c r="P248" s="47">
        <v>1.9307664448254718</v>
      </c>
      <c r="Q248" s="310">
        <f t="shared" si="273"/>
        <v>1.9307664448254718</v>
      </c>
      <c r="R248" s="311">
        <f t="shared" si="274"/>
        <v>2.7926829268292681</v>
      </c>
      <c r="S248" s="311">
        <f t="shared" si="275"/>
        <v>64.579237257142196</v>
      </c>
      <c r="T248" s="310">
        <f t="shared" si="276"/>
        <v>6.3221219076232433</v>
      </c>
      <c r="U248" s="316">
        <f t="shared" si="277"/>
        <v>2.2744104935979039</v>
      </c>
      <c r="V248" s="48">
        <v>0.50206961702847552</v>
      </c>
      <c r="W248" s="49">
        <v>3.0964640648625545</v>
      </c>
      <c r="X248" s="48" t="s">
        <v>389</v>
      </c>
      <c r="Y248" s="48" t="s">
        <v>573</v>
      </c>
      <c r="Z248" s="246" t="s">
        <v>390</v>
      </c>
      <c r="AA248" s="246"/>
      <c r="AB248" s="397">
        <f>(5*Z3)*Adaptation!J31</f>
        <v>2.7926829268292681</v>
      </c>
      <c r="AC248" s="387">
        <f>5.56*Z3</f>
        <v>7.0055999999999994</v>
      </c>
      <c r="AD248" s="294">
        <f>AC248</f>
        <v>7.0055999999999994</v>
      </c>
      <c r="AE248" s="294">
        <v>0</v>
      </c>
      <c r="AF248" s="294">
        <v>0</v>
      </c>
      <c r="AG248" s="360">
        <f t="shared" si="289"/>
        <v>2.7926829268292681</v>
      </c>
      <c r="AH248" s="294">
        <v>0</v>
      </c>
      <c r="AI248" s="294">
        <v>0</v>
      </c>
      <c r="AJ248" s="294">
        <v>0</v>
      </c>
      <c r="AK248" s="294">
        <v>0</v>
      </c>
      <c r="AL248" s="289">
        <f t="shared" ref="AL248:AL250" si="290">AD248</f>
        <v>7.0055999999999994</v>
      </c>
      <c r="AM248" s="294"/>
      <c r="AN248" s="294"/>
      <c r="AO248" s="294" t="s">
        <v>636</v>
      </c>
      <c r="AP248" s="300" t="s">
        <v>360</v>
      </c>
      <c r="AQ248" s="136" t="s">
        <v>221</v>
      </c>
      <c r="AR248" s="294" t="s">
        <v>594</v>
      </c>
      <c r="AS248" s="142"/>
      <c r="AT248" s="61" t="s">
        <v>224</v>
      </c>
      <c r="AU248" s="146"/>
      <c r="AV248" s="48"/>
      <c r="AW248" s="131" t="s">
        <v>284</v>
      </c>
      <c r="AX248" s="131"/>
      <c r="AY248" s="131"/>
      <c r="AZ248" s="48"/>
      <c r="BA248" s="48"/>
      <c r="BB248" s="50"/>
      <c r="BC248" s="51" t="s">
        <v>128</v>
      </c>
      <c r="BD248" s="52">
        <v>3.9554584378454876</v>
      </c>
      <c r="BE248" s="53">
        <v>24.394893651075623</v>
      </c>
      <c r="BF248" s="54">
        <v>3.9554584378454876</v>
      </c>
      <c r="BG248" s="53">
        <v>24.394893651075623</v>
      </c>
      <c r="BH248" s="450">
        <v>24004.846683942087</v>
      </c>
      <c r="BI248" s="347">
        <f t="shared" si="279"/>
        <v>54596.875195166722</v>
      </c>
      <c r="BJ248" s="347">
        <f t="shared" si="247"/>
        <v>78601.721879108809</v>
      </c>
      <c r="BK248" s="45">
        <v>12432.807058707696</v>
      </c>
      <c r="BL248" s="47">
        <v>976.36177691532976</v>
      </c>
      <c r="BM248" s="45">
        <v>11572.039625234391</v>
      </c>
      <c r="BN248" s="55">
        <v>1.9307664448254716</v>
      </c>
      <c r="BO248" s="47">
        <f t="shared" si="280"/>
        <v>6.3221219076232416</v>
      </c>
      <c r="BP248" s="45">
        <v>14756.548087766181</v>
      </c>
      <c r="BQ248" s="55">
        <v>1.626725067486694</v>
      </c>
      <c r="BR248" s="54">
        <v>4.0595742225879379</v>
      </c>
      <c r="BS248" s="53">
        <v>25.03701732298401</v>
      </c>
      <c r="BT248" s="54">
        <v>8.015032660433425</v>
      </c>
      <c r="BU248" s="53">
        <v>49.431910974059633</v>
      </c>
      <c r="BV248" s="450">
        <v>26148.616417306257</v>
      </c>
      <c r="BW248" s="347">
        <f t="shared" si="281"/>
        <v>56033.977011492891</v>
      </c>
      <c r="BX248" s="347">
        <f t="shared" si="287"/>
        <v>82182.593428799155</v>
      </c>
      <c r="BY248" s="45">
        <v>12760.064059080554</v>
      </c>
      <c r="BZ248" s="47">
        <v>1002.0616228860142</v>
      </c>
      <c r="CA248" s="45">
        <v>13388.552358225703</v>
      </c>
      <c r="CB248" s="55">
        <v>2.0492543216268491</v>
      </c>
      <c r="CC248" s="47">
        <f t="shared" si="282"/>
        <v>6.4406097844246206</v>
      </c>
      <c r="CD248" s="45">
        <v>15144.970721549269</v>
      </c>
      <c r="CE248" s="55">
        <v>1.7265544383060623</v>
      </c>
      <c r="CF248" s="52">
        <v>3.5899704273831063</v>
      </c>
      <c r="CG248" s="53">
        <v>22.140782961739315</v>
      </c>
      <c r="CH248" s="54">
        <v>11.605003087816533</v>
      </c>
      <c r="CI248" s="53">
        <v>71.572693935798952</v>
      </c>
      <c r="CJ248" s="450">
        <v>24640.265497473392</v>
      </c>
      <c r="CK248" s="347">
        <f t="shared" si="283"/>
        <v>49552.073535358722</v>
      </c>
      <c r="CL248" s="347">
        <f t="shared" si="288"/>
        <v>74192.339032832111</v>
      </c>
      <c r="CM248" s="45">
        <v>11284.004211262065</v>
      </c>
      <c r="CN248" s="47">
        <v>886.14504756684164</v>
      </c>
      <c r="CO248" s="45">
        <v>13356.261286211327</v>
      </c>
      <c r="CP248" s="55">
        <v>2.1836455424999786</v>
      </c>
      <c r="CQ248" s="47">
        <f t="shared" si="284"/>
        <v>6.5750010052977492</v>
      </c>
      <c r="CR248" s="45">
        <v>13393.029424471149</v>
      </c>
      <c r="CS248" s="55">
        <v>1.8397828240750216</v>
      </c>
      <c r="CT248" s="243"/>
    </row>
    <row r="249" spans="1:98" s="23" customFormat="1" ht="15" customHeight="1">
      <c r="A249" s="377" t="str">
        <f t="shared" si="272"/>
        <v>Existing Residential; DHW Tank Wrap; RES-Water Heat; RES-SF</v>
      </c>
      <c r="B249" s="149" t="s">
        <v>127</v>
      </c>
      <c r="C249" s="15" t="s">
        <v>163</v>
      </c>
      <c r="D249" s="15" t="s">
        <v>139</v>
      </c>
      <c r="E249" s="43">
        <v>7</v>
      </c>
      <c r="F249" s="44">
        <v>287.93152889128186</v>
      </c>
      <c r="G249" s="44">
        <v>46.686048800403604</v>
      </c>
      <c r="H249" s="45">
        <v>33</v>
      </c>
      <c r="I249" s="46">
        <v>1</v>
      </c>
      <c r="J249" s="45">
        <v>10.653466568977429</v>
      </c>
      <c r="K249" s="45">
        <v>43.653466568977429</v>
      </c>
      <c r="L249" s="45">
        <v>0</v>
      </c>
      <c r="M249" s="45">
        <v>43.653466568977429</v>
      </c>
      <c r="N249" s="45">
        <v>137.59046087752364</v>
      </c>
      <c r="O249" s="47">
        <v>0.90720000000000001</v>
      </c>
      <c r="P249" s="47">
        <v>3.075111758789983</v>
      </c>
      <c r="Q249" s="310">
        <f t="shared" si="273"/>
        <v>3.075111758789983</v>
      </c>
      <c r="R249" s="311">
        <f t="shared" si="274"/>
        <v>2.7926829268292681</v>
      </c>
      <c r="S249" s="311">
        <f t="shared" si="275"/>
        <v>38.006589984208752</v>
      </c>
      <c r="T249" s="310">
        <f t="shared" si="276"/>
        <v>3.9869651175086163</v>
      </c>
      <c r="U249" s="316">
        <f t="shared" si="277"/>
        <v>0.29652690056293624</v>
      </c>
      <c r="V249" s="48">
        <v>0.15161058164443064</v>
      </c>
      <c r="W249" s="49">
        <v>0.93504307369442752</v>
      </c>
      <c r="X249" s="48" t="s">
        <v>389</v>
      </c>
      <c r="Y249" s="48" t="s">
        <v>573</v>
      </c>
      <c r="Z249" s="246" t="s">
        <v>390</v>
      </c>
      <c r="AA249" s="246"/>
      <c r="AB249" s="397">
        <f>(5*Z3)*Adaptation!J31</f>
        <v>2.7926829268292681</v>
      </c>
      <c r="AC249" s="387">
        <f>5.56*Z3</f>
        <v>7.0055999999999994</v>
      </c>
      <c r="AD249" s="294">
        <f>AC249</f>
        <v>7.0055999999999994</v>
      </c>
      <c r="AE249" s="294">
        <v>0</v>
      </c>
      <c r="AF249" s="294">
        <v>0</v>
      </c>
      <c r="AG249" s="360">
        <f t="shared" si="289"/>
        <v>2.7926829268292681</v>
      </c>
      <c r="AH249" s="294">
        <v>0</v>
      </c>
      <c r="AI249" s="294">
        <v>0</v>
      </c>
      <c r="AJ249" s="294">
        <v>0</v>
      </c>
      <c r="AK249" s="294">
        <v>0</v>
      </c>
      <c r="AL249" s="289">
        <f t="shared" si="290"/>
        <v>7.0055999999999994</v>
      </c>
      <c r="AM249" s="294"/>
      <c r="AN249" s="294"/>
      <c r="AO249" s="294" t="s">
        <v>636</v>
      </c>
      <c r="AP249" s="300" t="s">
        <v>361</v>
      </c>
      <c r="AQ249" s="136"/>
      <c r="AR249" s="294" t="s">
        <v>594</v>
      </c>
      <c r="AS249" s="142"/>
      <c r="AT249" s="142"/>
      <c r="AU249" s="146"/>
      <c r="AV249" s="48"/>
      <c r="AW249" s="131" t="s">
        <v>284</v>
      </c>
      <c r="AX249" s="131"/>
      <c r="AY249" s="131"/>
      <c r="AZ249" s="48"/>
      <c r="BA249" s="48"/>
      <c r="BB249" s="50"/>
      <c r="BC249" s="51" t="s">
        <v>127</v>
      </c>
      <c r="BD249" s="52">
        <v>150.28666364786608</v>
      </c>
      <c r="BE249" s="53">
        <v>926.87794208289949</v>
      </c>
      <c r="BF249" s="54">
        <v>150.28666364786608</v>
      </c>
      <c r="BG249" s="53">
        <v>926.87794208289949</v>
      </c>
      <c r="BH249" s="450">
        <v>442916.28540808352</v>
      </c>
      <c r="BI249" s="347">
        <f t="shared" si="279"/>
        <v>131336.59332090782</v>
      </c>
      <c r="BJ249" s="347">
        <f t="shared" si="247"/>
        <v>574252.87872899137</v>
      </c>
      <c r="BK249" s="45">
        <v>144032.58162635536</v>
      </c>
      <c r="BL249" s="47">
        <v>3548.3813016245126</v>
      </c>
      <c r="BM249" s="45">
        <v>298883.70378172817</v>
      </c>
      <c r="BN249" s="55">
        <v>3.0751117587899839</v>
      </c>
      <c r="BO249" s="47">
        <f t="shared" si="280"/>
        <v>3.9869651175086172</v>
      </c>
      <c r="BP249" s="45">
        <v>154899.14452445027</v>
      </c>
      <c r="BQ249" s="55">
        <v>2.8593849679923236</v>
      </c>
      <c r="BR249" s="54">
        <v>151.59996296100198</v>
      </c>
      <c r="BS249" s="53">
        <v>934.9775840281784</v>
      </c>
      <c r="BT249" s="54">
        <v>301.88662660886803</v>
      </c>
      <c r="BU249" s="53">
        <v>1861.8555261110778</v>
      </c>
      <c r="BV249" s="450">
        <v>491963.88924152678</v>
      </c>
      <c r="BW249" s="347">
        <f t="shared" si="281"/>
        <v>132484.29501054078</v>
      </c>
      <c r="BX249" s="347">
        <f t="shared" si="287"/>
        <v>624448.18425206759</v>
      </c>
      <c r="BY249" s="45">
        <v>145291.22884047072</v>
      </c>
      <c r="BZ249" s="47">
        <v>3579.3892873835593</v>
      </c>
      <c r="CA249" s="45">
        <v>346672.66040105605</v>
      </c>
      <c r="CB249" s="55">
        <v>3.3860536053535721</v>
      </c>
      <c r="CC249" s="47">
        <f t="shared" si="282"/>
        <v>4.2979069640722054</v>
      </c>
      <c r="CD249" s="45">
        <v>156252.75059415415</v>
      </c>
      <c r="CE249" s="55">
        <v>3.1485134653362867</v>
      </c>
      <c r="CF249" s="52">
        <v>139.71984300053126</v>
      </c>
      <c r="CG249" s="53">
        <v>861.70813434194588</v>
      </c>
      <c r="CH249" s="54">
        <v>441.60646960939931</v>
      </c>
      <c r="CI249" s="53">
        <v>2723.5636604530237</v>
      </c>
      <c r="CJ249" s="450">
        <v>499215.51886241324</v>
      </c>
      <c r="CK249" s="347">
        <f t="shared" si="283"/>
        <v>122102.17296471616</v>
      </c>
      <c r="CL249" s="347">
        <f t="shared" si="288"/>
        <v>621317.69182712934</v>
      </c>
      <c r="CM249" s="45">
        <v>133905.49236589775</v>
      </c>
      <c r="CN249" s="47">
        <v>3298.8907088299529</v>
      </c>
      <c r="CO249" s="45">
        <v>365310.02649651549</v>
      </c>
      <c r="CP249" s="55">
        <v>3.7281183171957064</v>
      </c>
      <c r="CQ249" s="47">
        <f t="shared" si="284"/>
        <v>4.6399716759143397</v>
      </c>
      <c r="CR249" s="45">
        <v>144008.01527261859</v>
      </c>
      <c r="CS249" s="55">
        <v>3.4665814810193631</v>
      </c>
      <c r="CT249" s="243"/>
    </row>
    <row r="250" spans="1:98" s="23" customFormat="1" ht="15" customHeight="1">
      <c r="A250" s="377" t="str">
        <f t="shared" si="272"/>
        <v>Existing Residential; DHW Tank Wrap; RES-Water Heat; MURB</v>
      </c>
      <c r="B250" s="149" t="s">
        <v>127</v>
      </c>
      <c r="C250" s="15" t="s">
        <v>163</v>
      </c>
      <c r="D250" s="15" t="s">
        <v>158</v>
      </c>
      <c r="E250" s="43">
        <v>7</v>
      </c>
      <c r="F250" s="44">
        <v>243.78697430078128</v>
      </c>
      <c r="G250" s="44">
        <v>39.528323358455339</v>
      </c>
      <c r="H250" s="45">
        <v>33</v>
      </c>
      <c r="I250" s="46">
        <v>1</v>
      </c>
      <c r="J250" s="45">
        <v>9.0201180491289072</v>
      </c>
      <c r="K250" s="45">
        <v>42.020118049128911</v>
      </c>
      <c r="L250" s="45">
        <v>0</v>
      </c>
      <c r="M250" s="45">
        <v>42.020118049128911</v>
      </c>
      <c r="N250" s="45">
        <v>116.49562060515679</v>
      </c>
      <c r="O250" s="47">
        <v>0.83</v>
      </c>
      <c r="P250" s="47">
        <v>2.655618006286399</v>
      </c>
      <c r="Q250" s="310">
        <f t="shared" si="273"/>
        <v>2.655618006286399</v>
      </c>
      <c r="R250" s="311">
        <f t="shared" si="274"/>
        <v>2.7926829268292681</v>
      </c>
      <c r="S250" s="311">
        <f t="shared" si="275"/>
        <v>38.006589984208752</v>
      </c>
      <c r="T250" s="310">
        <f t="shared" si="276"/>
        <v>3.5856725716264233</v>
      </c>
      <c r="U250" s="316">
        <f t="shared" si="277"/>
        <v>0.35022151647503219</v>
      </c>
      <c r="V250" s="48">
        <v>0.17236408208292958</v>
      </c>
      <c r="W250" s="49">
        <v>1.0630382085290386</v>
      </c>
      <c r="X250" s="48" t="s">
        <v>389</v>
      </c>
      <c r="Y250" s="48" t="s">
        <v>574</v>
      </c>
      <c r="Z250" s="246" t="s">
        <v>390</v>
      </c>
      <c r="AA250" s="246"/>
      <c r="AB250" s="397">
        <f>(5*Z3)*Adaptation!J31</f>
        <v>2.7926829268292681</v>
      </c>
      <c r="AC250" s="387">
        <f>5.56*Z3</f>
        <v>7.0055999999999994</v>
      </c>
      <c r="AD250" s="294">
        <f>AC250</f>
        <v>7.0055999999999994</v>
      </c>
      <c r="AE250" s="294">
        <v>0</v>
      </c>
      <c r="AF250" s="294">
        <v>0</v>
      </c>
      <c r="AG250" s="360">
        <f t="shared" si="289"/>
        <v>2.7926829268292681</v>
      </c>
      <c r="AH250" s="294">
        <v>0</v>
      </c>
      <c r="AI250" s="294">
        <v>0</v>
      </c>
      <c r="AJ250" s="294">
        <v>0</v>
      </c>
      <c r="AK250" s="294">
        <v>0</v>
      </c>
      <c r="AL250" s="289">
        <f t="shared" si="290"/>
        <v>7.0055999999999994</v>
      </c>
      <c r="AM250" s="294"/>
      <c r="AN250" s="294"/>
      <c r="AO250" s="294" t="s">
        <v>636</v>
      </c>
      <c r="AP250" s="300" t="s">
        <v>361</v>
      </c>
      <c r="AQ250" s="136"/>
      <c r="AR250" s="294" t="s">
        <v>594</v>
      </c>
      <c r="AS250" s="142"/>
      <c r="AT250" s="142"/>
      <c r="AU250" s="146"/>
      <c r="AV250" s="48"/>
      <c r="AW250" s="131" t="s">
        <v>284</v>
      </c>
      <c r="AX250" s="131"/>
      <c r="AY250" s="131"/>
      <c r="AZ250" s="48"/>
      <c r="BA250" s="48"/>
      <c r="BB250" s="50"/>
      <c r="BC250" s="51" t="s">
        <v>127</v>
      </c>
      <c r="BD250" s="52">
        <v>26.026623139599739</v>
      </c>
      <c r="BE250" s="53">
        <v>160.51659082353916</v>
      </c>
      <c r="BF250" s="54">
        <v>26.026623139599739</v>
      </c>
      <c r="BG250" s="53">
        <v>160.51659082353916</v>
      </c>
      <c r="BH250" s="450">
        <v>76704.179618477196</v>
      </c>
      <c r="BI250" s="347">
        <f t="shared" si="279"/>
        <v>26863.454105956334</v>
      </c>
      <c r="BJ250" s="347">
        <f t="shared" si="247"/>
        <v>103567.63372443353</v>
      </c>
      <c r="BK250" s="45">
        <v>28883.73984394686</v>
      </c>
      <c r="BL250" s="47">
        <v>793.28882715989687</v>
      </c>
      <c r="BM250" s="45">
        <v>47820.439774530336</v>
      </c>
      <c r="BN250" s="55">
        <v>2.6556180062863994</v>
      </c>
      <c r="BO250" s="47">
        <f t="shared" si="280"/>
        <v>3.5856725716264237</v>
      </c>
      <c r="BP250" s="45">
        <v>33334.090164313886</v>
      </c>
      <c r="BQ250" s="55">
        <v>2.3010731428510249</v>
      </c>
      <c r="BR250" s="54">
        <v>26.771586443758622</v>
      </c>
      <c r="BS250" s="53">
        <v>165.11107737028917</v>
      </c>
      <c r="BT250" s="54">
        <v>52.798209583358357</v>
      </c>
      <c r="BU250" s="53">
        <v>325.6276681938283</v>
      </c>
      <c r="BV250" s="450">
        <v>86877.684735485629</v>
      </c>
      <c r="BW250" s="347">
        <f t="shared" si="281"/>
        <v>27632.370128006271</v>
      </c>
      <c r="BX250" s="347">
        <f t="shared" si="287"/>
        <v>114510.0548634919</v>
      </c>
      <c r="BY250" s="45">
        <v>29710.482758507816</v>
      </c>
      <c r="BZ250" s="47">
        <v>815.9952329300022</v>
      </c>
      <c r="CA250" s="45">
        <v>57167.201976977813</v>
      </c>
      <c r="CB250" s="55">
        <v>2.9241424800008531</v>
      </c>
      <c r="CC250" s="47">
        <f t="shared" si="282"/>
        <v>3.8541970453408769</v>
      </c>
      <c r="CD250" s="45">
        <v>34288.216015245132</v>
      </c>
      <c r="CE250" s="55">
        <v>2.5337475912091287</v>
      </c>
      <c r="CF250" s="52">
        <v>23.710717201144085</v>
      </c>
      <c r="CG250" s="53">
        <v>146.23347295938248</v>
      </c>
      <c r="CH250" s="54">
        <v>76.508926784502435</v>
      </c>
      <c r="CI250" s="53">
        <v>471.86114115321078</v>
      </c>
      <c r="CJ250" s="450">
        <v>84717.80196692665</v>
      </c>
      <c r="CK250" s="347">
        <f t="shared" si="283"/>
        <v>24473.085115030379</v>
      </c>
      <c r="CL250" s="347">
        <f t="shared" si="288"/>
        <v>109190.88708195703</v>
      </c>
      <c r="CM250" s="45">
        <v>26313.601402604931</v>
      </c>
      <c r="CN250" s="47">
        <v>722.7002496146664</v>
      </c>
      <c r="CO250" s="45">
        <v>58404.20056432172</v>
      </c>
      <c r="CP250" s="55">
        <v>3.2195441692196476</v>
      </c>
      <c r="CQ250" s="47">
        <f t="shared" si="284"/>
        <v>4.1495987345596719</v>
      </c>
      <c r="CR250" s="45">
        <v>30367.949802943211</v>
      </c>
      <c r="CS250" s="55">
        <v>2.7897109458049729</v>
      </c>
      <c r="CT250" s="243"/>
    </row>
    <row r="251" spans="1:98" s="23" customFormat="1" ht="15" customHeight="1">
      <c r="A251" s="377" t="str">
        <f t="shared" si="272"/>
        <v>Existing Residential; Certified Wood Stove; RES-HVAC/Shell; RES-SF</v>
      </c>
      <c r="B251" s="42" t="s">
        <v>165</v>
      </c>
      <c r="C251" s="15" t="s">
        <v>142</v>
      </c>
      <c r="D251" s="15" t="s">
        <v>139</v>
      </c>
      <c r="E251" s="43">
        <v>25</v>
      </c>
      <c r="F251" s="44">
        <v>11685.717000000001</v>
      </c>
      <c r="G251" s="44">
        <v>1822.5919817164115</v>
      </c>
      <c r="H251" s="45">
        <v>2650</v>
      </c>
      <c r="I251" s="46">
        <v>0.27169811320754716</v>
      </c>
      <c r="J251" s="45">
        <v>432.37152900000001</v>
      </c>
      <c r="K251" s="45">
        <v>1152.371529</v>
      </c>
      <c r="L251" s="45">
        <v>1930</v>
      </c>
      <c r="M251" s="45">
        <v>3082.371529</v>
      </c>
      <c r="N251" s="45">
        <v>16919.397198052578</v>
      </c>
      <c r="O251" s="47">
        <v>0.66</v>
      </c>
      <c r="P251" s="47">
        <v>5.1191656268814825</v>
      </c>
      <c r="Q251" s="310">
        <f t="shared" si="273"/>
        <v>5.1191656268814825</v>
      </c>
      <c r="R251" s="311">
        <f t="shared" si="274"/>
        <v>25.731780487804876</v>
      </c>
      <c r="S251" s="311">
        <f t="shared" si="275"/>
        <v>75.587809425069125</v>
      </c>
      <c r="T251" s="310">
        <f t="shared" si="276"/>
        <v>5.149821078487725</v>
      </c>
      <c r="U251" s="316">
        <f t="shared" si="277"/>
        <v>5.9883687773777568E-3</v>
      </c>
      <c r="V251" s="48">
        <v>9.8613677620294923E-2</v>
      </c>
      <c r="W251" s="49">
        <v>0.63227071147035518</v>
      </c>
      <c r="X251" s="48" t="s">
        <v>391</v>
      </c>
      <c r="Y251" s="48" t="s">
        <v>575</v>
      </c>
      <c r="Z251" s="246" t="s">
        <v>392</v>
      </c>
      <c r="AA251" s="246"/>
      <c r="AB251" s="397">
        <f>(46.07*Z3)*Adaptation!J31</f>
        <v>25.731780487804876</v>
      </c>
      <c r="AC251" s="396">
        <f>5.06*Z3</f>
        <v>6.3755999999999995</v>
      </c>
      <c r="AD251" s="297">
        <f>2.88*Z3</f>
        <v>3.6288</v>
      </c>
      <c r="AE251" s="297">
        <v>0</v>
      </c>
      <c r="AF251" s="297">
        <v>0</v>
      </c>
      <c r="AG251" s="360">
        <f t="shared" si="289"/>
        <v>25.731780487804876</v>
      </c>
      <c r="AH251" s="294">
        <f>1.34*Z3</f>
        <v>1.6884000000000001</v>
      </c>
      <c r="AI251" s="294">
        <v>0</v>
      </c>
      <c r="AJ251" s="294">
        <f>0.84*Z3</f>
        <v>1.0584</v>
      </c>
      <c r="AK251" s="294">
        <v>0</v>
      </c>
      <c r="AL251" s="289">
        <f t="shared" ref="AL251:AL257" si="291">AD251+AH251+AJ251</f>
        <v>6.3755999999999995</v>
      </c>
      <c r="AM251" s="297"/>
      <c r="AN251" s="297"/>
      <c r="AO251" s="294" t="s">
        <v>630</v>
      </c>
      <c r="AP251" s="300" t="s">
        <v>365</v>
      </c>
      <c r="AQ251" s="138"/>
      <c r="AR251" s="294" t="s">
        <v>595</v>
      </c>
      <c r="AS251" s="142">
        <v>829.55</v>
      </c>
      <c r="AT251" s="61" t="s">
        <v>223</v>
      </c>
      <c r="AU251" s="148" t="s">
        <v>289</v>
      </c>
      <c r="AV251" s="48" t="s">
        <v>209</v>
      </c>
      <c r="AW251" s="131" t="s">
        <v>284</v>
      </c>
      <c r="AX251" s="131"/>
      <c r="AY251" s="131"/>
      <c r="AZ251" s="48">
        <f>46.07*Z3</f>
        <v>58.048200000000001</v>
      </c>
      <c r="BA251" s="48"/>
      <c r="BB251" s="50"/>
      <c r="BC251" s="51" t="s">
        <v>165</v>
      </c>
      <c r="BD251" s="52">
        <v>98.348062945365655</v>
      </c>
      <c r="BE251" s="53">
        <v>630.56769842442509</v>
      </c>
      <c r="BF251" s="54">
        <v>98.348062945365655</v>
      </c>
      <c r="BG251" s="53">
        <v>630.56769842442509</v>
      </c>
      <c r="BH251" s="450">
        <v>940515.20810378972</v>
      </c>
      <c r="BI251" s="347">
        <f t="shared" si="279"/>
        <v>5467.2606410601538</v>
      </c>
      <c r="BJ251" s="347">
        <f t="shared" si="247"/>
        <v>945982.4687448499</v>
      </c>
      <c r="BK251" s="45">
        <v>178345.4607449547</v>
      </c>
      <c r="BL251" s="47">
        <v>81.758406751881054</v>
      </c>
      <c r="BM251" s="45">
        <v>762169.74735883507</v>
      </c>
      <c r="BN251" s="55">
        <v>5.2735584307849921</v>
      </c>
      <c r="BO251" s="47">
        <f t="shared" si="280"/>
        <v>5.3042138823912355</v>
      </c>
      <c r="BP251" s="45">
        <v>94216.060197269107</v>
      </c>
      <c r="BQ251" s="55">
        <v>9.9825359512438094</v>
      </c>
      <c r="BR251" s="54">
        <v>109.48324873894832</v>
      </c>
      <c r="BS251" s="53">
        <v>701.96197165264675</v>
      </c>
      <c r="BT251" s="54">
        <v>207.83131168431396</v>
      </c>
      <c r="BU251" s="53">
        <v>1332.5296700770718</v>
      </c>
      <c r="BV251" s="450">
        <v>1099740.6997074317</v>
      </c>
      <c r="BW251" s="347">
        <f t="shared" si="281"/>
        <v>6086.2760156076556</v>
      </c>
      <c r="BX251" s="347">
        <f t="shared" si="287"/>
        <v>1105826.9757230394</v>
      </c>
      <c r="BY251" s="45">
        <v>198538.12932796878</v>
      </c>
      <c r="BZ251" s="47">
        <v>91.015274880287848</v>
      </c>
      <c r="CA251" s="45">
        <v>901202.57037946291</v>
      </c>
      <c r="CB251" s="55">
        <v>5.5391914058520708</v>
      </c>
      <c r="CC251" s="47">
        <f t="shared" si="282"/>
        <v>5.5698468574583142</v>
      </c>
      <c r="CD251" s="45">
        <v>104883.4114761526</v>
      </c>
      <c r="CE251" s="55">
        <v>10.485363550149971</v>
      </c>
      <c r="CF251" s="52">
        <v>106.47091239462884</v>
      </c>
      <c r="CG251" s="53">
        <v>682.6480986730337</v>
      </c>
      <c r="CH251" s="54">
        <v>314.3022240789428</v>
      </c>
      <c r="CI251" s="53">
        <v>2015.1777687501055</v>
      </c>
      <c r="CJ251" s="450">
        <v>1125205.6108691781</v>
      </c>
      <c r="CK251" s="347">
        <f t="shared" si="283"/>
        <v>5918.8174257818246</v>
      </c>
      <c r="CL251" s="347">
        <f t="shared" si="288"/>
        <v>1131124.4282949599</v>
      </c>
      <c r="CM251" s="45">
        <v>193075.52541735716</v>
      </c>
      <c r="CN251" s="47">
        <v>88.511068770512566</v>
      </c>
      <c r="CO251" s="45">
        <v>932130.08545182087</v>
      </c>
      <c r="CP251" s="55">
        <v>5.8278003306576736</v>
      </c>
      <c r="CQ251" s="47">
        <f t="shared" si="284"/>
        <v>5.8584557822639169</v>
      </c>
      <c r="CR251" s="45">
        <v>101997.63565249972</v>
      </c>
      <c r="CS251" s="55">
        <v>11.031683270607282</v>
      </c>
      <c r="CT251" s="244"/>
    </row>
    <row r="252" spans="1:98" s="23" customFormat="1" ht="15" customHeight="1">
      <c r="A252" s="377" t="str">
        <f t="shared" si="272"/>
        <v>Existing Residential; Certified Wood Boiler or Furnace; RES-HVAC/Shell; RES-SF</v>
      </c>
      <c r="B252" s="42" t="s">
        <v>166</v>
      </c>
      <c r="C252" s="15" t="s">
        <v>142</v>
      </c>
      <c r="D252" s="15" t="s">
        <v>139</v>
      </c>
      <c r="E252" s="43">
        <v>25</v>
      </c>
      <c r="F252" s="44">
        <v>15446.675999999999</v>
      </c>
      <c r="G252" s="44">
        <v>2409.1793273593166</v>
      </c>
      <c r="H252" s="45">
        <v>12398</v>
      </c>
      <c r="I252" s="46">
        <v>0.14518470721084045</v>
      </c>
      <c r="J252" s="45">
        <v>571.5270119999999</v>
      </c>
      <c r="K252" s="45">
        <v>2371.527012</v>
      </c>
      <c r="L252" s="45">
        <v>10598</v>
      </c>
      <c r="M252" s="45">
        <v>12969.527012</v>
      </c>
      <c r="N252" s="45">
        <v>22364.776302012619</v>
      </c>
      <c r="O252" s="47">
        <v>0.66</v>
      </c>
      <c r="P252" s="47">
        <v>1.6861324319946671</v>
      </c>
      <c r="Q252" s="310">
        <f t="shared" si="273"/>
        <v>1.6861324319946671</v>
      </c>
      <c r="R252" s="311">
        <f t="shared" si="274"/>
        <v>215.16504878048781</v>
      </c>
      <c r="S252" s="311">
        <f t="shared" si="275"/>
        <v>729.28791623159577</v>
      </c>
      <c r="T252" s="310">
        <f t="shared" si="276"/>
        <v>1.7573369347044523</v>
      </c>
      <c r="U252" s="316">
        <f t="shared" si="277"/>
        <v>4.2229484089545334E-2</v>
      </c>
      <c r="V252" s="48">
        <v>0.15352992527324327</v>
      </c>
      <c r="W252" s="49">
        <v>0.98437131062361094</v>
      </c>
      <c r="X252" s="48" t="s">
        <v>393</v>
      </c>
      <c r="Y252" s="48" t="s">
        <v>576</v>
      </c>
      <c r="Z252" s="246" t="s">
        <v>394</v>
      </c>
      <c r="AA252" s="246"/>
      <c r="AB252" s="397">
        <f>(385.23*Z3)*Adaptation!J31</f>
        <v>215.16504878048781</v>
      </c>
      <c r="AC252" s="396">
        <f>48.82*Z3</f>
        <v>61.513199999999998</v>
      </c>
      <c r="AD252" s="297">
        <f>27.61*Z3</f>
        <v>34.788600000000002</v>
      </c>
      <c r="AE252" s="297">
        <v>0</v>
      </c>
      <c r="AF252" s="297">
        <v>0</v>
      </c>
      <c r="AG252" s="360">
        <f t="shared" si="289"/>
        <v>215.16504878048781</v>
      </c>
      <c r="AH252" s="294">
        <f>13.88*Z3</f>
        <v>17.488800000000001</v>
      </c>
      <c r="AI252" s="294">
        <v>0</v>
      </c>
      <c r="AJ252" s="294">
        <f>7.33*Z3</f>
        <v>9.2357999999999993</v>
      </c>
      <c r="AK252" s="294">
        <v>0</v>
      </c>
      <c r="AL252" s="289">
        <f t="shared" si="291"/>
        <v>61.513199999999998</v>
      </c>
      <c r="AM252" s="297"/>
      <c r="AN252" s="297"/>
      <c r="AO252" s="294" t="s">
        <v>634</v>
      </c>
      <c r="AP252" s="300" t="s">
        <v>364</v>
      </c>
      <c r="AQ252" s="138"/>
      <c r="AR252" s="294" t="s">
        <v>595</v>
      </c>
      <c r="AS252" s="142">
        <v>829.55</v>
      </c>
      <c r="AT252" s="61" t="s">
        <v>223</v>
      </c>
      <c r="AU252" s="148" t="s">
        <v>289</v>
      </c>
      <c r="AV252" s="48" t="s">
        <v>209</v>
      </c>
      <c r="AW252" s="131" t="s">
        <v>284</v>
      </c>
      <c r="AX252" s="131"/>
      <c r="AY252" s="131"/>
      <c r="AZ252" s="48">
        <f>385.23*Z3</f>
        <v>485.38980000000004</v>
      </c>
      <c r="BA252" s="48"/>
      <c r="BB252" s="50"/>
      <c r="BC252" s="51" t="s">
        <v>166</v>
      </c>
      <c r="BD252" s="52">
        <v>134.3964072819052</v>
      </c>
      <c r="BE252" s="53">
        <v>861.69499101716667</v>
      </c>
      <c r="BF252" s="54">
        <v>134.3964072819052</v>
      </c>
      <c r="BG252" s="53">
        <v>861.69499101716667</v>
      </c>
      <c r="BH252" s="450">
        <v>1304331.0588816805</v>
      </c>
      <c r="BI252" s="347">
        <f t="shared" si="279"/>
        <v>52686.441354905342</v>
      </c>
      <c r="BJ252" s="347">
        <f t="shared" si="247"/>
        <v>1357017.5002365857</v>
      </c>
      <c r="BK252" s="45">
        <v>739931.31543442281</v>
      </c>
      <c r="BL252" s="47">
        <v>84.522940161244478</v>
      </c>
      <c r="BM252" s="45">
        <v>564399.74344725767</v>
      </c>
      <c r="BN252" s="55">
        <v>1.7627731543108047</v>
      </c>
      <c r="BO252" s="47">
        <f t="shared" si="280"/>
        <v>1.8339776570205899</v>
      </c>
      <c r="BP252" s="45">
        <v>200448.43572605093</v>
      </c>
      <c r="BQ252" s="55">
        <v>6.5070652916657581</v>
      </c>
      <c r="BR252" s="54">
        <v>161.65158448172218</v>
      </c>
      <c r="BS252" s="53">
        <v>1036.4440795333867</v>
      </c>
      <c r="BT252" s="54">
        <v>296.04799176362735</v>
      </c>
      <c r="BU252" s="53">
        <v>1898.1390705505532</v>
      </c>
      <c r="BV252" s="450">
        <v>1646713.2310663094</v>
      </c>
      <c r="BW252" s="347">
        <f t="shared" si="281"/>
        <v>63371.089287075549</v>
      </c>
      <c r="BX252" s="347">
        <f t="shared" si="287"/>
        <v>1710084.3203533848</v>
      </c>
      <c r="BY252" s="45">
        <v>889987.10580653755</v>
      </c>
      <c r="BZ252" s="47">
        <v>101.66393193427689</v>
      </c>
      <c r="CA252" s="45">
        <v>756726.12525977183</v>
      </c>
      <c r="CB252" s="55">
        <v>1.8502663918641833</v>
      </c>
      <c r="CC252" s="47">
        <f t="shared" si="282"/>
        <v>1.9214708945739685</v>
      </c>
      <c r="CD252" s="45">
        <v>241098.76072826702</v>
      </c>
      <c r="CE252" s="55">
        <v>6.8300360652714236</v>
      </c>
      <c r="CF252" s="52">
        <v>169.25106774077349</v>
      </c>
      <c r="CG252" s="53">
        <v>1085.1688690652047</v>
      </c>
      <c r="CH252" s="54">
        <v>465.29905950440093</v>
      </c>
      <c r="CI252" s="53">
        <v>2983.3079396157582</v>
      </c>
      <c r="CJ252" s="450">
        <v>1812708.044513124</v>
      </c>
      <c r="CK252" s="347">
        <f t="shared" si="283"/>
        <v>66350.259170804275</v>
      </c>
      <c r="CL252" s="347">
        <f t="shared" si="288"/>
        <v>1879058.3036839282</v>
      </c>
      <c r="CM252" s="45">
        <v>931826.73350355553</v>
      </c>
      <c r="CN252" s="47">
        <v>106.44330574159781</v>
      </c>
      <c r="CO252" s="45">
        <v>880881.31100956851</v>
      </c>
      <c r="CP252" s="55">
        <v>1.9453273654186349</v>
      </c>
      <c r="CQ252" s="47">
        <f t="shared" si="284"/>
        <v>2.0165318681284199</v>
      </c>
      <c r="CR252" s="45">
        <v>252433.17481277388</v>
      </c>
      <c r="CS252" s="55">
        <v>7.180942227017443</v>
      </c>
      <c r="CT252" s="244"/>
    </row>
    <row r="253" spans="1:98" s="23" customFormat="1" ht="15" customHeight="1">
      <c r="A253" s="377" t="str">
        <f t="shared" si="272"/>
        <v>Existing Residential; Certified Pellet Stove; RES-HVAC/Shell; RES-SF</v>
      </c>
      <c r="B253" s="42" t="s">
        <v>167</v>
      </c>
      <c r="C253" s="15" t="s">
        <v>142</v>
      </c>
      <c r="D253" s="15" t="s">
        <v>139</v>
      </c>
      <c r="E253" s="43">
        <v>25</v>
      </c>
      <c r="F253" s="44">
        <v>10025.120999999999</v>
      </c>
      <c r="G253" s="44">
        <v>1563.5929870915761</v>
      </c>
      <c r="H253" s="45">
        <v>4200</v>
      </c>
      <c r="I253" s="46">
        <v>0.17142857142857143</v>
      </c>
      <c r="J253" s="45">
        <v>370.92947699999996</v>
      </c>
      <c r="K253" s="45">
        <v>1090.9294769999999</v>
      </c>
      <c r="L253" s="45">
        <v>3480</v>
      </c>
      <c r="M253" s="45">
        <v>4570.9294769999997</v>
      </c>
      <c r="N253" s="45">
        <v>14515.070333941685</v>
      </c>
      <c r="O253" s="47">
        <v>0.66</v>
      </c>
      <c r="P253" s="47">
        <v>3.0480946169831964</v>
      </c>
      <c r="Q253" s="310">
        <f t="shared" si="273"/>
        <v>3.0480946169831964</v>
      </c>
      <c r="R253" s="311">
        <f t="shared" si="274"/>
        <v>25.731780487804876</v>
      </c>
      <c r="S253" s="311">
        <f t="shared" si="275"/>
        <v>75.587809425069125</v>
      </c>
      <c r="T253" s="310">
        <f t="shared" si="276"/>
        <v>3.0693712411746898</v>
      </c>
      <c r="U253" s="316">
        <f t="shared" si="277"/>
        <v>6.9803030630826209E-3</v>
      </c>
      <c r="V253" s="48">
        <v>0.10881958202798749</v>
      </c>
      <c r="W253" s="49">
        <v>0.69770681117547539</v>
      </c>
      <c r="X253" s="48" t="s">
        <v>362</v>
      </c>
      <c r="Y253" s="48" t="s">
        <v>577</v>
      </c>
      <c r="Z253" s="246" t="s">
        <v>378</v>
      </c>
      <c r="AA253" s="246"/>
      <c r="AB253" s="397">
        <f>(46.07*Z3)*Adaptation!J31</f>
        <v>25.731780487804876</v>
      </c>
      <c r="AC253" s="396">
        <f>5.06*Z3</f>
        <v>6.3755999999999995</v>
      </c>
      <c r="AD253" s="297">
        <f>2.88*Z3</f>
        <v>3.6288</v>
      </c>
      <c r="AE253" s="297">
        <v>0</v>
      </c>
      <c r="AF253" s="297">
        <v>0</v>
      </c>
      <c r="AG253" s="360">
        <f t="shared" si="289"/>
        <v>25.731780487804876</v>
      </c>
      <c r="AH253" s="294">
        <f>1.34*Z3</f>
        <v>1.6884000000000001</v>
      </c>
      <c r="AI253" s="294">
        <v>0</v>
      </c>
      <c r="AJ253" s="294">
        <f>0.84*Z3</f>
        <v>1.0584</v>
      </c>
      <c r="AK253" s="294">
        <v>0</v>
      </c>
      <c r="AL253" s="289">
        <f t="shared" si="291"/>
        <v>6.3755999999999995</v>
      </c>
      <c r="AM253" s="297"/>
      <c r="AN253" s="297"/>
      <c r="AO253" s="294" t="s">
        <v>630</v>
      </c>
      <c r="AP253" s="300" t="s">
        <v>365</v>
      </c>
      <c r="AQ253" s="138"/>
      <c r="AR253" s="294" t="s">
        <v>595</v>
      </c>
      <c r="AS253" s="142">
        <v>829.55</v>
      </c>
      <c r="AT253" s="61" t="s">
        <v>223</v>
      </c>
      <c r="AU253" s="148" t="s">
        <v>289</v>
      </c>
      <c r="AV253" s="48" t="s">
        <v>209</v>
      </c>
      <c r="AW253" s="131" t="s">
        <v>284</v>
      </c>
      <c r="AX253" s="131"/>
      <c r="AY253" s="131"/>
      <c r="AZ253" s="48"/>
      <c r="BA253" s="48"/>
      <c r="BB253" s="50"/>
      <c r="BC253" s="51" t="s">
        <v>167</v>
      </c>
      <c r="BD253" s="52">
        <v>107.78178393835704</v>
      </c>
      <c r="BE253" s="53">
        <v>691.05287277334264</v>
      </c>
      <c r="BF253" s="54">
        <v>107.78178393835704</v>
      </c>
      <c r="BG253" s="53">
        <v>691.05287277334264</v>
      </c>
      <c r="BH253" s="450">
        <v>1000554.6120368546</v>
      </c>
      <c r="BI253" s="347">
        <f t="shared" si="279"/>
        <v>6984.1744231823805</v>
      </c>
      <c r="BJ253" s="347">
        <f t="shared" si="247"/>
        <v>1007538.786460037</v>
      </c>
      <c r="BK253" s="45">
        <v>328255.75901155517</v>
      </c>
      <c r="BL253" s="47">
        <v>104.44261044154354</v>
      </c>
      <c r="BM253" s="45">
        <v>672298.8530252995</v>
      </c>
      <c r="BN253" s="55">
        <v>3.0480946169831964</v>
      </c>
      <c r="BO253" s="47">
        <f t="shared" si="280"/>
        <v>3.0693712411746898</v>
      </c>
      <c r="BP253" s="45">
        <v>113939.52238550782</v>
      </c>
      <c r="BQ253" s="55">
        <v>8.7814534508187219</v>
      </c>
      <c r="BR253" s="54">
        <v>127.68539761798051</v>
      </c>
      <c r="BS253" s="53">
        <v>818.66673208505256</v>
      </c>
      <c r="BT253" s="54">
        <v>235.46718155633755</v>
      </c>
      <c r="BU253" s="53">
        <v>1509.7196048583951</v>
      </c>
      <c r="BV253" s="450">
        <v>1246829.1512120026</v>
      </c>
      <c r="BW253" s="347">
        <f t="shared" si="281"/>
        <v>8273.9128605201076</v>
      </c>
      <c r="BX253" s="347">
        <f t="shared" si="287"/>
        <v>1255103.0640725228</v>
      </c>
      <c r="BY253" s="45">
        <v>388873.38452065067</v>
      </c>
      <c r="BZ253" s="47">
        <v>123.72959284210204</v>
      </c>
      <c r="CA253" s="45">
        <v>857955.76669135201</v>
      </c>
      <c r="CB253" s="55">
        <v>3.2062599314913802</v>
      </c>
      <c r="CC253" s="47">
        <f t="shared" si="282"/>
        <v>3.2275365556828741</v>
      </c>
      <c r="CD253" s="45">
        <v>134980.26000865732</v>
      </c>
      <c r="CE253" s="55">
        <v>9.2371221623964406</v>
      </c>
      <c r="CF253" s="52">
        <v>129.25524248638408</v>
      </c>
      <c r="CG253" s="53">
        <v>828.73193760010702</v>
      </c>
      <c r="CH253" s="54">
        <v>364.72242404272157</v>
      </c>
      <c r="CI253" s="53">
        <v>2338.451542458502</v>
      </c>
      <c r="CJ253" s="450">
        <v>1329806.3329986681</v>
      </c>
      <c r="CK253" s="347">
        <f t="shared" si="283"/>
        <v>8375.6375674013634</v>
      </c>
      <c r="CL253" s="347">
        <f t="shared" si="288"/>
        <v>1338181.9705660695</v>
      </c>
      <c r="CM253" s="45">
        <v>393654.4393517985</v>
      </c>
      <c r="CN253" s="47">
        <v>125.25080254983986</v>
      </c>
      <c r="CO253" s="45">
        <v>936151.89364686958</v>
      </c>
      <c r="CP253" s="55">
        <v>3.3781057700971475</v>
      </c>
      <c r="CQ253" s="47">
        <f t="shared" si="284"/>
        <v>3.399382394288641</v>
      </c>
      <c r="CR253" s="45">
        <v>136639.79251952705</v>
      </c>
      <c r="CS253" s="55">
        <v>9.7322039830280538</v>
      </c>
      <c r="CT253" s="243"/>
    </row>
    <row r="254" spans="1:98" s="23" customFormat="1" ht="15" customHeight="1">
      <c r="A254" s="377" t="str">
        <f t="shared" si="272"/>
        <v>Existing Residential; Certified Pellet Boiler or Furnace Supplemented by Baseboard Heat (Whole Home); RES-HVAC/Shell; RES-SF</v>
      </c>
      <c r="B254" s="42" t="s">
        <v>168</v>
      </c>
      <c r="C254" s="15" t="s">
        <v>142</v>
      </c>
      <c r="D254" s="15" t="s">
        <v>139</v>
      </c>
      <c r="E254" s="43">
        <v>25</v>
      </c>
      <c r="F254" s="44">
        <v>15403.035</v>
      </c>
      <c r="G254" s="44">
        <v>2402.3727500073164</v>
      </c>
      <c r="H254" s="45">
        <v>6662</v>
      </c>
      <c r="I254" s="46">
        <v>0.27018913239267489</v>
      </c>
      <c r="J254" s="45">
        <v>569.91229499999997</v>
      </c>
      <c r="K254" s="45">
        <v>2369.9122950000001</v>
      </c>
      <c r="L254" s="45">
        <v>4862</v>
      </c>
      <c r="M254" s="45">
        <v>7231.9122950000001</v>
      </c>
      <c r="N254" s="45">
        <v>22301.589814343934</v>
      </c>
      <c r="O254" s="47">
        <v>0.66</v>
      </c>
      <c r="P254" s="47">
        <v>2.9634681429216641</v>
      </c>
      <c r="Q254" s="310">
        <f t="shared" si="273"/>
        <v>2.9634681429216641</v>
      </c>
      <c r="R254" s="311">
        <f t="shared" si="274"/>
        <v>215.16504878048781</v>
      </c>
      <c r="S254" s="311">
        <f t="shared" si="275"/>
        <v>729.28791623159577</v>
      </c>
      <c r="T254" s="310">
        <f t="shared" si="276"/>
        <v>3.0889684457072999</v>
      </c>
      <c r="U254" s="316">
        <f t="shared" si="277"/>
        <v>4.2349131737892044E-2</v>
      </c>
      <c r="V254" s="48">
        <v>0.15386008634012713</v>
      </c>
      <c r="W254" s="49">
        <v>0.98648816882924706</v>
      </c>
      <c r="X254" s="48" t="s">
        <v>393</v>
      </c>
      <c r="Y254" s="48" t="s">
        <v>578</v>
      </c>
      <c r="Z254" s="246" t="s">
        <v>480</v>
      </c>
      <c r="AA254" s="246"/>
      <c r="AB254" s="397">
        <f>(385.23*Z3)*Adaptation!J31</f>
        <v>215.16504878048781</v>
      </c>
      <c r="AC254" s="396">
        <f>48.82*Z3</f>
        <v>61.513199999999998</v>
      </c>
      <c r="AD254" s="297">
        <f>27.61*Z3</f>
        <v>34.788600000000002</v>
      </c>
      <c r="AE254" s="297">
        <v>0</v>
      </c>
      <c r="AF254" s="297">
        <v>0</v>
      </c>
      <c r="AG254" s="360">
        <f t="shared" si="289"/>
        <v>215.16504878048781</v>
      </c>
      <c r="AH254" s="297">
        <f>13.88*Z3</f>
        <v>17.488800000000001</v>
      </c>
      <c r="AI254" s="297">
        <v>0</v>
      </c>
      <c r="AJ254" s="297">
        <f>7.33*Z3</f>
        <v>9.2357999999999993</v>
      </c>
      <c r="AK254" s="297">
        <v>0</v>
      </c>
      <c r="AL254" s="297">
        <f t="shared" si="291"/>
        <v>61.513199999999998</v>
      </c>
      <c r="AM254" s="297"/>
      <c r="AN254" s="297"/>
      <c r="AO254" s="294" t="s">
        <v>634</v>
      </c>
      <c r="AP254" s="300" t="s">
        <v>363</v>
      </c>
      <c r="AQ254" s="138"/>
      <c r="AR254" s="294" t="s">
        <v>594</v>
      </c>
      <c r="AS254" s="142">
        <v>829.55</v>
      </c>
      <c r="AT254" s="61" t="s">
        <v>223</v>
      </c>
      <c r="AU254" s="148" t="s">
        <v>289</v>
      </c>
      <c r="AV254" s="48" t="s">
        <v>209</v>
      </c>
      <c r="AW254" s="131" t="s">
        <v>284</v>
      </c>
      <c r="AX254" s="131"/>
      <c r="AY254" s="131"/>
      <c r="AZ254" s="48"/>
      <c r="BA254" s="48"/>
      <c r="BB254" s="50"/>
      <c r="BC254" s="51" t="s">
        <v>168</v>
      </c>
      <c r="BD254" s="52">
        <v>164.62886352999135</v>
      </c>
      <c r="BE254" s="53">
        <v>1055.5331794181222</v>
      </c>
      <c r="BF254" s="54">
        <v>164.62886352999135</v>
      </c>
      <c r="BG254" s="53">
        <v>1055.5331794181222</v>
      </c>
      <c r="BH254" s="450">
        <v>1528274.6551451231</v>
      </c>
      <c r="BI254" s="347">
        <f t="shared" si="279"/>
        <v>64721.104702422424</v>
      </c>
      <c r="BJ254" s="347">
        <f t="shared" si="247"/>
        <v>1592995.7598475455</v>
      </c>
      <c r="BK254" s="45">
        <v>515704.76935797493</v>
      </c>
      <c r="BL254" s="47">
        <v>103.8297125266588</v>
      </c>
      <c r="BM254" s="45">
        <v>1012569.8857871483</v>
      </c>
      <c r="BN254" s="55">
        <v>2.9634681429216641</v>
      </c>
      <c r="BO254" s="47">
        <f t="shared" si="280"/>
        <v>3.0889684457073003</v>
      </c>
      <c r="BP254" s="45">
        <v>246067.31230324419</v>
      </c>
      <c r="BQ254" s="55">
        <v>6.2107991542644818</v>
      </c>
      <c r="BR254" s="54">
        <v>191.78033441861672</v>
      </c>
      <c r="BS254" s="53">
        <v>1229.6173453318856</v>
      </c>
      <c r="BT254" s="54">
        <v>356.4091979486081</v>
      </c>
      <c r="BU254" s="53">
        <v>2285.1505247500081</v>
      </c>
      <c r="BV254" s="450">
        <v>1872706.7937535692</v>
      </c>
      <c r="BW254" s="347">
        <f t="shared" si="281"/>
        <v>75395.254742262579</v>
      </c>
      <c r="BX254" s="347">
        <f t="shared" si="287"/>
        <v>1948102.0484958319</v>
      </c>
      <c r="BY254" s="45">
        <v>600757.55252195196</v>
      </c>
      <c r="BZ254" s="47">
        <v>120.95386291313304</v>
      </c>
      <c r="CA254" s="45">
        <v>1271949.2412316173</v>
      </c>
      <c r="CB254" s="55">
        <v>3.1172421984410086</v>
      </c>
      <c r="CC254" s="47">
        <f t="shared" si="282"/>
        <v>3.2427425012266449</v>
      </c>
      <c r="CD254" s="45">
        <v>286650.04684557853</v>
      </c>
      <c r="CE254" s="55">
        <v>6.5330768801946739</v>
      </c>
      <c r="CF254" s="52">
        <v>191.23310373539212</v>
      </c>
      <c r="CG254" s="53">
        <v>1226.1087252117329</v>
      </c>
      <c r="CH254" s="54">
        <v>547.64230168400024</v>
      </c>
      <c r="CI254" s="53">
        <v>3511.2592499617413</v>
      </c>
      <c r="CJ254" s="450">
        <v>1967448.186506666</v>
      </c>
      <c r="CK254" s="347">
        <f t="shared" si="283"/>
        <v>75180.120083698275</v>
      </c>
      <c r="CL254" s="347">
        <f t="shared" si="288"/>
        <v>2042628.3065903643</v>
      </c>
      <c r="CM254" s="45">
        <v>599043.33627076261</v>
      </c>
      <c r="CN254" s="47">
        <v>120.60873021096492</v>
      </c>
      <c r="CO254" s="45">
        <v>1368404.8502359034</v>
      </c>
      <c r="CP254" s="55">
        <v>3.2843169556891554</v>
      </c>
      <c r="CQ254" s="47">
        <f t="shared" si="284"/>
        <v>3.4098172584747912</v>
      </c>
      <c r="CR254" s="45">
        <v>285832.11261130369</v>
      </c>
      <c r="CS254" s="55">
        <v>6.8832300490398435</v>
      </c>
      <c r="CT254" s="243"/>
    </row>
    <row r="255" spans="1:98" s="23" customFormat="1" ht="15" customHeight="1">
      <c r="A255" s="377" t="str">
        <f t="shared" si="272"/>
        <v>Existing Residential; Advanced Automatic Pellet Combo Boiler; RES-HVAC/Shell; RES-SF</v>
      </c>
      <c r="B255" s="42" t="s">
        <v>169</v>
      </c>
      <c r="C255" s="15" t="s">
        <v>142</v>
      </c>
      <c r="D255" s="15" t="s">
        <v>139</v>
      </c>
      <c r="E255" s="43">
        <v>25</v>
      </c>
      <c r="F255" s="44">
        <v>24848.513999999999</v>
      </c>
      <c r="G255" s="44">
        <v>3875.5604276543745</v>
      </c>
      <c r="H255" s="45">
        <v>6949</v>
      </c>
      <c r="I255" s="46">
        <v>0.43171679378327815</v>
      </c>
      <c r="J255" s="45">
        <v>919.39501799999994</v>
      </c>
      <c r="K255" s="45">
        <v>3919.3950180000002</v>
      </c>
      <c r="L255" s="45">
        <v>3949</v>
      </c>
      <c r="M255" s="45">
        <v>7868.3950180000002</v>
      </c>
      <c r="N255" s="45">
        <v>35977.413978737481</v>
      </c>
      <c r="O255" s="47">
        <v>0.66</v>
      </c>
      <c r="P255" s="47">
        <v>4.3127925968715299</v>
      </c>
      <c r="Q255" s="310">
        <f t="shared" si="273"/>
        <v>4.3127925968715299</v>
      </c>
      <c r="R255" s="311">
        <f t="shared" si="274"/>
        <v>10.763</v>
      </c>
      <c r="S255" s="311">
        <f t="shared" si="275"/>
        <v>40.333416096380759</v>
      </c>
      <c r="T255" s="310">
        <f t="shared" si="276"/>
        <v>4.3189177798876672</v>
      </c>
      <c r="U255" s="316">
        <f t="shared" si="277"/>
        <v>1.4202359326484788E-3</v>
      </c>
      <c r="V255" s="48">
        <v>0.15773156567833393</v>
      </c>
      <c r="W255" s="49">
        <v>1.0113105165469336</v>
      </c>
      <c r="X255" s="48" t="s">
        <v>395</v>
      </c>
      <c r="Y255" s="48" t="s">
        <v>579</v>
      </c>
      <c r="Z255" s="246" t="s">
        <v>396</v>
      </c>
      <c r="AA255" s="246"/>
      <c r="AB255" s="397">
        <f>(19.27*Z3)*Adaptation!J31</f>
        <v>10.763</v>
      </c>
      <c r="AC255" s="396">
        <f>2.7*Z3</f>
        <v>3.4020000000000001</v>
      </c>
      <c r="AD255" s="297">
        <f>1.21*Z3</f>
        <v>1.5246</v>
      </c>
      <c r="AE255" s="297">
        <v>0</v>
      </c>
      <c r="AF255" s="297">
        <v>0</v>
      </c>
      <c r="AG255" s="360">
        <f t="shared" si="289"/>
        <v>10.763</v>
      </c>
      <c r="AH255" s="297">
        <f>1.1*Z3</f>
        <v>1.3860000000000001</v>
      </c>
      <c r="AI255" s="297">
        <v>0</v>
      </c>
      <c r="AJ255" s="297">
        <f>0.39*Z3</f>
        <v>0.4914</v>
      </c>
      <c r="AK255" s="297">
        <v>0</v>
      </c>
      <c r="AL255" s="297">
        <f t="shared" si="291"/>
        <v>3.4020000000000001</v>
      </c>
      <c r="AM255" s="297"/>
      <c r="AN255" s="297"/>
      <c r="AO255" s="294" t="s">
        <v>637</v>
      </c>
      <c r="AP255" s="300" t="s">
        <v>456</v>
      </c>
      <c r="AQ255" s="138"/>
      <c r="AR255" s="294" t="s">
        <v>594</v>
      </c>
      <c r="AS255" s="142">
        <v>829.55</v>
      </c>
      <c r="AT255" s="61" t="s">
        <v>223</v>
      </c>
      <c r="AU255" s="148" t="s">
        <v>289</v>
      </c>
      <c r="AV255" s="48" t="s">
        <v>209</v>
      </c>
      <c r="AW255" s="131" t="s">
        <v>284</v>
      </c>
      <c r="AX255" s="131"/>
      <c r="AY255" s="131"/>
      <c r="AZ255" s="48">
        <f>19.27*Z3</f>
        <v>24.280200000000001</v>
      </c>
      <c r="BA255" s="48"/>
      <c r="BB255" s="50"/>
      <c r="BC255" s="51" t="s">
        <v>169</v>
      </c>
      <c r="BD255" s="52">
        <v>271.1455476323801</v>
      </c>
      <c r="BE255" s="53">
        <v>1738.4747476273192</v>
      </c>
      <c r="BF255" s="54">
        <v>271.1455476323801</v>
      </c>
      <c r="BG255" s="53">
        <v>1738.4747476273192</v>
      </c>
      <c r="BH255" s="450">
        <v>2517085.1539439834</v>
      </c>
      <c r="BI255" s="347">
        <f t="shared" si="279"/>
        <v>3574.8547811678409</v>
      </c>
      <c r="BJ255" s="347">
        <f t="shared" si="247"/>
        <v>2520660.0087251514</v>
      </c>
      <c r="BK255" s="45">
        <v>583632.32114845025</v>
      </c>
      <c r="BL255" s="47">
        <v>106.00443342085488</v>
      </c>
      <c r="BM255" s="45">
        <v>1933452.8327955331</v>
      </c>
      <c r="BN255" s="55">
        <v>4.3127925968715299</v>
      </c>
      <c r="BO255" s="47">
        <f t="shared" si="280"/>
        <v>4.3189177798876681</v>
      </c>
      <c r="BP255" s="45">
        <v>415473.2482356113</v>
      </c>
      <c r="BQ255" s="55">
        <v>6.0583567404959995</v>
      </c>
      <c r="BR255" s="54">
        <v>309.31841834979599</v>
      </c>
      <c r="BS255" s="53">
        <v>1983.2236375358655</v>
      </c>
      <c r="BT255" s="54">
        <v>580.46396598217621</v>
      </c>
      <c r="BU255" s="53">
        <v>3721.6983851631849</v>
      </c>
      <c r="BV255" s="450">
        <v>3020448.9174179942</v>
      </c>
      <c r="BW255" s="347">
        <f t="shared" si="281"/>
        <v>4078.1360284043703</v>
      </c>
      <c r="BX255" s="347">
        <f t="shared" si="287"/>
        <v>3024527.0534463986</v>
      </c>
      <c r="BY255" s="45">
        <v>665798.23291149712</v>
      </c>
      <c r="BZ255" s="47">
        <v>120.92812871211396</v>
      </c>
      <c r="CA255" s="45">
        <v>2354650.6845064973</v>
      </c>
      <c r="CB255" s="55">
        <v>4.5365829587888005</v>
      </c>
      <c r="CC255" s="47">
        <f t="shared" si="282"/>
        <v>4.5427081418049386</v>
      </c>
      <c r="CD255" s="45">
        <v>473965.10521032225</v>
      </c>
      <c r="CE255" s="55">
        <v>6.3727242453379951</v>
      </c>
      <c r="CF255" s="52">
        <v>302.23869894462268</v>
      </c>
      <c r="CG255" s="53">
        <v>1937.8313620083761</v>
      </c>
      <c r="CH255" s="54">
        <v>882.70266492679889</v>
      </c>
      <c r="CI255" s="53">
        <v>5659.5297471715612</v>
      </c>
      <c r="CJ255" s="450">
        <v>3109498.1387402974</v>
      </c>
      <c r="CK255" s="347">
        <f t="shared" si="283"/>
        <v>3984.7951309199516</v>
      </c>
      <c r="CL255" s="347">
        <f t="shared" si="288"/>
        <v>3113482.9338712175</v>
      </c>
      <c r="CM255" s="45">
        <v>650559.3580503721</v>
      </c>
      <c r="CN255" s="47">
        <v>118.16031028073209</v>
      </c>
      <c r="CO255" s="45">
        <v>2458938.7806899254</v>
      </c>
      <c r="CP255" s="55">
        <v>4.7797300895939649</v>
      </c>
      <c r="CQ255" s="47">
        <f t="shared" si="284"/>
        <v>4.7858552726101031</v>
      </c>
      <c r="CR255" s="45">
        <v>463116.93143963558</v>
      </c>
      <c r="CS255" s="55">
        <v>6.7142829977607956</v>
      </c>
      <c r="CT255" s="244"/>
    </row>
    <row r="256" spans="1:98" s="23" customFormat="1" ht="15" customHeight="1">
      <c r="A256" s="377" t="str">
        <f t="shared" si="272"/>
        <v>Existing Residential; Ground Source Heat Pump; RES-HVAC/Shell; RES-SF</v>
      </c>
      <c r="B256" s="42" t="s">
        <v>124</v>
      </c>
      <c r="C256" s="15" t="s">
        <v>142</v>
      </c>
      <c r="D256" s="15" t="s">
        <v>139</v>
      </c>
      <c r="E256" s="43">
        <v>15</v>
      </c>
      <c r="F256" s="44">
        <v>16035.27</v>
      </c>
      <c r="G256" s="44">
        <v>4532.8320034802127</v>
      </c>
      <c r="H256" s="45">
        <v>23000</v>
      </c>
      <c r="I256" s="46">
        <v>0.13043478260869565</v>
      </c>
      <c r="J256" s="45">
        <v>593.30498999999998</v>
      </c>
      <c r="K256" s="45">
        <v>3593.3049900000001</v>
      </c>
      <c r="L256" s="45">
        <v>20000</v>
      </c>
      <c r="M256" s="45">
        <v>23593.304990000001</v>
      </c>
      <c r="N256" s="45">
        <v>18806.521544733576</v>
      </c>
      <c r="O256" s="47">
        <v>0.66</v>
      </c>
      <c r="P256" s="47">
        <v>0.78691841864424383</v>
      </c>
      <c r="Q256" s="310">
        <f t="shared" si="273"/>
        <v>0.78691841864424383</v>
      </c>
      <c r="R256" s="311">
        <f t="shared" si="274"/>
        <v>215.16784146341465</v>
      </c>
      <c r="S256" s="311">
        <f t="shared" si="275"/>
        <v>567.04287102404351</v>
      </c>
      <c r="T256" s="310">
        <f t="shared" si="276"/>
        <v>0.81964834243440832</v>
      </c>
      <c r="U256" s="316">
        <f t="shared" si="277"/>
        <v>4.1592524732810048E-2</v>
      </c>
      <c r="V256" s="48">
        <v>0.22408758879644683</v>
      </c>
      <c r="W256" s="49">
        <v>0.79272847245191003</v>
      </c>
      <c r="X256" s="48" t="s">
        <v>393</v>
      </c>
      <c r="Y256" s="48" t="s">
        <v>580</v>
      </c>
      <c r="Z256" s="246" t="s">
        <v>394</v>
      </c>
      <c r="AA256" s="246"/>
      <c r="AB256" s="397">
        <f>(385.235*Z3)*Adaptation!J31</f>
        <v>215.16784146341465</v>
      </c>
      <c r="AC256" s="396">
        <f>48.82*Z3</f>
        <v>61.513199999999998</v>
      </c>
      <c r="AD256" s="297">
        <f>27.61*Z3</f>
        <v>34.788600000000002</v>
      </c>
      <c r="AE256" s="297">
        <v>0</v>
      </c>
      <c r="AF256" s="297">
        <v>0</v>
      </c>
      <c r="AG256" s="360">
        <f t="shared" si="289"/>
        <v>215.16784146341465</v>
      </c>
      <c r="AH256" s="297">
        <f>13.88*Z3</f>
        <v>17.488800000000001</v>
      </c>
      <c r="AI256" s="297">
        <v>0</v>
      </c>
      <c r="AJ256" s="297">
        <f>7.33*Z3</f>
        <v>9.2357999999999993</v>
      </c>
      <c r="AK256" s="297">
        <v>0</v>
      </c>
      <c r="AL256" s="297">
        <f t="shared" si="291"/>
        <v>61.513199999999998</v>
      </c>
      <c r="AM256" s="297"/>
      <c r="AN256" s="297"/>
      <c r="AO256" s="294" t="s">
        <v>634</v>
      </c>
      <c r="AP256" s="300" t="s">
        <v>366</v>
      </c>
      <c r="AQ256" s="136" t="s">
        <v>196</v>
      </c>
      <c r="AR256" s="294" t="s">
        <v>594</v>
      </c>
      <c r="AS256" s="142">
        <v>829.55</v>
      </c>
      <c r="AT256" s="61" t="s">
        <v>223</v>
      </c>
      <c r="AU256" s="148" t="s">
        <v>289</v>
      </c>
      <c r="AV256" s="48" t="s">
        <v>210</v>
      </c>
      <c r="AW256" s="131" t="s">
        <v>284</v>
      </c>
      <c r="AX256" s="131"/>
      <c r="AY256" s="131"/>
      <c r="AZ256" s="48"/>
      <c r="BA256" s="48"/>
      <c r="BB256" s="50"/>
      <c r="BC256" s="51" t="s">
        <v>124</v>
      </c>
      <c r="BD256" s="52">
        <v>266.13421019917718</v>
      </c>
      <c r="BE256" s="53">
        <v>941.4718907526327</v>
      </c>
      <c r="BF256" s="54">
        <v>266.13421019917718</v>
      </c>
      <c r="BG256" s="53">
        <v>941.4718907526327</v>
      </c>
      <c r="BH256" s="450">
        <v>1104179.1873289593</v>
      </c>
      <c r="BI256" s="347">
        <f t="shared" si="279"/>
        <v>45925.600158433946</v>
      </c>
      <c r="BJ256" s="347">
        <f t="shared" si="247"/>
        <v>1150104.7874873932</v>
      </c>
      <c r="BK256" s="45">
        <v>1403168.5638154382</v>
      </c>
      <c r="BL256" s="47">
        <v>88.958437353809018</v>
      </c>
      <c r="BM256" s="45">
        <v>-298989.37648647884</v>
      </c>
      <c r="BN256" s="55">
        <v>0.78691841864424383</v>
      </c>
      <c r="BO256" s="47">
        <f t="shared" si="280"/>
        <v>0.81964834243440832</v>
      </c>
      <c r="BP256" s="45">
        <v>319654.79684604431</v>
      </c>
      <c r="BQ256" s="55">
        <v>3.4542863058012121</v>
      </c>
      <c r="BR256" s="54">
        <v>266.28232036772789</v>
      </c>
      <c r="BS256" s="53">
        <v>941.99584278540897</v>
      </c>
      <c r="BT256" s="54">
        <v>532.41653056690507</v>
      </c>
      <c r="BU256" s="53">
        <v>1883.4677335380416</v>
      </c>
      <c r="BV256" s="450">
        <v>1182336.4127148683</v>
      </c>
      <c r="BW256" s="347">
        <f t="shared" si="281"/>
        <v>45951.158873246182</v>
      </c>
      <c r="BX256" s="347">
        <f t="shared" si="287"/>
        <v>1228287.5715881146</v>
      </c>
      <c r="BY256" s="45">
        <v>1403949.4612894466</v>
      </c>
      <c r="BZ256" s="47">
        <v>89.007944890403508</v>
      </c>
      <c r="CA256" s="45">
        <v>-221613.04857457825</v>
      </c>
      <c r="CB256" s="55">
        <v>0.84215026631297718</v>
      </c>
      <c r="CC256" s="47">
        <f t="shared" si="282"/>
        <v>0.87488019010314189</v>
      </c>
      <c r="CD256" s="45">
        <v>319832.69252433191</v>
      </c>
      <c r="CE256" s="55">
        <v>3.6967340748786013</v>
      </c>
      <c r="CF256" s="52">
        <v>249.71963425526866</v>
      </c>
      <c r="CG256" s="53">
        <v>883.40396390381306</v>
      </c>
      <c r="CH256" s="54">
        <v>782.13616482217378</v>
      </c>
      <c r="CI256" s="53">
        <v>2766.8716974418548</v>
      </c>
      <c r="CJ256" s="450">
        <v>1189935.1165637672</v>
      </c>
      <c r="CK256" s="347">
        <f t="shared" si="283"/>
        <v>43093.009598182405</v>
      </c>
      <c r="CL256" s="347">
        <f t="shared" si="288"/>
        <v>1233028.1261619497</v>
      </c>
      <c r="CM256" s="45">
        <v>1316624.1960860288</v>
      </c>
      <c r="CN256" s="47">
        <v>83.471675525246326</v>
      </c>
      <c r="CO256" s="45">
        <v>-126689.07952226163</v>
      </c>
      <c r="CP256" s="55">
        <v>0.9037773421612072</v>
      </c>
      <c r="CQ256" s="47">
        <f t="shared" si="284"/>
        <v>0.93650726595137179</v>
      </c>
      <c r="CR256" s="45">
        <v>299939.18818852847</v>
      </c>
      <c r="CS256" s="55">
        <v>3.9672545750034729</v>
      </c>
      <c r="CT256" s="243"/>
    </row>
    <row r="257" spans="1:108" s="23" customFormat="1" ht="15" customHeight="1">
      <c r="A257" s="377" t="str">
        <f t="shared" si="272"/>
        <v>Existing Residential; ENERGY STAR® Air Source Heat Pump; RES-HVAC/Shell; RES-SF</v>
      </c>
      <c r="B257" s="149" t="s">
        <v>170</v>
      </c>
      <c r="C257" s="15" t="s">
        <v>142</v>
      </c>
      <c r="D257" s="15" t="s">
        <v>139</v>
      </c>
      <c r="E257" s="43">
        <v>12</v>
      </c>
      <c r="F257" s="44">
        <v>7918.0439999999999</v>
      </c>
      <c r="G257" s="44">
        <v>2238.2637303995798</v>
      </c>
      <c r="H257" s="45">
        <v>9000</v>
      </c>
      <c r="I257" s="46">
        <v>0.2</v>
      </c>
      <c r="J257" s="45">
        <v>292.96762799999999</v>
      </c>
      <c r="K257" s="45">
        <v>2092.9676279999999</v>
      </c>
      <c r="L257" s="45">
        <v>7200</v>
      </c>
      <c r="M257" s="45">
        <v>9292.9676280000003</v>
      </c>
      <c r="N257" s="45">
        <v>7693.5740599776345</v>
      </c>
      <c r="O257" s="47">
        <v>0.66</v>
      </c>
      <c r="P257" s="47">
        <v>0.81466151962264588</v>
      </c>
      <c r="Q257" s="310">
        <f t="shared" si="273"/>
        <v>0.81466151962264588</v>
      </c>
      <c r="R257" s="311">
        <f t="shared" si="274"/>
        <v>25.731780487804876</v>
      </c>
      <c r="S257" s="311">
        <f t="shared" si="275"/>
        <v>51.156160938068368</v>
      </c>
      <c r="T257" s="310">
        <f t="shared" si="276"/>
        <v>0.8228030734329228</v>
      </c>
      <c r="U257" s="316">
        <f t="shared" si="277"/>
        <v>9.9937871302036227E-3</v>
      </c>
      <c r="V257" s="48">
        <v>0.26432887061501553</v>
      </c>
      <c r="W257" s="49">
        <v>0.93508535190638986</v>
      </c>
      <c r="X257" s="48" t="s">
        <v>391</v>
      </c>
      <c r="Y257" s="48" t="s">
        <v>575</v>
      </c>
      <c r="Z257" s="246" t="s">
        <v>378</v>
      </c>
      <c r="AA257" s="246"/>
      <c r="AB257" s="397">
        <f>(46.07*Z3)*Adaptation!J31</f>
        <v>25.731780487804876</v>
      </c>
      <c r="AC257" s="396">
        <f>5.06*Z3</f>
        <v>6.3755999999999995</v>
      </c>
      <c r="AD257" s="297">
        <f>2.88*Z3</f>
        <v>3.6288</v>
      </c>
      <c r="AE257" s="297">
        <v>0</v>
      </c>
      <c r="AF257" s="297">
        <v>0</v>
      </c>
      <c r="AG257" s="360">
        <f t="shared" si="289"/>
        <v>25.731780487804876</v>
      </c>
      <c r="AH257" s="294">
        <f>1.34*Z3</f>
        <v>1.6884000000000001</v>
      </c>
      <c r="AI257" s="294">
        <v>0</v>
      </c>
      <c r="AJ257" s="294">
        <f>0.84*Z3</f>
        <v>1.0584</v>
      </c>
      <c r="AK257" s="294">
        <v>0</v>
      </c>
      <c r="AL257" s="289">
        <f t="shared" si="291"/>
        <v>6.3755999999999995</v>
      </c>
      <c r="AM257" s="297"/>
      <c r="AN257" s="297"/>
      <c r="AO257" s="294" t="s">
        <v>630</v>
      </c>
      <c r="AP257" s="457" t="s">
        <v>507</v>
      </c>
      <c r="AQ257" s="136">
        <f>46.07+(5.15*E257)</f>
        <v>107.87</v>
      </c>
      <c r="AR257" s="294" t="s">
        <v>594</v>
      </c>
      <c r="AS257" s="142">
        <v>829.55</v>
      </c>
      <c r="AT257" s="61" t="s">
        <v>223</v>
      </c>
      <c r="AU257" s="148" t="s">
        <v>289</v>
      </c>
      <c r="AV257" s="48" t="s">
        <v>210</v>
      </c>
      <c r="AW257" s="131" t="s">
        <v>284</v>
      </c>
      <c r="AX257" s="131"/>
      <c r="AY257" s="131"/>
      <c r="AZ257" s="48"/>
      <c r="BA257" s="48"/>
      <c r="BB257" s="50"/>
      <c r="BC257" s="51" t="s">
        <v>170</v>
      </c>
      <c r="BD257" s="52">
        <v>118.49918967657649</v>
      </c>
      <c r="BE257" s="53">
        <v>419.20073362220558</v>
      </c>
      <c r="BF257" s="54">
        <v>118.49918967657649</v>
      </c>
      <c r="BG257" s="53">
        <v>419.20073362220558</v>
      </c>
      <c r="BH257" s="450">
        <v>407316.74263484712</v>
      </c>
      <c r="BI257" s="347">
        <f t="shared" si="279"/>
        <v>4070.6368204606129</v>
      </c>
      <c r="BJ257" s="347">
        <f t="shared" si="247"/>
        <v>411387.37945530773</v>
      </c>
      <c r="BK257" s="45">
        <v>499982.79386452131</v>
      </c>
      <c r="BL257" s="47">
        <v>80.215849608856871</v>
      </c>
      <c r="BM257" s="45">
        <v>-92666.051229674194</v>
      </c>
      <c r="BN257" s="55">
        <v>0.81466151962264599</v>
      </c>
      <c r="BO257" s="47">
        <f t="shared" si="280"/>
        <v>0.82280307343292303</v>
      </c>
      <c r="BP257" s="45">
        <v>167889.17648385389</v>
      </c>
      <c r="BQ257" s="55">
        <v>2.4261048339469298</v>
      </c>
      <c r="BR257" s="54">
        <v>157.60658094625637</v>
      </c>
      <c r="BS257" s="53">
        <v>557.54638100633258</v>
      </c>
      <c r="BT257" s="54">
        <v>276.10577062283284</v>
      </c>
      <c r="BU257" s="53">
        <v>976.74711462853816</v>
      </c>
      <c r="BV257" s="450">
        <v>584560.76346524071</v>
      </c>
      <c r="BW257" s="347">
        <f t="shared" si="281"/>
        <v>5414.0383010024316</v>
      </c>
      <c r="BX257" s="347">
        <f t="shared" si="287"/>
        <v>589974.80176624318</v>
      </c>
      <c r="BY257" s="45">
        <v>664988.33357440622</v>
      </c>
      <c r="BZ257" s="47">
        <v>106.68887972193495</v>
      </c>
      <c r="CA257" s="45">
        <v>-80427.570109165506</v>
      </c>
      <c r="CB257" s="55">
        <v>0.87905416373719525</v>
      </c>
      <c r="CC257" s="47">
        <f t="shared" si="282"/>
        <v>0.88719571754747228</v>
      </c>
      <c r="CD257" s="45">
        <v>223296.37152559549</v>
      </c>
      <c r="CE257" s="55">
        <v>2.6178695133800463</v>
      </c>
      <c r="CF257" s="52">
        <v>148.91314351692188</v>
      </c>
      <c r="CG257" s="53">
        <v>526.79262346569249</v>
      </c>
      <c r="CH257" s="54">
        <v>425.01891413975471</v>
      </c>
      <c r="CI257" s="53">
        <v>1503.5397380942306</v>
      </c>
      <c r="CJ257" s="450">
        <v>597238.73401831416</v>
      </c>
      <c r="CK257" s="347">
        <f t="shared" si="283"/>
        <v>5530.1673639672244</v>
      </c>
      <c r="CL257" s="347">
        <f t="shared" si="288"/>
        <v>602768.90138228144</v>
      </c>
      <c r="CM257" s="45">
        <v>676857.56855475414</v>
      </c>
      <c r="CN257" s="47">
        <v>108.9773156254227</v>
      </c>
      <c r="CO257" s="45">
        <v>-79618.834536439972</v>
      </c>
      <c r="CP257" s="55">
        <v>0.88236988365743707</v>
      </c>
      <c r="CQ257" s="47">
        <f t="shared" si="284"/>
        <v>0.89054023975728169</v>
      </c>
      <c r="CR257" s="45">
        <v>225691.48186550423</v>
      </c>
      <c r="CS257" s="55">
        <v>2.6462617422762333</v>
      </c>
    </row>
    <row r="258" spans="1:108" s="23" customFormat="1" ht="15" customHeight="1">
      <c r="A258" s="377" t="str">
        <f t="shared" si="272"/>
        <v>Existing Residential; Solar DHW; RES-Water Heat; RES-SF</v>
      </c>
      <c r="B258" s="108" t="s">
        <v>171</v>
      </c>
      <c r="C258" s="15" t="s">
        <v>163</v>
      </c>
      <c r="D258" s="15" t="s">
        <v>139</v>
      </c>
      <c r="E258" s="43">
        <v>15</v>
      </c>
      <c r="F258" s="44">
        <v>1815.254109</v>
      </c>
      <c r="G258" s="44">
        <v>442.04257725430972</v>
      </c>
      <c r="H258" s="45">
        <v>7042</v>
      </c>
      <c r="I258" s="46">
        <v>0.17750639023004827</v>
      </c>
      <c r="J258" s="45">
        <v>67.164402033000002</v>
      </c>
      <c r="K258" s="45">
        <v>1317.164402033</v>
      </c>
      <c r="L258" s="45">
        <v>5792</v>
      </c>
      <c r="M258" s="45">
        <v>7109.1644020330004</v>
      </c>
      <c r="N258" s="45">
        <v>2017.6107425781245</v>
      </c>
      <c r="O258" s="47">
        <v>0.65</v>
      </c>
      <c r="P258" s="47">
        <v>0.28236775420255716</v>
      </c>
      <c r="Q258" s="310">
        <f t="shared" si="273"/>
        <v>0.28236775420255716</v>
      </c>
      <c r="R258" s="311">
        <f t="shared" si="274"/>
        <v>31.495878048780487</v>
      </c>
      <c r="S258" s="311">
        <f t="shared" si="275"/>
        <v>14.286413997533256</v>
      </c>
      <c r="T258" s="310">
        <f t="shared" si="276"/>
        <v>0.28877505701600492</v>
      </c>
      <c r="U258" s="316">
        <f t="shared" si="277"/>
        <v>2.269134034636074E-2</v>
      </c>
      <c r="V258" s="48">
        <v>0.72560882550961903</v>
      </c>
      <c r="W258" s="49">
        <v>2.979722926724381</v>
      </c>
      <c r="X258" s="224" t="s">
        <v>367</v>
      </c>
      <c r="Y258" s="224" t="s">
        <v>581</v>
      </c>
      <c r="Z258" s="224" t="s">
        <v>392</v>
      </c>
      <c r="AA258" s="224"/>
      <c r="AB258" s="397">
        <f>(56.39*Z3)*Adaptation!J31</f>
        <v>31.495878048780487</v>
      </c>
      <c r="AC258" s="396">
        <f>1.23*Z3</f>
        <v>1.5498000000000001</v>
      </c>
      <c r="AD258" s="297">
        <v>0</v>
      </c>
      <c r="AE258" s="297">
        <v>0</v>
      </c>
      <c r="AF258" s="297">
        <v>0</v>
      </c>
      <c r="AG258" s="360">
        <f t="shared" si="289"/>
        <v>31.495878048780487</v>
      </c>
      <c r="AH258" s="297">
        <v>0</v>
      </c>
      <c r="AI258" s="297">
        <v>0</v>
      </c>
      <c r="AJ258" s="297">
        <f>1.23*Z3</f>
        <v>1.5498000000000001</v>
      </c>
      <c r="AK258" s="297">
        <v>0</v>
      </c>
      <c r="AL258" s="297">
        <f>AJ258</f>
        <v>1.5498000000000001</v>
      </c>
      <c r="AM258" s="297"/>
      <c r="AN258" s="297"/>
      <c r="AO258" s="294" t="s">
        <v>637</v>
      </c>
      <c r="AP258" s="300" t="s">
        <v>368</v>
      </c>
      <c r="AQ258" s="136"/>
      <c r="AR258" s="294" t="s">
        <v>594</v>
      </c>
      <c r="AS258" s="142">
        <v>82.56</v>
      </c>
      <c r="AT258" s="142"/>
      <c r="AU258" s="148" t="s">
        <v>289</v>
      </c>
      <c r="AV258" s="48" t="s">
        <v>199</v>
      </c>
      <c r="AW258" s="131" t="s">
        <v>284</v>
      </c>
      <c r="AX258" s="131"/>
      <c r="AY258" s="131"/>
      <c r="AZ258" s="48">
        <f>56.39*Z3</f>
        <v>71.051400000000001</v>
      </c>
      <c r="BA258" s="48"/>
      <c r="BB258" s="50"/>
      <c r="BC258" s="51" t="s">
        <v>171</v>
      </c>
      <c r="BD258" s="52">
        <v>203.36192058815402</v>
      </c>
      <c r="BE258" s="53">
        <v>835.10860934421271</v>
      </c>
      <c r="BF258" s="54">
        <v>203.36192058815402</v>
      </c>
      <c r="BG258" s="53">
        <v>835.10860934421271</v>
      </c>
      <c r="BH258" s="450">
        <v>928202.88524815114</v>
      </c>
      <c r="BI258" s="347">
        <f t="shared" si="279"/>
        <v>21062.167579639772</v>
      </c>
      <c r="BJ258" s="347">
        <f t="shared" si="247"/>
        <v>949265.05282779096</v>
      </c>
      <c r="BK258" s="45">
        <v>3287212.7621991239</v>
      </c>
      <c r="BL258" s="47">
        <v>707.7700414196795</v>
      </c>
      <c r="BM258" s="45">
        <v>-2359009.8769509727</v>
      </c>
      <c r="BN258" s="55">
        <v>0.28236775420255716</v>
      </c>
      <c r="BO258" s="47">
        <f t="shared" si="280"/>
        <v>0.28877505701600492</v>
      </c>
      <c r="BP258" s="45">
        <v>932249.50338342378</v>
      </c>
      <c r="BQ258" s="55">
        <v>0.99565929708668521</v>
      </c>
      <c r="BR258" s="54">
        <v>176.01759513178897</v>
      </c>
      <c r="BS258" s="53">
        <v>722.81874927957108</v>
      </c>
      <c r="BT258" s="54">
        <v>379.37951571994296</v>
      </c>
      <c r="BU258" s="53">
        <v>1557.9273586237837</v>
      </c>
      <c r="BV258" s="450">
        <v>857745.68667799619</v>
      </c>
      <c r="BW258" s="347">
        <f t="shared" si="281"/>
        <v>18230.119360147695</v>
      </c>
      <c r="BX258" s="347">
        <f t="shared" si="287"/>
        <v>875975.80603814393</v>
      </c>
      <c r="BY258" s="45">
        <v>2845209.5820859359</v>
      </c>
      <c r="BZ258" s="47">
        <v>612.60230153567659</v>
      </c>
      <c r="CA258" s="45">
        <v>-1987463.8954079398</v>
      </c>
      <c r="CB258" s="55">
        <v>0.3014701244079</v>
      </c>
      <c r="CC258" s="47">
        <f t="shared" si="282"/>
        <v>0.30787742722134775</v>
      </c>
      <c r="CD258" s="45">
        <v>806897.94418627908</v>
      </c>
      <c r="CE258" s="55">
        <v>1.0630163242552251</v>
      </c>
      <c r="CF258" s="52">
        <v>159.73124711979244</v>
      </c>
      <c r="CG258" s="53">
        <v>655.93863032584318</v>
      </c>
      <c r="CH258" s="54">
        <v>539.11076283973534</v>
      </c>
      <c r="CI258" s="53">
        <v>2213.8659889496266</v>
      </c>
      <c r="CJ258" s="450">
        <v>833650.65714560472</v>
      </c>
      <c r="CK258" s="347">
        <f t="shared" si="283"/>
        <v>16543.344421668946</v>
      </c>
      <c r="CL258" s="347">
        <f t="shared" si="288"/>
        <v>850194.00156727363</v>
      </c>
      <c r="CM258" s="45">
        <v>2581951.3925496899</v>
      </c>
      <c r="CN258" s="47">
        <v>555.92015979700568</v>
      </c>
      <c r="CO258" s="45">
        <v>-1748300.7354040851</v>
      </c>
      <c r="CP258" s="55">
        <v>0.3228762011365251</v>
      </c>
      <c r="CQ258" s="47">
        <f t="shared" si="284"/>
        <v>0.3292835039499728</v>
      </c>
      <c r="CR258" s="45">
        <v>732238.24485711276</v>
      </c>
      <c r="CS258" s="55">
        <v>1.1384964702414326</v>
      </c>
      <c r="CT258" s="244"/>
    </row>
    <row r="259" spans="1:108" s="23" customFormat="1" ht="15" customHeight="1">
      <c r="A259" s="377" t="str">
        <f t="shared" si="272"/>
        <v>Existing Residential; Solar Space and Water Heat (Supplement Electricity); RES-Package; RES-SF</v>
      </c>
      <c r="B259" s="42" t="s">
        <v>172</v>
      </c>
      <c r="C259" s="15" t="s">
        <v>173</v>
      </c>
      <c r="D259" s="15" t="s">
        <v>139</v>
      </c>
      <c r="E259" s="43">
        <v>20</v>
      </c>
      <c r="F259" s="44">
        <v>7637.0131059319438</v>
      </c>
      <c r="G259" s="44">
        <v>0</v>
      </c>
      <c r="H259" s="45">
        <v>19000</v>
      </c>
      <c r="I259" s="46">
        <v>6.5789473684210523E-2</v>
      </c>
      <c r="J259" s="45">
        <v>282.56948491948191</v>
      </c>
      <c r="K259" s="45">
        <v>1532.569484919482</v>
      </c>
      <c r="L259" s="45">
        <v>17750</v>
      </c>
      <c r="M259" s="45">
        <v>19282.569484919481</v>
      </c>
      <c r="N259" s="45">
        <v>7110.9696392390488</v>
      </c>
      <c r="O259" s="47">
        <v>0.65</v>
      </c>
      <c r="P259" s="47">
        <v>0.36588995382318629</v>
      </c>
      <c r="Q259" s="310">
        <f t="shared" si="273"/>
        <v>0.36588995382318629</v>
      </c>
      <c r="R259" s="311">
        <f t="shared" si="274"/>
        <v>0</v>
      </c>
      <c r="S259" s="311">
        <f t="shared" si="275"/>
        <v>0</v>
      </c>
      <c r="T259" s="310">
        <f t="shared" si="276"/>
        <v>0.36588995382318629</v>
      </c>
      <c r="U259" s="316">
        <f t="shared" si="277"/>
        <v>0</v>
      </c>
      <c r="V259" s="48">
        <v>0.20067655556713396</v>
      </c>
      <c r="W259" s="49">
        <v>0</v>
      </c>
      <c r="X259" s="224" t="s">
        <v>397</v>
      </c>
      <c r="Y259" s="224" t="s">
        <v>515</v>
      </c>
      <c r="Z259" s="224" t="s">
        <v>342</v>
      </c>
      <c r="AA259" s="224"/>
      <c r="AB259" s="397">
        <v>0</v>
      </c>
      <c r="AC259" s="396">
        <v>0</v>
      </c>
      <c r="AD259" s="297"/>
      <c r="AE259" s="297"/>
      <c r="AF259" s="297"/>
      <c r="AG259" s="374"/>
      <c r="AH259" s="297"/>
      <c r="AI259" s="297"/>
      <c r="AJ259" s="297"/>
      <c r="AK259" s="297"/>
      <c r="AL259" s="297"/>
      <c r="AM259" s="297"/>
      <c r="AN259" s="297"/>
      <c r="AO259" s="294" t="s">
        <v>610</v>
      </c>
      <c r="AP259" s="300" t="s">
        <v>369</v>
      </c>
      <c r="AQ259" s="136"/>
      <c r="AR259" s="294"/>
      <c r="AS259" s="142">
        <f>'Measure Tables'!AS257+'Measure Tables'!AS258</f>
        <v>912.1099999999999</v>
      </c>
      <c r="AT259" s="142"/>
      <c r="AU259" s="148" t="s">
        <v>289</v>
      </c>
      <c r="AV259" s="48" t="s">
        <v>199</v>
      </c>
      <c r="AW259" s="131" t="s">
        <v>284</v>
      </c>
      <c r="AX259" s="131"/>
      <c r="AY259" s="131"/>
      <c r="AZ259" s="48"/>
      <c r="BA259" s="48"/>
      <c r="BB259" s="50"/>
      <c r="BC259" s="51" t="s">
        <v>172</v>
      </c>
      <c r="BD259" s="102">
        <v>0</v>
      </c>
      <c r="BE259" s="53">
        <v>895.48608073932724</v>
      </c>
      <c r="BF259" s="103">
        <v>0</v>
      </c>
      <c r="BG259" s="53">
        <v>895.48608073932724</v>
      </c>
      <c r="BH259" s="450">
        <v>833804.29549773107</v>
      </c>
      <c r="BI259" s="347">
        <f t="shared" si="279"/>
        <v>0</v>
      </c>
      <c r="BJ259" s="347">
        <f t="shared" si="247"/>
        <v>833804.29549773107</v>
      </c>
      <c r="BK259" s="45">
        <v>2278838.9973140969</v>
      </c>
      <c r="BL259" s="47">
        <v>180.39394123535445</v>
      </c>
      <c r="BM259" s="45">
        <v>-1445034.7018163658</v>
      </c>
      <c r="BN259" s="55">
        <v>0.36588995382318629</v>
      </c>
      <c r="BO259" s="47">
        <f t="shared" si="280"/>
        <v>0.36588995382318629</v>
      </c>
      <c r="BP259" s="45">
        <v>276466.24960166245</v>
      </c>
      <c r="BQ259" s="55">
        <v>3.015935206192768</v>
      </c>
      <c r="BR259" s="103">
        <v>0</v>
      </c>
      <c r="BS259" s="53">
        <v>696.27082282827553</v>
      </c>
      <c r="BT259" s="103">
        <v>0</v>
      </c>
      <c r="BU259" s="53">
        <v>1591.7569035676029</v>
      </c>
      <c r="BV259" s="450">
        <v>677886.52498123702</v>
      </c>
      <c r="BW259" s="347">
        <f t="shared" si="281"/>
        <v>0</v>
      </c>
      <c r="BX259" s="347">
        <f t="shared" si="287"/>
        <v>677886.52498123702</v>
      </c>
      <c r="BY259" s="45">
        <v>1771874.6699480277</v>
      </c>
      <c r="BZ259" s="47">
        <v>140.2624123352939</v>
      </c>
      <c r="CA259" s="45">
        <v>-1093988.1449667907</v>
      </c>
      <c r="CB259" s="55">
        <v>0.38258153157137276</v>
      </c>
      <c r="CC259" s="47">
        <f t="shared" si="282"/>
        <v>0.38258153157137276</v>
      </c>
      <c r="CD259" s="45">
        <v>214961.89302626537</v>
      </c>
      <c r="CE259" s="55">
        <v>3.1535195165889642</v>
      </c>
      <c r="CF259" s="102">
        <v>0</v>
      </c>
      <c r="CG259" s="53">
        <v>639.12718844018548</v>
      </c>
      <c r="CH259" s="103">
        <v>0</v>
      </c>
      <c r="CI259" s="53">
        <v>2230.8840920077882</v>
      </c>
      <c r="CJ259" s="450">
        <v>653187.20106569841</v>
      </c>
      <c r="CK259" s="347">
        <f t="shared" si="283"/>
        <v>0</v>
      </c>
      <c r="CL259" s="347">
        <f t="shared" si="288"/>
        <v>653187.20106569841</v>
      </c>
      <c r="CM259" s="45">
        <v>1626455.1650637914</v>
      </c>
      <c r="CN259" s="47">
        <v>128.7509375670106</v>
      </c>
      <c r="CO259" s="45">
        <v>-973267.96399809304</v>
      </c>
      <c r="CP259" s="55">
        <v>0.40160172570147645</v>
      </c>
      <c r="CQ259" s="47">
        <f t="shared" si="284"/>
        <v>0.40160172570147645</v>
      </c>
      <c r="CR259" s="45">
        <v>197319.75806997379</v>
      </c>
      <c r="CS259" s="55">
        <v>3.3102980028693545</v>
      </c>
    </row>
    <row r="260" spans="1:108" s="23" customFormat="1" ht="15" customHeight="1">
      <c r="A260" s="377" t="str">
        <f t="shared" si="272"/>
        <v>Existing Residential; Solar Space Heating (Displacing Electricity); RES-HVAC/Shell; RES-SF</v>
      </c>
      <c r="B260" s="42" t="s">
        <v>174</v>
      </c>
      <c r="C260" s="15" t="s">
        <v>142</v>
      </c>
      <c r="D260" s="15" t="s">
        <v>139</v>
      </c>
      <c r="E260" s="43">
        <v>20</v>
      </c>
      <c r="F260" s="44">
        <v>5003.4938114894276</v>
      </c>
      <c r="G260" s="44">
        <v>6328.1501299815882</v>
      </c>
      <c r="H260" s="45">
        <v>9585</v>
      </c>
      <c r="I260" s="46">
        <v>5.2164840897235262E-2</v>
      </c>
      <c r="J260" s="45">
        <v>185.12927102510881</v>
      </c>
      <c r="K260" s="45">
        <v>685.12927102510878</v>
      </c>
      <c r="L260" s="45">
        <v>9085</v>
      </c>
      <c r="M260" s="45">
        <v>9770.1292710251091</v>
      </c>
      <c r="N260" s="45">
        <v>16555.345371818803</v>
      </c>
      <c r="O260" s="47">
        <v>0.65</v>
      </c>
      <c r="P260" s="47">
        <v>1.6773715219431966</v>
      </c>
      <c r="Q260" s="310">
        <f t="shared" si="273"/>
        <v>1.6773715219431966</v>
      </c>
      <c r="R260" s="311">
        <f t="shared" si="274"/>
        <v>0</v>
      </c>
      <c r="S260" s="311">
        <f t="shared" si="275"/>
        <v>0</v>
      </c>
      <c r="T260" s="310">
        <f t="shared" si="276"/>
        <v>1.6773715219431966</v>
      </c>
      <c r="U260" s="316">
        <f t="shared" si="277"/>
        <v>0</v>
      </c>
      <c r="V260" s="48">
        <v>0.13693017256299178</v>
      </c>
      <c r="W260" s="49">
        <v>0.10826691164912394</v>
      </c>
      <c r="X260" s="224" t="s">
        <v>397</v>
      </c>
      <c r="Y260" s="224" t="s">
        <v>515</v>
      </c>
      <c r="Z260" s="224" t="s">
        <v>342</v>
      </c>
      <c r="AA260" s="224"/>
      <c r="AB260" s="397">
        <v>0</v>
      </c>
      <c r="AC260" s="396">
        <v>0</v>
      </c>
      <c r="AD260" s="297"/>
      <c r="AE260" s="297"/>
      <c r="AF260" s="297"/>
      <c r="AG260" s="374"/>
      <c r="AH260" s="297"/>
      <c r="AI260" s="297"/>
      <c r="AJ260" s="297"/>
      <c r="AK260" s="297"/>
      <c r="AL260" s="297"/>
      <c r="AM260" s="297"/>
      <c r="AN260" s="297"/>
      <c r="AO260" s="294" t="s">
        <v>610</v>
      </c>
      <c r="AP260" s="300" t="s">
        <v>369</v>
      </c>
      <c r="AQ260" s="136"/>
      <c r="AR260" s="294"/>
      <c r="AS260" s="142">
        <v>829.55</v>
      </c>
      <c r="AT260" s="61" t="s">
        <v>223</v>
      </c>
      <c r="AU260" s="148" t="s">
        <v>289</v>
      </c>
      <c r="AV260" s="48" t="s">
        <v>199</v>
      </c>
      <c r="AW260" s="131" t="s">
        <v>284</v>
      </c>
      <c r="AX260" s="131"/>
      <c r="AY260" s="131"/>
      <c r="AZ260" s="48"/>
      <c r="BA260" s="48"/>
      <c r="BB260" s="50"/>
      <c r="BC260" s="51" t="s">
        <v>174</v>
      </c>
      <c r="BD260" s="52">
        <v>745.80247662318186</v>
      </c>
      <c r="BE260" s="53">
        <v>589.68545305173348</v>
      </c>
      <c r="BF260" s="54">
        <v>745.80247662318186</v>
      </c>
      <c r="BG260" s="53">
        <v>589.68545305173348</v>
      </c>
      <c r="BH260" s="450">
        <v>1951125.8939886305</v>
      </c>
      <c r="BI260" s="347">
        <f t="shared" si="279"/>
        <v>0</v>
      </c>
      <c r="BJ260" s="347">
        <f t="shared" si="247"/>
        <v>1951125.8939886305</v>
      </c>
      <c r="BK260" s="45">
        <v>1163204.3756938807</v>
      </c>
      <c r="BL260" s="47">
        <v>181.31498178875603</v>
      </c>
      <c r="BM260" s="45">
        <v>787921.51829474978</v>
      </c>
      <c r="BN260" s="55">
        <v>1.6773715219431966</v>
      </c>
      <c r="BO260" s="47">
        <f t="shared" si="280"/>
        <v>1.6773715219431966</v>
      </c>
      <c r="BP260" s="45">
        <v>124224.2012988613</v>
      </c>
      <c r="BQ260" s="55">
        <v>15.706487734178054</v>
      </c>
      <c r="BR260" s="54">
        <v>607.2464437354904</v>
      </c>
      <c r="BS260" s="53">
        <v>480.13301847633778</v>
      </c>
      <c r="BT260" s="54">
        <v>1353.0489203586724</v>
      </c>
      <c r="BU260" s="53">
        <v>1069.8184715280713</v>
      </c>
      <c r="BV260" s="450">
        <v>1720140.8102024412</v>
      </c>
      <c r="BW260" s="347">
        <f t="shared" si="281"/>
        <v>0</v>
      </c>
      <c r="BX260" s="347">
        <f t="shared" si="287"/>
        <v>1720140.8102024412</v>
      </c>
      <c r="BY260" s="45">
        <v>947102.94296133844</v>
      </c>
      <c r="BZ260" s="47">
        <v>147.63007812163247</v>
      </c>
      <c r="CA260" s="45">
        <v>773037.86724110274</v>
      </c>
      <c r="CB260" s="55">
        <v>1.8162131402780983</v>
      </c>
      <c r="CC260" s="47">
        <f t="shared" si="282"/>
        <v>1.8162131402780983</v>
      </c>
      <c r="CD260" s="45">
        <v>101145.68780485391</v>
      </c>
      <c r="CE260" s="55">
        <v>17.006565949911835</v>
      </c>
      <c r="CF260" s="52">
        <v>557.59045800193667</v>
      </c>
      <c r="CG260" s="53">
        <v>440.87139980137658</v>
      </c>
      <c r="CH260" s="54">
        <v>1910.639378360609</v>
      </c>
      <c r="CI260" s="53">
        <v>1510.6898713294479</v>
      </c>
      <c r="CJ260" s="450">
        <v>1710440.8607548382</v>
      </c>
      <c r="CK260" s="347">
        <f t="shared" si="283"/>
        <v>0</v>
      </c>
      <c r="CL260" s="347">
        <f t="shared" si="288"/>
        <v>1710440.8607548382</v>
      </c>
      <c r="CM260" s="45">
        <v>869656.08310886566</v>
      </c>
      <c r="CN260" s="47">
        <v>135.55801556996707</v>
      </c>
      <c r="CO260" s="45">
        <v>840784.77764597256</v>
      </c>
      <c r="CP260" s="55">
        <v>1.9668014678173891</v>
      </c>
      <c r="CQ260" s="47">
        <f t="shared" si="284"/>
        <v>1.9668014678173891</v>
      </c>
      <c r="CR260" s="45">
        <v>92874.764389061893</v>
      </c>
      <c r="CS260" s="55">
        <v>18.416637414977725</v>
      </c>
      <c r="DD260" s="23" t="s">
        <v>457</v>
      </c>
    </row>
    <row r="261" spans="1:108" s="23" customFormat="1" ht="15" customHeight="1">
      <c r="A261" s="377" t="str">
        <f t="shared" si="272"/>
        <v>Existing Residential; ENERGY STAR® Windows (Replace Single Pane); RES-HVAC/Shell; RES-SF</v>
      </c>
      <c r="B261" s="42" t="s">
        <v>175</v>
      </c>
      <c r="C261" s="15" t="s">
        <v>142</v>
      </c>
      <c r="D261" s="15" t="s">
        <v>139</v>
      </c>
      <c r="E261" s="43">
        <v>20</v>
      </c>
      <c r="F261" s="44">
        <v>1259.4849839999993</v>
      </c>
      <c r="G261" s="44">
        <v>356.02979203829807</v>
      </c>
      <c r="H261" s="45">
        <v>1094.4000000000001</v>
      </c>
      <c r="I261" s="46">
        <v>0.15990497076023391</v>
      </c>
      <c r="J261" s="45">
        <v>46.600944407999968</v>
      </c>
      <c r="K261" s="45">
        <v>221.60094440799998</v>
      </c>
      <c r="L261" s="45">
        <v>919.40000000000009</v>
      </c>
      <c r="M261" s="45">
        <v>1141.0009444080001</v>
      </c>
      <c r="N261" s="45">
        <v>1842.0427044255066</v>
      </c>
      <c r="O261" s="47">
        <v>0.73</v>
      </c>
      <c r="P261" s="47">
        <v>1.5903850829535529</v>
      </c>
      <c r="Q261" s="310">
        <f t="shared" si="273"/>
        <v>1.5903850829535529</v>
      </c>
      <c r="R261" s="311">
        <f t="shared" si="274"/>
        <v>3.725568</v>
      </c>
      <c r="S261" s="311">
        <f t="shared" si="275"/>
        <v>16.528401827175156</v>
      </c>
      <c r="T261" s="310">
        <f t="shared" si="276"/>
        <v>1.6078719801934174</v>
      </c>
      <c r="U261" s="316">
        <f t="shared" si="277"/>
        <v>1.0995385600190028E-2</v>
      </c>
      <c r="V261" s="48">
        <v>0.17594568194391438</v>
      </c>
      <c r="W261" s="48">
        <v>0.62242247520725003</v>
      </c>
      <c r="X261" s="48">
        <v>7.94</v>
      </c>
      <c r="Y261" s="48" t="s">
        <v>582</v>
      </c>
      <c r="Z261" s="246" t="s">
        <v>482</v>
      </c>
      <c r="AA261" s="246"/>
      <c r="AB261" s="397">
        <f>AG261</f>
        <v>3.725568</v>
      </c>
      <c r="AC261" s="396">
        <f>AD261+AE261</f>
        <v>1.5372000000000001</v>
      </c>
      <c r="AD261" s="372">
        <f>0.68*Z3</f>
        <v>0.85680000000000012</v>
      </c>
      <c r="AE261" s="297">
        <f>0.54*Z3</f>
        <v>0.6804</v>
      </c>
      <c r="AF261" s="297">
        <v>0</v>
      </c>
      <c r="AG261" s="374">
        <f>(6.72*0.44)*Z3</f>
        <v>3.725568</v>
      </c>
      <c r="AH261" s="297">
        <v>0</v>
      </c>
      <c r="AI261" s="297">
        <v>0</v>
      </c>
      <c r="AJ261" s="297">
        <v>0</v>
      </c>
      <c r="AK261" s="297">
        <v>0</v>
      </c>
      <c r="AL261" s="297">
        <f>AD261+AE261</f>
        <v>1.5372000000000001</v>
      </c>
      <c r="AM261" s="297"/>
      <c r="AN261" s="297"/>
      <c r="AO261" s="297" t="s">
        <v>638</v>
      </c>
      <c r="AP261" s="300" t="s">
        <v>370</v>
      </c>
      <c r="AQ261" s="136"/>
      <c r="AR261" s="294" t="s">
        <v>594</v>
      </c>
      <c r="AS261" s="142">
        <v>7.94</v>
      </c>
      <c r="AT261" s="61" t="s">
        <v>225</v>
      </c>
      <c r="AU261" s="146"/>
      <c r="AV261" s="48"/>
      <c r="AW261" s="131" t="s">
        <v>284</v>
      </c>
      <c r="AX261" s="131"/>
      <c r="AY261" s="131"/>
      <c r="AZ261" s="48"/>
      <c r="BA261" s="48"/>
      <c r="BB261" s="50"/>
      <c r="BC261" s="51" t="s">
        <v>175</v>
      </c>
      <c r="BD261" s="52">
        <v>122.60870235933093</v>
      </c>
      <c r="BE261" s="53">
        <v>433.7384763370905</v>
      </c>
      <c r="BF261" s="54">
        <v>122.60870235933093</v>
      </c>
      <c r="BG261" s="53">
        <v>433.7384763370905</v>
      </c>
      <c r="BH261" s="450">
        <v>634358.33385479508</v>
      </c>
      <c r="BI261" s="347">
        <f t="shared" si="279"/>
        <v>6975.014489427499</v>
      </c>
      <c r="BJ261" s="347">
        <f t="shared" si="247"/>
        <v>641333.34834422253</v>
      </c>
      <c r="BK261" s="45">
        <v>398870.90281097766</v>
      </c>
      <c r="BL261" s="47">
        <v>471.75020258294654</v>
      </c>
      <c r="BM261" s="45">
        <v>235487.43104381743</v>
      </c>
      <c r="BN261" s="55">
        <v>1.5903850829535526</v>
      </c>
      <c r="BO261" s="47">
        <f t="shared" si="280"/>
        <v>1.6078719801934167</v>
      </c>
      <c r="BP261" s="45">
        <v>104540.29041704626</v>
      </c>
      <c r="BQ261" s="55">
        <v>6.0680751060105829</v>
      </c>
      <c r="BR261" s="54">
        <v>148.75676411407372</v>
      </c>
      <c r="BS261" s="53">
        <v>526.23941832921628</v>
      </c>
      <c r="BT261" s="54">
        <v>271.36546647340469</v>
      </c>
      <c r="BU261" s="53">
        <v>959.97789466630684</v>
      </c>
      <c r="BV261" s="450">
        <v>819214.09433010698</v>
      </c>
      <c r="BW261" s="347">
        <f t="shared" si="281"/>
        <v>8462.5362240207214</v>
      </c>
      <c r="BX261" s="347">
        <f t="shared" si="287"/>
        <v>827676.63055412774</v>
      </c>
      <c r="BY261" s="45">
        <v>483935.83538244379</v>
      </c>
      <c r="BZ261" s="47">
        <v>572.35768959312566</v>
      </c>
      <c r="CA261" s="45">
        <v>335278.25894766318</v>
      </c>
      <c r="CB261" s="55">
        <v>1.6928155231213662</v>
      </c>
      <c r="CC261" s="47">
        <f t="shared" si="282"/>
        <v>1.7103024203612307</v>
      </c>
      <c r="CD261" s="45">
        <v>126835.00455301754</v>
      </c>
      <c r="CE261" s="55">
        <v>6.4588959271702651</v>
      </c>
      <c r="CF261" s="52">
        <v>166.81614805372803</v>
      </c>
      <c r="CG261" s="53">
        <v>590.12599018621029</v>
      </c>
      <c r="CH261" s="54">
        <v>438.18161452713275</v>
      </c>
      <c r="CI261" s="53">
        <v>1550.1038848525172</v>
      </c>
      <c r="CJ261" s="450">
        <v>980027.68482424482</v>
      </c>
      <c r="CK261" s="347">
        <f t="shared" si="283"/>
        <v>9489.9059149587865</v>
      </c>
      <c r="CL261" s="347">
        <f t="shared" si="288"/>
        <v>989517.59073920362</v>
      </c>
      <c r="CM261" s="45">
        <v>542686.66332211962</v>
      </c>
      <c r="CN261" s="47">
        <v>641.84311654990779</v>
      </c>
      <c r="CO261" s="45">
        <v>437341.02150212519</v>
      </c>
      <c r="CP261" s="55">
        <v>1.8058812774666162</v>
      </c>
      <c r="CQ261" s="47">
        <f t="shared" si="284"/>
        <v>1.8233681747064805</v>
      </c>
      <c r="CR261" s="45">
        <v>142233.04078923358</v>
      </c>
      <c r="CS261" s="55">
        <v>6.890295527580597</v>
      </c>
    </row>
    <row r="262" spans="1:108" s="23" customFormat="1" ht="15" customHeight="1">
      <c r="A262" s="377" t="str">
        <f t="shared" si="272"/>
        <v>Existing Residential; ENERGY STAR® Windows (300 ft2) (Replace Double Pane); RES-HVAC/Shell; RES-SF</v>
      </c>
      <c r="B262" s="42" t="s">
        <v>176</v>
      </c>
      <c r="C262" s="15" t="s">
        <v>142</v>
      </c>
      <c r="D262" s="15" t="s">
        <v>139</v>
      </c>
      <c r="E262" s="43">
        <v>20</v>
      </c>
      <c r="F262" s="44">
        <v>390.98516042748207</v>
      </c>
      <c r="G262" s="44">
        <v>110.52324332995551</v>
      </c>
      <c r="H262" s="45">
        <v>1094.4000000000001</v>
      </c>
      <c r="I262" s="46">
        <v>0.68530701754385959</v>
      </c>
      <c r="J262" s="45">
        <v>14.466450935816836</v>
      </c>
      <c r="K262" s="45">
        <v>764.46645093581685</v>
      </c>
      <c r="L262" s="45">
        <v>344.40000000000009</v>
      </c>
      <c r="M262" s="45">
        <v>1108.8664509358168</v>
      </c>
      <c r="N262" s="45">
        <v>571.83005073769107</v>
      </c>
      <c r="O262" s="47">
        <v>0.73</v>
      </c>
      <c r="P262" s="47">
        <v>0.51321243703744746</v>
      </c>
      <c r="Q262" s="310">
        <f t="shared" si="273"/>
        <v>0.51321243703744746</v>
      </c>
      <c r="R262" s="311">
        <f t="shared" si="274"/>
        <v>3.725568</v>
      </c>
      <c r="S262" s="311">
        <f t="shared" si="275"/>
        <v>16.528401827175156</v>
      </c>
      <c r="T262" s="310">
        <f t="shared" si="276"/>
        <v>0.53139019667298593</v>
      </c>
      <c r="U262" s="316">
        <f t="shared" si="277"/>
        <v>3.5419561810447898E-2</v>
      </c>
      <c r="V262" s="48">
        <v>1.9552313701624646</v>
      </c>
      <c r="W262" s="48">
        <v>6.9167934988442452</v>
      </c>
      <c r="X262" s="48">
        <v>7.94</v>
      </c>
      <c r="Y262" s="48" t="s">
        <v>582</v>
      </c>
      <c r="Z262" s="246" t="s">
        <v>482</v>
      </c>
      <c r="AA262" s="246"/>
      <c r="AB262" s="397">
        <f>AG262</f>
        <v>3.725568</v>
      </c>
      <c r="AC262" s="396">
        <f>AD262+AE262</f>
        <v>1.5372000000000001</v>
      </c>
      <c r="AD262" s="372">
        <f>0.68*Z3</f>
        <v>0.85680000000000012</v>
      </c>
      <c r="AE262" s="297">
        <f>0.54*Z3</f>
        <v>0.6804</v>
      </c>
      <c r="AF262" s="297">
        <v>0</v>
      </c>
      <c r="AG262" s="374">
        <f>(6.72*0.44)*Z3</f>
        <v>3.725568</v>
      </c>
      <c r="AH262" s="297">
        <v>0</v>
      </c>
      <c r="AI262" s="297">
        <v>0</v>
      </c>
      <c r="AJ262" s="297">
        <v>0</v>
      </c>
      <c r="AK262" s="297">
        <v>0</v>
      </c>
      <c r="AL262" s="297">
        <f>AD262+AE262</f>
        <v>1.5372000000000001</v>
      </c>
      <c r="AM262" s="297"/>
      <c r="AN262" s="297"/>
      <c r="AO262" s="297" t="s">
        <v>638</v>
      </c>
      <c r="AP262" s="300" t="s">
        <v>370</v>
      </c>
      <c r="AQ262" s="136"/>
      <c r="AR262" s="294" t="s">
        <v>594</v>
      </c>
      <c r="AS262" s="142">
        <v>7.94</v>
      </c>
      <c r="AT262" s="61" t="s">
        <v>225</v>
      </c>
      <c r="AU262" s="146"/>
      <c r="AV262" s="48"/>
      <c r="AW262" s="131" t="s">
        <v>284</v>
      </c>
      <c r="AX262" s="131"/>
      <c r="AY262" s="131"/>
      <c r="AZ262" s="48"/>
      <c r="BA262" s="48"/>
      <c r="BB262" s="50"/>
      <c r="BC262" s="51" t="s">
        <v>176</v>
      </c>
      <c r="BD262" s="52">
        <v>17.005877820711127</v>
      </c>
      <c r="BE262" s="53">
        <v>60.159706389459394</v>
      </c>
      <c r="BF262" s="54">
        <v>17.005877820711127</v>
      </c>
      <c r="BG262" s="53">
        <v>60.159706389459394</v>
      </c>
      <c r="BH262" s="450">
        <v>87985.763754912914</v>
      </c>
      <c r="BI262" s="347">
        <f t="shared" si="279"/>
        <v>3116.4171977565961</v>
      </c>
      <c r="BJ262" s="347">
        <f t="shared" si="247"/>
        <v>91102.180952669514</v>
      </c>
      <c r="BK262" s="45">
        <v>171441.21499240451</v>
      </c>
      <c r="BL262" s="47">
        <v>210.77668678725894</v>
      </c>
      <c r="BM262" s="45">
        <v>-83455.451237491594</v>
      </c>
      <c r="BN262" s="55">
        <v>0.51321243703744757</v>
      </c>
      <c r="BO262" s="47">
        <f t="shared" si="280"/>
        <v>0.53139019667298604</v>
      </c>
      <c r="BP262" s="45">
        <v>161131.70568826614</v>
      </c>
      <c r="BQ262" s="55">
        <v>0.54604873310988711</v>
      </c>
      <c r="BR262" s="54">
        <v>46.977161075147393</v>
      </c>
      <c r="BS262" s="53">
        <v>166.18561223868821</v>
      </c>
      <c r="BT262" s="54">
        <v>63.98303889585852</v>
      </c>
      <c r="BU262" s="53">
        <v>226.3453186281476</v>
      </c>
      <c r="BV262" s="450">
        <v>258706.57172177263</v>
      </c>
      <c r="BW262" s="347">
        <f t="shared" si="281"/>
        <v>8608.8136243148147</v>
      </c>
      <c r="BX262" s="347">
        <f t="shared" si="287"/>
        <v>267315.38534608745</v>
      </c>
      <c r="BY262" s="45">
        <v>473590.46422223322</v>
      </c>
      <c r="BZ262" s="47">
        <v>582.25105875051497</v>
      </c>
      <c r="CA262" s="45">
        <v>-214883.89250046058</v>
      </c>
      <c r="CB262" s="55">
        <v>0.5462664290478072</v>
      </c>
      <c r="CC262" s="47">
        <f t="shared" si="282"/>
        <v>0.56444418868334567</v>
      </c>
      <c r="CD262" s="45">
        <v>445111.40043662797</v>
      </c>
      <c r="CE262" s="55">
        <v>0.58121758163910608</v>
      </c>
      <c r="CF262" s="52">
        <v>95.334523620594027</v>
      </c>
      <c r="CG262" s="53">
        <v>337.25380190659791</v>
      </c>
      <c r="CH262" s="54">
        <v>159.31756251645254</v>
      </c>
      <c r="CI262" s="53">
        <v>563.59912053474545</v>
      </c>
      <c r="CJ262" s="450">
        <v>560080.50514163054</v>
      </c>
      <c r="CK262" s="347">
        <f t="shared" si="283"/>
        <v>17470.556479555366</v>
      </c>
      <c r="CL262" s="347">
        <f t="shared" si="288"/>
        <v>577551.06162118586</v>
      </c>
      <c r="CM262" s="45">
        <v>961095.14207678032</v>
      </c>
      <c r="CN262" s="47">
        <v>1181.608808262637</v>
      </c>
      <c r="CO262" s="45">
        <v>-401014.63693514979</v>
      </c>
      <c r="CP262" s="55">
        <v>0.58275240464891109</v>
      </c>
      <c r="CQ262" s="47">
        <f t="shared" si="284"/>
        <v>0.60093016428444945</v>
      </c>
      <c r="CR262" s="45">
        <v>903300.29204703821</v>
      </c>
      <c r="CS262" s="55">
        <v>0.62003799851806651</v>
      </c>
    </row>
    <row r="263" spans="1:108" s="23" customFormat="1" ht="15" customHeight="1">
      <c r="A263" s="377" t="str">
        <f t="shared" si="272"/>
        <v>Existing Residential; ENERGY STAR® Door; RES-HVAC/Shell; RES-SF</v>
      </c>
      <c r="B263" s="42" t="s">
        <v>177</v>
      </c>
      <c r="C263" s="15" t="s">
        <v>142</v>
      </c>
      <c r="D263" s="15" t="s">
        <v>139</v>
      </c>
      <c r="E263" s="43">
        <v>25</v>
      </c>
      <c r="F263" s="44">
        <v>137.41439960039176</v>
      </c>
      <c r="G263" s="44">
        <v>38.844147198498952</v>
      </c>
      <c r="H263" s="45">
        <v>600</v>
      </c>
      <c r="I263" s="46">
        <v>0.83333333333333337</v>
      </c>
      <c r="J263" s="45">
        <v>5.0843327852144951</v>
      </c>
      <c r="K263" s="45">
        <v>505.08433278521449</v>
      </c>
      <c r="L263" s="45">
        <v>100</v>
      </c>
      <c r="M263" s="45">
        <v>605.08433278521443</v>
      </c>
      <c r="N263" s="45">
        <v>235.53009829683356</v>
      </c>
      <c r="O263" s="47">
        <v>0.73</v>
      </c>
      <c r="P263" s="47">
        <v>0.38804570379615538</v>
      </c>
      <c r="Q263" s="310">
        <f t="shared" si="273"/>
        <v>0.38804570379615538</v>
      </c>
      <c r="R263" s="311">
        <f t="shared" si="274"/>
        <v>0</v>
      </c>
      <c r="S263" s="311">
        <f t="shared" si="275"/>
        <v>0</v>
      </c>
      <c r="T263" s="310">
        <f t="shared" si="276"/>
        <v>0.38804570379615538</v>
      </c>
      <c r="U263" s="316">
        <f t="shared" si="277"/>
        <v>0</v>
      </c>
      <c r="V263" s="48">
        <v>3.6756288587951924</v>
      </c>
      <c r="W263" s="49">
        <v>13.002842621416397</v>
      </c>
      <c r="X263" s="48"/>
      <c r="Y263" s="48" t="s">
        <v>515</v>
      </c>
      <c r="Z263" s="246"/>
      <c r="AA263" s="246"/>
      <c r="AB263" s="397">
        <v>0</v>
      </c>
      <c r="AC263" s="396">
        <v>0</v>
      </c>
      <c r="AD263" s="297"/>
      <c r="AE263" s="297"/>
      <c r="AF263" s="297"/>
      <c r="AG263" s="374"/>
      <c r="AH263" s="297"/>
      <c r="AI263" s="297"/>
      <c r="AJ263" s="297"/>
      <c r="AK263" s="297"/>
      <c r="AL263" s="297"/>
      <c r="AM263" s="297"/>
      <c r="AN263" s="297"/>
      <c r="AO263" s="294" t="s">
        <v>610</v>
      </c>
      <c r="AP263" s="300" t="s">
        <v>379</v>
      </c>
      <c r="AQ263" s="136"/>
      <c r="AR263" s="294"/>
      <c r="AS263" s="142"/>
      <c r="AT263" s="61" t="s">
        <v>222</v>
      </c>
      <c r="AU263" s="146"/>
      <c r="AV263" s="48"/>
      <c r="AW263" s="131" t="s">
        <v>284</v>
      </c>
      <c r="AX263" s="131"/>
      <c r="AY263" s="131"/>
      <c r="AZ263" s="48"/>
      <c r="BA263" s="48"/>
      <c r="BB263" s="50"/>
      <c r="BC263" s="51" t="s">
        <v>177</v>
      </c>
      <c r="BD263" s="52">
        <v>11.216835532910796</v>
      </c>
      <c r="BE263" s="53">
        <v>39.680488087297739</v>
      </c>
      <c r="BF263" s="54">
        <v>11.216835532910796</v>
      </c>
      <c r="BG263" s="53">
        <v>39.680488087297739</v>
      </c>
      <c r="BH263" s="450">
        <v>68012.881378123959</v>
      </c>
      <c r="BI263" s="347">
        <f t="shared" si="279"/>
        <v>0</v>
      </c>
      <c r="BJ263" s="347">
        <f t="shared" ref="BJ263:BJ284" si="292">BH263+BI263</f>
        <v>68012.881378123959</v>
      </c>
      <c r="BK263" s="45">
        <v>175270.2857234875</v>
      </c>
      <c r="BL263" s="47">
        <v>395.56868242608329</v>
      </c>
      <c r="BM263" s="45">
        <v>-107257.40434536354</v>
      </c>
      <c r="BN263" s="55">
        <v>0.38804570379615544</v>
      </c>
      <c r="BO263" s="47">
        <f t="shared" si="280"/>
        <v>0.38804570379615544</v>
      </c>
      <c r="BP263" s="45">
        <v>199795.54403390468</v>
      </c>
      <c r="BQ263" s="55">
        <v>0.34041240362488956</v>
      </c>
      <c r="BR263" s="54">
        <v>35.225449084010158</v>
      </c>
      <c r="BS263" s="53">
        <v>124.6129542192775</v>
      </c>
      <c r="BT263" s="54">
        <v>46.442284616920951</v>
      </c>
      <c r="BU263" s="53">
        <v>164.29344230657523</v>
      </c>
      <c r="BV263" s="450">
        <v>225771.54236423172</v>
      </c>
      <c r="BW263" s="347">
        <f t="shared" si="281"/>
        <v>0</v>
      </c>
      <c r="BX263" s="347">
        <f t="shared" si="287"/>
        <v>225771.54236423172</v>
      </c>
      <c r="BY263" s="45">
        <v>550420.34873185481</v>
      </c>
      <c r="BZ263" s="47">
        <v>1242.2473737040746</v>
      </c>
      <c r="CA263" s="45">
        <v>-324648.8063676231</v>
      </c>
      <c r="CB263" s="55">
        <v>0.4101802247762093</v>
      </c>
      <c r="CC263" s="47">
        <f t="shared" si="282"/>
        <v>0.4101802247762093</v>
      </c>
      <c r="CD263" s="45">
        <v>627439.6859015075</v>
      </c>
      <c r="CE263" s="55">
        <v>0.35982987279461354</v>
      </c>
      <c r="CF263" s="52">
        <v>81.450947158137154</v>
      </c>
      <c r="CG263" s="53">
        <v>288.13949611052766</v>
      </c>
      <c r="CH263" s="54">
        <v>127.8932317750581</v>
      </c>
      <c r="CI263" s="53">
        <v>452.43293841710289</v>
      </c>
      <c r="CJ263" s="450">
        <v>552533.82783946465</v>
      </c>
      <c r="CK263" s="347">
        <f t="shared" si="283"/>
        <v>0</v>
      </c>
      <c r="CL263" s="347">
        <f t="shared" si="288"/>
        <v>552533.82783946465</v>
      </c>
      <c r="CM263" s="45">
        <v>1272723.5537125452</v>
      </c>
      <c r="CN263" s="47">
        <v>2872.4183175519752</v>
      </c>
      <c r="CO263" s="45">
        <v>-720189.72587308055</v>
      </c>
      <c r="CP263" s="55">
        <v>0.4341349904523405</v>
      </c>
      <c r="CQ263" s="47">
        <f t="shared" si="284"/>
        <v>0.4341349904523405</v>
      </c>
      <c r="CR263" s="45">
        <v>1450813.4894007677</v>
      </c>
      <c r="CS263" s="55">
        <v>0.38084414838717745</v>
      </c>
    </row>
    <row r="264" spans="1:108" s="23" customFormat="1" ht="15" customHeight="1">
      <c r="A264" s="377" t="str">
        <f t="shared" si="272"/>
        <v>Existing Residential; Embertec Power Strip; RES-Plug Load; RES-SF</v>
      </c>
      <c r="B264" s="42" t="s">
        <v>178</v>
      </c>
      <c r="C264" s="15" t="s">
        <v>149</v>
      </c>
      <c r="D264" s="15" t="s">
        <v>139</v>
      </c>
      <c r="E264" s="43">
        <v>15</v>
      </c>
      <c r="F264" s="44">
        <v>459.90899999999999</v>
      </c>
      <c r="G264" s="104">
        <v>-2.615210864869694E-7</v>
      </c>
      <c r="H264" s="45">
        <v>50</v>
      </c>
      <c r="I264" s="46">
        <v>1</v>
      </c>
      <c r="J264" s="45">
        <v>17.016632999999999</v>
      </c>
      <c r="K264" s="45">
        <v>67.016632999999999</v>
      </c>
      <c r="L264" s="45">
        <v>0</v>
      </c>
      <c r="M264" s="45">
        <v>67.016632999999999</v>
      </c>
      <c r="N264" s="45">
        <v>335.74539322490313</v>
      </c>
      <c r="O264" s="47">
        <v>0.91</v>
      </c>
      <c r="P264" s="47">
        <v>4.8871523172826956</v>
      </c>
      <c r="Q264" s="310">
        <f t="shared" si="273"/>
        <v>4.8871523172826956</v>
      </c>
      <c r="R264" s="311">
        <f t="shared" si="274"/>
        <v>0</v>
      </c>
      <c r="S264" s="311">
        <f t="shared" si="275"/>
        <v>0</v>
      </c>
      <c r="T264" s="310">
        <f t="shared" si="276"/>
        <v>4.8871523172826956</v>
      </c>
      <c r="U264" s="316">
        <f t="shared" si="277"/>
        <v>0</v>
      </c>
      <c r="V264" s="48">
        <v>0.1457171592641153</v>
      </c>
      <c r="W264" s="49">
        <v>-256257091.54179114</v>
      </c>
      <c r="X264" s="48" t="s">
        <v>40</v>
      </c>
      <c r="Y264" s="48" t="s">
        <v>583</v>
      </c>
      <c r="Z264" s="246" t="s">
        <v>40</v>
      </c>
      <c r="AA264" s="246"/>
      <c r="AB264" s="397">
        <v>0</v>
      </c>
      <c r="AC264" s="396">
        <v>0</v>
      </c>
      <c r="AD264" s="297"/>
      <c r="AE264" s="297"/>
      <c r="AF264" s="297"/>
      <c r="AG264" s="374"/>
      <c r="AH264" s="297"/>
      <c r="AI264" s="297"/>
      <c r="AJ264" s="297"/>
      <c r="AK264" s="297"/>
      <c r="AL264" s="297"/>
      <c r="AM264" s="297"/>
      <c r="AN264" s="297"/>
      <c r="AO264" s="294" t="s">
        <v>632</v>
      </c>
      <c r="AP264" s="300"/>
      <c r="AQ264" s="136" t="s">
        <v>40</v>
      </c>
      <c r="AR264" s="294"/>
      <c r="AS264" s="142"/>
      <c r="AT264" s="142"/>
      <c r="AU264" s="146"/>
      <c r="AV264" s="48"/>
      <c r="AW264" s="131" t="s">
        <v>284</v>
      </c>
      <c r="AX264" s="131"/>
      <c r="AY264" s="131"/>
      <c r="AZ264" s="48"/>
      <c r="BA264" s="48"/>
      <c r="BB264" s="50"/>
      <c r="BC264" s="51" t="s">
        <v>178</v>
      </c>
      <c r="BD264" s="58">
        <v>-4.8801507304461332E-6</v>
      </c>
      <c r="BE264" s="53">
        <v>8582.1960761874616</v>
      </c>
      <c r="BF264" s="105">
        <v>-4.8801507304461332E-6</v>
      </c>
      <c r="BG264" s="53">
        <v>8582.1960761874616</v>
      </c>
      <c r="BH264" s="450">
        <v>6265223.764555119</v>
      </c>
      <c r="BI264" s="347">
        <f t="shared" si="279"/>
        <v>0</v>
      </c>
      <c r="BJ264" s="347">
        <f t="shared" si="292"/>
        <v>6265223.764555119</v>
      </c>
      <c r="BK264" s="45">
        <v>1281978.4115177004</v>
      </c>
      <c r="BL264" s="47">
        <v>20506.197311005224</v>
      </c>
      <c r="BM264" s="45">
        <v>4983245.3530374188</v>
      </c>
      <c r="BN264" s="55">
        <v>4.8871523172826956</v>
      </c>
      <c r="BO264" s="47">
        <f t="shared" si="280"/>
        <v>4.8871523172826956</v>
      </c>
      <c r="BP264" s="45">
        <v>1374256.299417224</v>
      </c>
      <c r="BQ264" s="55">
        <v>4.558992210704794</v>
      </c>
      <c r="BR264" s="105">
        <v>-5.234544476136222E-6</v>
      </c>
      <c r="BS264" s="53">
        <v>9205.4302305572819</v>
      </c>
      <c r="BT264" s="105">
        <v>-1.0114695206582355E-5</v>
      </c>
      <c r="BU264" s="53">
        <v>17787.626306744743</v>
      </c>
      <c r="BV264" s="450">
        <v>7004526.4786549285</v>
      </c>
      <c r="BW264" s="347">
        <f t="shared" si="281"/>
        <v>0</v>
      </c>
      <c r="BX264" s="347">
        <f t="shared" si="287"/>
        <v>7004526.4786549285</v>
      </c>
      <c r="BY264" s="45">
        <v>1375074.9481302188</v>
      </c>
      <c r="BZ264" s="47">
        <v>21995.345592751593</v>
      </c>
      <c r="CA264" s="45">
        <v>5629451.5305247102</v>
      </c>
      <c r="CB264" s="55">
        <v>5.093923417177697</v>
      </c>
      <c r="CC264" s="47">
        <f t="shared" si="282"/>
        <v>5.093923417177697</v>
      </c>
      <c r="CD264" s="45">
        <v>1474054.0032976009</v>
      </c>
      <c r="CE264" s="55">
        <v>4.7518791462084344</v>
      </c>
      <c r="CF264" s="58">
        <v>-5.053054751759807E-6</v>
      </c>
      <c r="CG264" s="53">
        <v>8886.2637772151284</v>
      </c>
      <c r="CH264" s="105">
        <v>-1.5167749958342163E-5</v>
      </c>
      <c r="CI264" s="53">
        <v>26673.890083959872</v>
      </c>
      <c r="CJ264" s="450">
        <v>7091110.7205297258</v>
      </c>
      <c r="CK264" s="347">
        <f t="shared" si="283"/>
        <v>0</v>
      </c>
      <c r="CL264" s="347">
        <f t="shared" si="288"/>
        <v>7091110.7205297258</v>
      </c>
      <c r="CM264" s="45">
        <v>1327398.9804369849</v>
      </c>
      <c r="CN264" s="47">
        <v>21232.733062207382</v>
      </c>
      <c r="CO264" s="45">
        <v>5763711.7400927413</v>
      </c>
      <c r="CP264" s="55">
        <v>5.3421095126917342</v>
      </c>
      <c r="CQ264" s="47">
        <f t="shared" si="284"/>
        <v>5.3421095126917342</v>
      </c>
      <c r="CR264" s="45">
        <v>1422946.2792169182</v>
      </c>
      <c r="CS264" s="55">
        <v>4.9834001635199723</v>
      </c>
    </row>
    <row r="265" spans="1:108" s="23" customFormat="1" ht="15" customHeight="1">
      <c r="A265" s="377" t="str">
        <f t="shared" si="272"/>
        <v>Existing Residential; ENERGY STAR® Refrigerator (Replacement); RES-Appliance; MURB</v>
      </c>
      <c r="B265" s="42" t="s">
        <v>179</v>
      </c>
      <c r="C265" s="15" t="s">
        <v>138</v>
      </c>
      <c r="D265" s="15" t="s">
        <v>158</v>
      </c>
      <c r="E265" s="43">
        <v>10</v>
      </c>
      <c r="F265" s="44">
        <v>830.74560000000008</v>
      </c>
      <c r="G265" s="44">
        <v>114.96062961511747</v>
      </c>
      <c r="H265" s="45">
        <v>500</v>
      </c>
      <c r="I265" s="46">
        <v>0.5</v>
      </c>
      <c r="J265" s="45">
        <v>30.7375872</v>
      </c>
      <c r="K265" s="45">
        <v>280.73758720000001</v>
      </c>
      <c r="L265" s="45">
        <v>250</v>
      </c>
      <c r="M265" s="45">
        <v>530.73758720000001</v>
      </c>
      <c r="N265" s="45">
        <v>550.62815105412301</v>
      </c>
      <c r="O265" s="47">
        <v>0.83</v>
      </c>
      <c r="P265" s="47">
        <v>1.0253148455480356</v>
      </c>
      <c r="Q265" s="310">
        <f t="shared" si="273"/>
        <v>1.0253148455480356</v>
      </c>
      <c r="R265" s="311">
        <f t="shared" si="274"/>
        <v>0.80429268292682921</v>
      </c>
      <c r="S265" s="311">
        <f t="shared" si="275"/>
        <v>0</v>
      </c>
      <c r="T265" s="310">
        <f t="shared" si="276"/>
        <v>1.0268125045877921</v>
      </c>
      <c r="U265" s="316">
        <f t="shared" si="277"/>
        <v>1.4606820980495011E-3</v>
      </c>
      <c r="V265" s="48">
        <v>0.33793448584018981</v>
      </c>
      <c r="W265" s="49">
        <v>2.4420324431059193</v>
      </c>
      <c r="X265" s="224">
        <v>1.44</v>
      </c>
      <c r="Y265" s="224" t="s">
        <v>584</v>
      </c>
      <c r="Z265" s="224">
        <f>X265*Z3</f>
        <v>1.8144</v>
      </c>
      <c r="AA265" s="224"/>
      <c r="AB265" s="397">
        <f>(1.44*Z3)*Adaptation!J31</f>
        <v>0.80429268292682921</v>
      </c>
      <c r="AC265" s="396">
        <v>0</v>
      </c>
      <c r="AD265" s="297">
        <v>0</v>
      </c>
      <c r="AE265" s="297">
        <v>0</v>
      </c>
      <c r="AF265" s="297">
        <v>0</v>
      </c>
      <c r="AG265" s="374">
        <f>AB265</f>
        <v>0.80429268292682921</v>
      </c>
      <c r="AH265" s="297">
        <v>0</v>
      </c>
      <c r="AI265" s="297">
        <v>0</v>
      </c>
      <c r="AJ265" s="297">
        <v>0</v>
      </c>
      <c r="AK265" s="297">
        <v>0</v>
      </c>
      <c r="AL265" s="297">
        <v>0</v>
      </c>
      <c r="AM265" s="297"/>
      <c r="AN265" s="297"/>
      <c r="AO265" s="294" t="s">
        <v>629</v>
      </c>
      <c r="AP265" s="300" t="s">
        <v>353</v>
      </c>
      <c r="AQ265" s="136">
        <v>1.44</v>
      </c>
      <c r="AR265" s="294" t="s">
        <v>594</v>
      </c>
      <c r="AS265" s="142"/>
      <c r="AT265" s="142"/>
      <c r="AU265" s="146">
        <v>172.53</v>
      </c>
      <c r="AV265" s="48" t="s">
        <v>205</v>
      </c>
      <c r="AW265" s="131" t="s">
        <v>284</v>
      </c>
      <c r="AX265" s="131"/>
      <c r="AY265" s="131"/>
      <c r="AZ265" s="48"/>
      <c r="BA265" s="48"/>
      <c r="BB265" s="50"/>
      <c r="BC265" s="51" t="s">
        <v>179</v>
      </c>
      <c r="BD265" s="52">
        <v>177.42619925795964</v>
      </c>
      <c r="BE265" s="53">
        <v>1282.1435899555172</v>
      </c>
      <c r="BF265" s="54">
        <v>177.42619925795964</v>
      </c>
      <c r="BG265" s="53">
        <v>1282.1435899555172</v>
      </c>
      <c r="BH265" s="450">
        <v>849820.15471776435</v>
      </c>
      <c r="BI265" s="347">
        <f t="shared" si="279"/>
        <v>1241.3170865578575</v>
      </c>
      <c r="BJ265" s="347">
        <f t="shared" si="292"/>
        <v>851061.47180432221</v>
      </c>
      <c r="BK265" s="45">
        <v>828838.24262149585</v>
      </c>
      <c r="BL265" s="47">
        <v>1859.4757687544998</v>
      </c>
      <c r="BM265" s="45">
        <v>20981.912096268497</v>
      </c>
      <c r="BN265" s="55">
        <v>1.0253148455480356</v>
      </c>
      <c r="BO265" s="47">
        <f t="shared" si="280"/>
        <v>1.0268125045877921</v>
      </c>
      <c r="BP265" s="45">
        <v>522024.7407770034</v>
      </c>
      <c r="BQ265" s="55">
        <v>1.6279308016184377</v>
      </c>
      <c r="BR265" s="54">
        <v>186.71085713602227</v>
      </c>
      <c r="BS265" s="53">
        <v>1349.2377656357412</v>
      </c>
      <c r="BT265" s="54">
        <v>364.13705639398194</v>
      </c>
      <c r="BU265" s="53">
        <v>2631.3813555912584</v>
      </c>
      <c r="BV265" s="450">
        <v>956257.25131921784</v>
      </c>
      <c r="BW265" s="347">
        <f t="shared" si="281"/>
        <v>1340.9546865848074</v>
      </c>
      <c r="BX265" s="347">
        <f t="shared" si="287"/>
        <v>957598.20600580261</v>
      </c>
      <c r="BY265" s="45">
        <v>893770.32076434768</v>
      </c>
      <c r="BZ265" s="47">
        <v>2008.7315108314303</v>
      </c>
      <c r="CA265" s="45">
        <v>62486.930554870167</v>
      </c>
      <c r="CB265" s="55">
        <v>1.0699138571768994</v>
      </c>
      <c r="CC265" s="47">
        <f t="shared" si="282"/>
        <v>1.0714141919446034</v>
      </c>
      <c r="CD265" s="45">
        <v>562329.62147716177</v>
      </c>
      <c r="CE265" s="55">
        <v>1.7005279729125116</v>
      </c>
      <c r="CF265" s="52">
        <v>169.8857318142895</v>
      </c>
      <c r="CG265" s="53">
        <v>1227.6535426084863</v>
      </c>
      <c r="CH265" s="54">
        <v>534.02278820827144</v>
      </c>
      <c r="CI265" s="53">
        <v>3859.0348981997449</v>
      </c>
      <c r="CJ265" s="450">
        <v>934293.5038512639</v>
      </c>
      <c r="CK265" s="347">
        <f t="shared" si="283"/>
        <v>1253.3927937500071</v>
      </c>
      <c r="CL265" s="347">
        <f t="shared" si="288"/>
        <v>935546.89664501394</v>
      </c>
      <c r="CM265" s="45">
        <v>833916.20356372732</v>
      </c>
      <c r="CN265" s="47">
        <v>1877.565010542545</v>
      </c>
      <c r="CO265" s="45">
        <v>100377.30028753658</v>
      </c>
      <c r="CP265" s="55">
        <v>1.120368569238223</v>
      </c>
      <c r="CQ265" s="47">
        <f t="shared" si="284"/>
        <v>1.1218715893119351</v>
      </c>
      <c r="CR265" s="45">
        <v>524117.97682420735</v>
      </c>
      <c r="CS265" s="55">
        <v>1.7826015232532888</v>
      </c>
    </row>
    <row r="266" spans="1:108" s="23" customFormat="1" ht="15" customHeight="1">
      <c r="A266" s="377" t="str">
        <f t="shared" si="272"/>
        <v>Existing Residential; Advanced Power Strip (load sensing or remote control/wireless APS); RES-Plug Load; MURB</v>
      </c>
      <c r="B266" s="42" t="s">
        <v>152</v>
      </c>
      <c r="C266" s="15" t="s">
        <v>149</v>
      </c>
      <c r="D266" s="15" t="s">
        <v>158</v>
      </c>
      <c r="E266" s="43">
        <v>10</v>
      </c>
      <c r="F266" s="44">
        <v>459.30204020491738</v>
      </c>
      <c r="G266" s="104">
        <v>-2.6117594693748481E-7</v>
      </c>
      <c r="H266" s="45">
        <v>28</v>
      </c>
      <c r="I266" s="46">
        <v>0.7142857142857143</v>
      </c>
      <c r="J266" s="45">
        <v>16.994175487581941</v>
      </c>
      <c r="K266" s="45">
        <v>36.994175487581941</v>
      </c>
      <c r="L266" s="45">
        <v>8</v>
      </c>
      <c r="M266" s="45">
        <v>44.994175487581941</v>
      </c>
      <c r="N266" s="45">
        <v>233.39162846652985</v>
      </c>
      <c r="O266" s="47">
        <v>0.83</v>
      </c>
      <c r="P266" s="47">
        <v>4.8146892356973705</v>
      </c>
      <c r="Q266" s="310">
        <f t="shared" si="273"/>
        <v>4.8146892356973705</v>
      </c>
      <c r="R266" s="311">
        <f t="shared" si="274"/>
        <v>0</v>
      </c>
      <c r="S266" s="311">
        <f t="shared" si="275"/>
        <v>0</v>
      </c>
      <c r="T266" s="310">
        <f t="shared" si="276"/>
        <v>4.8146892356973705</v>
      </c>
      <c r="U266" s="316">
        <f t="shared" si="277"/>
        <v>0</v>
      </c>
      <c r="V266" s="48">
        <v>8.0544330852693385E-2</v>
      </c>
      <c r="W266" s="49">
        <v>-141644649.59875068</v>
      </c>
      <c r="X266" s="48" t="s">
        <v>40</v>
      </c>
      <c r="Y266" s="48" t="s">
        <v>583</v>
      </c>
      <c r="Z266" s="246" t="s">
        <v>40</v>
      </c>
      <c r="AA266" s="246"/>
      <c r="AB266" s="397">
        <v>0</v>
      </c>
      <c r="AC266" s="397">
        <v>0</v>
      </c>
      <c r="AD266" s="298"/>
      <c r="AE266" s="298"/>
      <c r="AF266" s="298"/>
      <c r="AG266" s="368"/>
      <c r="AH266" s="298"/>
      <c r="AI266" s="298"/>
      <c r="AJ266" s="298"/>
      <c r="AK266" s="298"/>
      <c r="AL266" s="298"/>
      <c r="AM266" s="298"/>
      <c r="AN266" s="298"/>
      <c r="AO266" s="294" t="s">
        <v>610</v>
      </c>
      <c r="AP266" s="300" t="s">
        <v>428</v>
      </c>
      <c r="AQ266" s="136" t="s">
        <v>40</v>
      </c>
      <c r="AR266" s="289" t="s">
        <v>589</v>
      </c>
      <c r="AS266" s="142"/>
      <c r="AT266" s="142"/>
      <c r="AU266" s="146"/>
      <c r="AV266" s="48"/>
      <c r="AW266" s="131" t="s">
        <v>284</v>
      </c>
      <c r="AX266" s="131"/>
      <c r="AY266" s="131"/>
      <c r="AZ266" s="48"/>
      <c r="BA266" s="48"/>
      <c r="BB266" s="50"/>
      <c r="BC266" s="51" t="s">
        <v>152</v>
      </c>
      <c r="BD266" s="58">
        <v>-5.5797400573990714E-7</v>
      </c>
      <c r="BE266" s="53">
        <v>981.24885627003232</v>
      </c>
      <c r="BF266" s="105">
        <v>-5.5797400573990714E-7</v>
      </c>
      <c r="BG266" s="53">
        <v>981.24885627003232</v>
      </c>
      <c r="BH266" s="450">
        <v>498615.8310849386</v>
      </c>
      <c r="BI266" s="347">
        <f t="shared" si="279"/>
        <v>0</v>
      </c>
      <c r="BJ266" s="347">
        <f t="shared" si="292"/>
        <v>498615.8310849386</v>
      </c>
      <c r="BK266" s="45">
        <v>103561.37367871427</v>
      </c>
      <c r="BL266" s="47">
        <v>2573.9653521836908</v>
      </c>
      <c r="BM266" s="45">
        <v>395054.45740622433</v>
      </c>
      <c r="BN266" s="55">
        <v>4.8146892356973705</v>
      </c>
      <c r="BO266" s="47">
        <f t="shared" si="280"/>
        <v>4.8146892356973705</v>
      </c>
      <c r="BP266" s="45">
        <v>95221.72593763913</v>
      </c>
      <c r="BQ266" s="55">
        <v>5.2363662407409306</v>
      </c>
      <c r="BR266" s="105">
        <v>-6.1938207407430092E-7</v>
      </c>
      <c r="BS266" s="53">
        <v>1089.2406196837635</v>
      </c>
      <c r="BT266" s="105">
        <v>-1.1773560798142081E-6</v>
      </c>
      <c r="BU266" s="53">
        <v>2070.4894759537956</v>
      </c>
      <c r="BV266" s="450">
        <v>575202.54562908516</v>
      </c>
      <c r="BW266" s="347">
        <f t="shared" si="281"/>
        <v>0</v>
      </c>
      <c r="BX266" s="347">
        <f t="shared" si="287"/>
        <v>575202.54562908516</v>
      </c>
      <c r="BY266" s="45">
        <v>114958.86504255135</v>
      </c>
      <c r="BZ266" s="47">
        <v>2857.2442121507565</v>
      </c>
      <c r="CA266" s="45">
        <v>460243.6805865338</v>
      </c>
      <c r="CB266" s="55">
        <v>5.0035510129312541</v>
      </c>
      <c r="CC266" s="47">
        <f t="shared" si="282"/>
        <v>5.0035510129312541</v>
      </c>
      <c r="CD266" s="45">
        <v>105701.3937951829</v>
      </c>
      <c r="CE266" s="55">
        <v>5.4417687882494006</v>
      </c>
      <c r="CF266" s="58">
        <v>-5.9725012638240966E-7</v>
      </c>
      <c r="CG266" s="53">
        <v>1050.3195442639533</v>
      </c>
      <c r="CH266" s="105">
        <v>-1.7746062061966177E-6</v>
      </c>
      <c r="CI266" s="53">
        <v>3120.8090202177491</v>
      </c>
      <c r="CJ266" s="450">
        <v>580724.05837872415</v>
      </c>
      <c r="CK266" s="347">
        <f t="shared" si="283"/>
        <v>0</v>
      </c>
      <c r="CL266" s="347">
        <f t="shared" si="288"/>
        <v>580724.05837872415</v>
      </c>
      <c r="CM266" s="45">
        <v>110851.12009103097</v>
      </c>
      <c r="CN266" s="47">
        <v>2755.1482973782963</v>
      </c>
      <c r="CO266" s="45">
        <v>469872.93828769319</v>
      </c>
      <c r="CP266" s="55">
        <v>5.2387748351287149</v>
      </c>
      <c r="CQ266" s="47">
        <f t="shared" si="284"/>
        <v>5.2387748351287149</v>
      </c>
      <c r="CR266" s="45">
        <v>101924.4396075253</v>
      </c>
      <c r="CS266" s="55">
        <v>5.6975938314194865</v>
      </c>
    </row>
    <row r="267" spans="1:108" s="23" customFormat="1" ht="15" customHeight="1" thickBot="1">
      <c r="A267" s="377" t="str">
        <f t="shared" si="272"/>
        <v>Existing Residential; Building Envelope Retrofits (Insulation, Draft Proofing, EnergyStar Windows and Doors); RES-HVAC/Shell; RES-SF</v>
      </c>
      <c r="B267" s="150" t="s">
        <v>180</v>
      </c>
      <c r="C267" s="16" t="s">
        <v>142</v>
      </c>
      <c r="D267" s="16" t="s">
        <v>139</v>
      </c>
      <c r="E267" s="63">
        <v>25</v>
      </c>
      <c r="F267" s="64">
        <v>4653.9210000000003</v>
      </c>
      <c r="G267" s="64">
        <v>1315.5651292724497</v>
      </c>
      <c r="H267" s="65">
        <v>6206</v>
      </c>
      <c r="I267" s="66">
        <v>0.18208185626812762</v>
      </c>
      <c r="J267" s="65">
        <v>172.195077</v>
      </c>
      <c r="K267" s="65">
        <v>1302.1950770000001</v>
      </c>
      <c r="L267" s="65">
        <v>5076</v>
      </c>
      <c r="M267" s="65">
        <v>6378.1950770000003</v>
      </c>
      <c r="N267" s="65">
        <v>7976.8821446902639</v>
      </c>
      <c r="O267" s="67">
        <v>0.73</v>
      </c>
      <c r="P267" s="67">
        <v>1.2382841039804822</v>
      </c>
      <c r="Q267" s="312">
        <f t="shared" si="273"/>
        <v>1.2382841039804822</v>
      </c>
      <c r="R267" s="313">
        <f t="shared" si="274"/>
        <v>288.42270731707316</v>
      </c>
      <c r="S267" s="313">
        <f t="shared" si="275"/>
        <v>981.29707532268606</v>
      </c>
      <c r="T267" s="312">
        <f t="shared" si="276"/>
        <v>1.4353879090553678</v>
      </c>
      <c r="U267" s="317">
        <f t="shared" si="277"/>
        <v>0.1591749457505694</v>
      </c>
      <c r="V267" s="68">
        <v>0.27980601239256103</v>
      </c>
      <c r="W267" s="69">
        <v>0.9898370274683066</v>
      </c>
      <c r="X267" s="227" t="s">
        <v>483</v>
      </c>
      <c r="Y267" s="227" t="s">
        <v>585</v>
      </c>
      <c r="Z267" s="227" t="s">
        <v>484</v>
      </c>
      <c r="AA267" s="227"/>
      <c r="AB267" s="402">
        <f>(516.39*Z3)*Adaptation!J31</f>
        <v>288.42270731707316</v>
      </c>
      <c r="AC267" s="403">
        <f>65.69*Z3</f>
        <v>82.769400000000005</v>
      </c>
      <c r="AD267" s="328">
        <f>35.44*Z3</f>
        <v>44.654399999999995</v>
      </c>
      <c r="AE267" s="328">
        <f>16.42*Z3</f>
        <v>20.689200000000003</v>
      </c>
      <c r="AF267" s="328">
        <v>0</v>
      </c>
      <c r="AG267" s="375">
        <f>AB267</f>
        <v>288.42270731707316</v>
      </c>
      <c r="AH267" s="328">
        <v>0</v>
      </c>
      <c r="AI267" s="328">
        <v>0</v>
      </c>
      <c r="AJ267" s="328">
        <f>13.83*Z3</f>
        <v>17.425799999999999</v>
      </c>
      <c r="AK267" s="328">
        <v>0</v>
      </c>
      <c r="AL267" s="328">
        <f>AD267+AE267+AJ267</f>
        <v>82.76939999999999</v>
      </c>
      <c r="AM267" s="328"/>
      <c r="AN267" s="328"/>
      <c r="AO267" s="324" t="s">
        <v>630</v>
      </c>
      <c r="AP267" s="302" t="s">
        <v>371</v>
      </c>
      <c r="AQ267" s="137" t="s">
        <v>220</v>
      </c>
      <c r="AR267" s="324" t="s">
        <v>594</v>
      </c>
      <c r="AS267" s="143">
        <v>417.5</v>
      </c>
      <c r="AT267" s="124">
        <f>(230.08+5.17+193.15)</f>
        <v>428.4</v>
      </c>
      <c r="AU267" s="147"/>
      <c r="AV267" s="68"/>
      <c r="AW267" s="132" t="s">
        <v>284</v>
      </c>
      <c r="AX267" s="132" t="s">
        <v>286</v>
      </c>
      <c r="AY267" s="145"/>
      <c r="AZ267" s="68"/>
      <c r="BA267" s="48"/>
      <c r="BB267" s="50"/>
      <c r="BC267" s="51" t="s">
        <v>180</v>
      </c>
      <c r="BD267" s="52">
        <v>2065.6858766228347</v>
      </c>
      <c r="BE267" s="53">
        <v>7307.5354968818756</v>
      </c>
      <c r="BF267" s="54">
        <v>2065.6858766228347</v>
      </c>
      <c r="BG267" s="53">
        <v>7307.5354968818756</v>
      </c>
      <c r="BH267" s="450">
        <v>12525212.487871481</v>
      </c>
      <c r="BI267" s="347">
        <f t="shared" si="279"/>
        <v>1993700.0182712984</v>
      </c>
      <c r="BJ267" s="347">
        <f t="shared" si="292"/>
        <v>14518912.50614278</v>
      </c>
      <c r="BK267" s="45">
        <v>10114974.784549847</v>
      </c>
      <c r="BL267" s="47">
        <v>2150.9438167232151</v>
      </c>
      <c r="BM267" s="45">
        <v>2410237.7033216339</v>
      </c>
      <c r="BN267" s="55">
        <v>1.2382841039804824</v>
      </c>
      <c r="BO267" s="47">
        <f>SUM(BH267:BI267)/BK267</f>
        <v>1.4353879090553683</v>
      </c>
      <c r="BP267" s="45">
        <v>2800948.449040561</v>
      </c>
      <c r="BQ267" s="55">
        <v>4.4717754416943576</v>
      </c>
      <c r="BR267" s="54">
        <v>2509.0726757253919</v>
      </c>
      <c r="BS267" s="53">
        <v>8876.0531548463641</v>
      </c>
      <c r="BT267" s="54">
        <v>4574.7585523482267</v>
      </c>
      <c r="BU267" s="53">
        <v>16183.58865172824</v>
      </c>
      <c r="BV267" s="450">
        <v>16081475.825942326</v>
      </c>
      <c r="BW267" s="347">
        <f t="shared" si="281"/>
        <v>2421635.4945583465</v>
      </c>
      <c r="BX267" s="347">
        <f t="shared" si="287"/>
        <v>18503111.320500672</v>
      </c>
      <c r="BY267" s="45">
        <v>12286092.060162373</v>
      </c>
      <c r="BZ267" s="47">
        <v>2612.6307095558936</v>
      </c>
      <c r="CA267" s="45">
        <v>3795383.7657799534</v>
      </c>
      <c r="CB267" s="55">
        <v>1.3089170866696074</v>
      </c>
      <c r="CC267" s="47">
        <f t="shared" si="282"/>
        <v>1.5060208917444931</v>
      </c>
      <c r="CD267" s="45">
        <v>3402154.8480027015</v>
      </c>
      <c r="CE267" s="55">
        <v>4.7268500536897244</v>
      </c>
      <c r="CF267" s="52">
        <v>2825.7204451649695</v>
      </c>
      <c r="CG267" s="53">
        <v>9996.2209603072679</v>
      </c>
      <c r="CH267" s="54">
        <v>7400.4789975131962</v>
      </c>
      <c r="CI267" s="53">
        <v>26179.809612035508</v>
      </c>
      <c r="CJ267" s="450">
        <v>19168667.626908723</v>
      </c>
      <c r="CK267" s="347">
        <f t="shared" si="283"/>
        <v>2727248.5942370635</v>
      </c>
      <c r="CL267" s="347">
        <f t="shared" si="288"/>
        <v>21895916.221145786</v>
      </c>
      <c r="CM267" s="45">
        <v>13836610.57786732</v>
      </c>
      <c r="CN267" s="47">
        <v>2942.3476183381558</v>
      </c>
      <c r="CO267" s="45">
        <v>5332057.0490414035</v>
      </c>
      <c r="CP267" s="55">
        <v>1.3853586121423713</v>
      </c>
      <c r="CQ267" s="47">
        <f t="shared" si="284"/>
        <v>1.582462417217257</v>
      </c>
      <c r="CR267" s="45">
        <v>3831510.5834226212</v>
      </c>
      <c r="CS267" s="55">
        <v>5.002900868874983</v>
      </c>
    </row>
    <row r="268" spans="1:108" s="23" customFormat="1" ht="15" customHeight="1" thickBot="1">
      <c r="A268" s="377"/>
      <c r="B268" s="70"/>
      <c r="C268" s="15"/>
      <c r="D268" s="15"/>
      <c r="E268" s="15"/>
      <c r="F268" s="70"/>
      <c r="G268" s="70"/>
      <c r="H268" s="48"/>
      <c r="I268" s="46"/>
      <c r="J268" s="45"/>
      <c r="K268" s="45"/>
      <c r="L268" s="45"/>
      <c r="M268" s="45"/>
      <c r="N268" s="45"/>
      <c r="O268" s="47"/>
      <c r="P268" s="71"/>
      <c r="Q268"/>
      <c r="R268"/>
      <c r="S268"/>
      <c r="T268"/>
      <c r="U268"/>
      <c r="V268" s="48"/>
      <c r="W268" s="48"/>
      <c r="X268" s="48"/>
      <c r="Y268" s="48" t="s">
        <v>515</v>
      </c>
      <c r="Z268" s="48"/>
      <c r="AA268" s="48"/>
      <c r="AB268" s="48"/>
      <c r="AC268" s="329"/>
      <c r="AD268" s="522" t="s">
        <v>478</v>
      </c>
      <c r="AE268" s="523"/>
      <c r="AF268" s="524"/>
      <c r="AG268" s="371" t="s">
        <v>477</v>
      </c>
      <c r="AH268" s="522" t="s">
        <v>478</v>
      </c>
      <c r="AI268" s="523"/>
      <c r="AJ268" s="523"/>
      <c r="AK268" s="524"/>
      <c r="AL268" s="376"/>
      <c r="AM268" s="329"/>
      <c r="AN268" s="329"/>
      <c r="AO268" s="329"/>
      <c r="AP268" s="48"/>
      <c r="AQ268" s="48"/>
      <c r="AR268" s="325"/>
      <c r="AS268" s="48"/>
      <c r="AT268" s="48"/>
      <c r="AU268" s="48"/>
      <c r="AV268" s="48"/>
      <c r="AW268" s="48"/>
      <c r="AX268" s="48"/>
      <c r="AY268" s="48"/>
      <c r="AZ268" s="48"/>
      <c r="BA268" s="48"/>
      <c r="BB268" s="50"/>
      <c r="BC268" s="72" t="s">
        <v>103</v>
      </c>
      <c r="BD268" s="73">
        <v>7470.6319960813034</v>
      </c>
      <c r="BE268" s="74">
        <v>40999.874695891776</v>
      </c>
      <c r="BF268" s="75">
        <v>7470.6319960813034</v>
      </c>
      <c r="BG268" s="74">
        <v>40999.874695891776</v>
      </c>
      <c r="BH268" s="428">
        <v>50888949.009890027</v>
      </c>
      <c r="BI268" s="348">
        <f>SUM(BI235:BI267)</f>
        <v>3916862.1746909753</v>
      </c>
      <c r="BJ268" s="430">
        <f t="shared" si="292"/>
        <v>54805811.184581004</v>
      </c>
      <c r="BK268" s="76">
        <v>27536119.499884021</v>
      </c>
      <c r="BL268" s="77"/>
      <c r="BM268" s="76">
        <v>23352829.510006003</v>
      </c>
      <c r="BN268" s="78">
        <v>1.8480799013856823</v>
      </c>
      <c r="BO268" s="77"/>
      <c r="BP268" s="76">
        <v>11960616.632820159</v>
      </c>
      <c r="BQ268" s="78">
        <v>4.254709482975132</v>
      </c>
      <c r="BR268" s="75">
        <v>8026.147296844998</v>
      </c>
      <c r="BS268" s="74">
        <v>44213.402650288634</v>
      </c>
      <c r="BT268" s="75">
        <v>15496.779292926303</v>
      </c>
      <c r="BU268" s="74">
        <v>85213.277346180432</v>
      </c>
      <c r="BV268" s="428">
        <v>58340623.982215136</v>
      </c>
      <c r="BW268" s="348">
        <f>SUM(BW235:BW267)</f>
        <v>4408312.8624988394</v>
      </c>
      <c r="BX268" s="430">
        <f>BV268+BW268</f>
        <v>62748936.844713978</v>
      </c>
      <c r="BY268" s="76">
        <v>30153511.053497214</v>
      </c>
      <c r="BZ268" s="77"/>
      <c r="CA268" s="76">
        <v>28187112.928717922</v>
      </c>
      <c r="CB268" s="78">
        <v>1.9347870925780224</v>
      </c>
      <c r="CC268" s="77"/>
      <c r="CD268" s="76">
        <v>13591679.304923601</v>
      </c>
      <c r="CE268" s="78">
        <v>4.2923779080838953</v>
      </c>
      <c r="CF268" s="75">
        <v>8039.6991785704995</v>
      </c>
      <c r="CG268" s="74">
        <v>43604.09334265026</v>
      </c>
      <c r="CH268" s="75">
        <v>23536.478471496801</v>
      </c>
      <c r="CI268" s="74">
        <v>128817.37068883068</v>
      </c>
      <c r="CJ268" s="428">
        <v>61756674.927013591</v>
      </c>
      <c r="CK268" s="348">
        <f>SUM(CK235:CK267)</f>
        <v>4575346.5206964687</v>
      </c>
      <c r="CL268" s="430">
        <f t="shared" si="288"/>
        <v>66332021.44771006</v>
      </c>
      <c r="CM268" s="76">
        <v>32040077.913416751</v>
      </c>
      <c r="CN268" s="77"/>
      <c r="CO268" s="76">
        <v>29716597.01359684</v>
      </c>
      <c r="CP268" s="78">
        <v>1.9274820458895652</v>
      </c>
      <c r="CQ268" s="77"/>
      <c r="CR268" s="76">
        <v>14786953.302050846</v>
      </c>
      <c r="CS268" s="78">
        <v>4.1764299694142117</v>
      </c>
    </row>
    <row r="269" spans="1:108" s="23" customFormat="1" ht="15" customHeight="1" thickBot="1">
      <c r="A269" s="377"/>
      <c r="B269"/>
      <c r="C269" s="15"/>
      <c r="D269" s="15"/>
      <c r="E269" s="15"/>
      <c r="F269" s="70"/>
      <c r="G269" s="70"/>
      <c r="H269" s="48"/>
      <c r="I269" s="46"/>
      <c r="J269" s="45"/>
      <c r="K269" s="45"/>
      <c r="L269" s="45"/>
      <c r="M269" s="45"/>
      <c r="N269" s="45"/>
      <c r="O269" s="47"/>
      <c r="P269" s="71"/>
      <c r="Q269"/>
      <c r="R269"/>
      <c r="S269"/>
      <c r="T269"/>
      <c r="U269"/>
      <c r="V269" s="48"/>
      <c r="W269" s="48"/>
      <c r="X269" s="48"/>
      <c r="Y269" s="48" t="s">
        <v>515</v>
      </c>
      <c r="Z269" s="48"/>
      <c r="AA269" s="48"/>
      <c r="AB269" s="48"/>
      <c r="AC269" s="329"/>
      <c r="AD269" s="526" t="s">
        <v>275</v>
      </c>
      <c r="AE269" s="510" t="s">
        <v>276</v>
      </c>
      <c r="AF269" s="510" t="s">
        <v>277</v>
      </c>
      <c r="AG269" s="510" t="s">
        <v>280</v>
      </c>
      <c r="AH269" s="510" t="s">
        <v>278</v>
      </c>
      <c r="AI269" s="510" t="s">
        <v>279</v>
      </c>
      <c r="AJ269" s="512" t="s">
        <v>475</v>
      </c>
      <c r="AK269" s="514" t="s">
        <v>31</v>
      </c>
      <c r="AL269" s="514" t="s">
        <v>479</v>
      </c>
      <c r="AM269" s="329"/>
      <c r="AN269" s="329"/>
      <c r="AO269" s="329"/>
      <c r="AP269" s="48"/>
      <c r="AQ269" s="48"/>
      <c r="AR269" s="325"/>
      <c r="AS269" s="48"/>
      <c r="AT269" s="48"/>
      <c r="AU269" s="48"/>
      <c r="AV269" s="48"/>
      <c r="AW269" s="48"/>
      <c r="AX269" s="48"/>
      <c r="AY269" s="48"/>
      <c r="AZ269" s="48"/>
      <c r="BA269" s="48"/>
      <c r="BB269" s="50"/>
      <c r="BC269" s="80" t="s">
        <v>104</v>
      </c>
      <c r="BD269" s="439">
        <v>7470.6319960813034</v>
      </c>
      <c r="BE269" s="81">
        <v>40999.874695891776</v>
      </c>
      <c r="BF269" s="82">
        <v>7470.6319960813034</v>
      </c>
      <c r="BG269" s="81">
        <v>40999.874695891776</v>
      </c>
      <c r="BH269" s="451">
        <v>50888949.009890027</v>
      </c>
      <c r="BI269" s="429">
        <f>SUM(BH268:BI268)/BK268</f>
        <v>1.9903244240646123</v>
      </c>
      <c r="BJ269" s="347"/>
      <c r="BK269" s="83"/>
      <c r="BL269" s="84"/>
      <c r="BM269" s="83"/>
      <c r="BN269" s="429">
        <v>1.8480799013856823</v>
      </c>
      <c r="BO269" s="84"/>
      <c r="BP269" s="83"/>
      <c r="BQ269" s="440">
        <v>4.2547094829751311</v>
      </c>
      <c r="BR269" s="81">
        <v>8026.147296844998</v>
      </c>
      <c r="BS269" s="81">
        <v>44213.402650288634</v>
      </c>
      <c r="BT269" s="82">
        <v>15496.779292926303</v>
      </c>
      <c r="BU269" s="81">
        <v>85213.277346180432</v>
      </c>
      <c r="BV269" s="451">
        <v>58340623.982215136</v>
      </c>
      <c r="BW269" s="429">
        <f>SUM(BV268:BW268)/BY268</f>
        <v>2.0809827662651688</v>
      </c>
      <c r="BX269" s="347"/>
      <c r="BY269" s="83"/>
      <c r="BZ269" s="84"/>
      <c r="CA269" s="83"/>
      <c r="CB269" s="429">
        <v>1.9347870925780226</v>
      </c>
      <c r="CC269" s="84"/>
      <c r="CD269" s="83"/>
      <c r="CE269" s="84">
        <v>4.2923779080838953</v>
      </c>
      <c r="CF269" s="81">
        <v>8039.6991785704995</v>
      </c>
      <c r="CG269" s="81">
        <v>43604.09334265026</v>
      </c>
      <c r="CH269" s="82">
        <v>23536.478471496801</v>
      </c>
      <c r="CI269" s="81">
        <v>128817.37068883068</v>
      </c>
      <c r="CJ269" s="451">
        <v>61756674.927013591</v>
      </c>
      <c r="CK269" s="429">
        <f>SUM(CJ268:CK268)/CM268</f>
        <v>2.0702827760582192</v>
      </c>
      <c r="CL269" s="347"/>
      <c r="CM269" s="83"/>
      <c r="CN269" s="84"/>
      <c r="CO269" s="83"/>
      <c r="CP269" s="429">
        <v>1.9274820458895652</v>
      </c>
      <c r="CQ269" s="84"/>
      <c r="CR269" s="83"/>
      <c r="CS269" s="84">
        <v>4.1764299694142117</v>
      </c>
    </row>
    <row r="270" spans="1:108" s="23" customFormat="1" ht="15" customHeight="1" thickBot="1">
      <c r="A270" s="377"/>
      <c r="B270" s="85"/>
      <c r="C270" s="85"/>
      <c r="D270" s="85"/>
      <c r="E270" s="22"/>
      <c r="F270" s="86"/>
      <c r="G270" s="86"/>
      <c r="H270" s="22"/>
      <c r="I270" s="22"/>
      <c r="J270" s="22"/>
      <c r="K270" s="22"/>
      <c r="L270" s="22"/>
      <c r="M270" s="22"/>
      <c r="N270" s="22"/>
      <c r="O270" s="22"/>
      <c r="P270" s="22"/>
      <c r="Q270"/>
      <c r="R270"/>
      <c r="S270"/>
      <c r="T270"/>
      <c r="U270"/>
      <c r="V270" s="22"/>
      <c r="W270" s="22"/>
      <c r="X270" s="22"/>
      <c r="Y270" s="22" t="s">
        <v>515</v>
      </c>
      <c r="Z270" s="22"/>
      <c r="AA270" s="22"/>
      <c r="AB270" s="22"/>
      <c r="AC270" s="330"/>
      <c r="AD270" s="527"/>
      <c r="AE270" s="511"/>
      <c r="AF270" s="511"/>
      <c r="AG270" s="511"/>
      <c r="AH270" s="511"/>
      <c r="AI270" s="511"/>
      <c r="AJ270" s="513"/>
      <c r="AK270" s="515"/>
      <c r="AL270" s="515"/>
      <c r="AM270" s="330"/>
      <c r="AN270" s="330"/>
      <c r="AO270" s="330"/>
      <c r="AP270" s="22"/>
      <c r="AQ270" s="22"/>
      <c r="AR270" s="326"/>
      <c r="AS270" s="22"/>
      <c r="AT270" s="22"/>
      <c r="AU270" s="22"/>
      <c r="AV270" s="22"/>
      <c r="AW270" s="22"/>
      <c r="AX270" s="22"/>
      <c r="AY270" s="22"/>
      <c r="AZ270" s="22"/>
      <c r="BA270" s="22"/>
      <c r="BB270" s="22"/>
      <c r="BC270" s="22"/>
      <c r="BD270" s="447"/>
      <c r="BE270" s="22"/>
      <c r="BF270" s="88"/>
      <c r="BG270" s="22"/>
      <c r="BH270" s="441"/>
      <c r="BI270" s="469" t="s">
        <v>461</v>
      </c>
      <c r="BJ270" s="468"/>
      <c r="BK270" s="442"/>
      <c r="BL270" s="443"/>
      <c r="BM270" s="442"/>
      <c r="BN270" s="470" t="s">
        <v>508</v>
      </c>
      <c r="BO270" s="22"/>
      <c r="BP270" s="22"/>
      <c r="BQ270" s="446"/>
      <c r="BR270" s="88"/>
      <c r="BS270" s="22"/>
      <c r="BT270" s="88"/>
      <c r="BU270" s="22"/>
      <c r="BV270" s="441"/>
      <c r="BW270" s="469" t="s">
        <v>461</v>
      </c>
      <c r="BX270" s="468"/>
      <c r="BY270" s="442"/>
      <c r="BZ270" s="443"/>
      <c r="CA270" s="442"/>
      <c r="CB270" s="470" t="s">
        <v>508</v>
      </c>
      <c r="CC270" s="22"/>
      <c r="CD270" s="22"/>
      <c r="CE270" s="22"/>
      <c r="CF270" s="88"/>
      <c r="CG270" s="22"/>
      <c r="CH270" s="88"/>
      <c r="CI270" s="22"/>
      <c r="CJ270" s="441"/>
      <c r="CK270" s="469" t="s">
        <v>461</v>
      </c>
      <c r="CL270" s="468"/>
      <c r="CM270" s="442"/>
      <c r="CN270" s="443"/>
      <c r="CO270" s="442"/>
      <c r="CP270" s="470" t="s">
        <v>508</v>
      </c>
      <c r="CQ270" s="22"/>
      <c r="CR270" s="22"/>
      <c r="CS270" s="22"/>
    </row>
    <row r="271" spans="1:108" s="23" customFormat="1" ht="15" customHeight="1" thickBot="1">
      <c r="A271" s="377"/>
      <c r="B271" s="87"/>
      <c r="C271" s="87"/>
      <c r="D271" s="87"/>
      <c r="E271" s="22"/>
      <c r="F271" s="86"/>
      <c r="G271" s="86"/>
      <c r="H271" s="22"/>
      <c r="I271" s="22"/>
      <c r="J271" s="22"/>
      <c r="K271" s="22"/>
      <c r="L271" s="22"/>
      <c r="M271" s="22"/>
      <c r="N271" s="22"/>
      <c r="O271" s="22"/>
      <c r="P271" s="22"/>
      <c r="Q271"/>
      <c r="R271"/>
      <c r="S271"/>
      <c r="T271"/>
      <c r="U271"/>
      <c r="V271" s="22"/>
      <c r="W271" s="22"/>
      <c r="X271" s="22"/>
      <c r="Y271" s="22" t="s">
        <v>515</v>
      </c>
      <c r="Z271" s="22"/>
      <c r="AA271" s="22"/>
      <c r="AB271" s="22"/>
      <c r="AC271" s="330"/>
      <c r="AD271" s="330"/>
      <c r="AE271" s="330"/>
      <c r="AF271" s="330"/>
      <c r="AG271" s="330"/>
      <c r="AH271" s="330"/>
      <c r="AI271" s="330"/>
      <c r="AJ271" s="330"/>
      <c r="AK271" s="330"/>
      <c r="AL271" s="330"/>
      <c r="AM271" s="330"/>
      <c r="AN271" s="330"/>
      <c r="AO271" s="330"/>
      <c r="AP271" s="22"/>
      <c r="AQ271" s="22"/>
      <c r="AR271" s="326"/>
      <c r="AS271" s="22"/>
      <c r="AT271" s="22"/>
      <c r="AU271" s="22"/>
      <c r="AV271" s="22"/>
      <c r="AW271" s="22"/>
      <c r="AX271" s="22"/>
      <c r="AY271" s="22"/>
      <c r="AZ271" s="22"/>
      <c r="BA271" s="22"/>
      <c r="BB271" s="22"/>
      <c r="BC271" s="87" t="s">
        <v>181</v>
      </c>
      <c r="BD271" s="445"/>
      <c r="BE271" s="22"/>
      <c r="BF271" s="88"/>
      <c r="BG271" s="22"/>
      <c r="BH271" s="452"/>
      <c r="BI271" s="349"/>
      <c r="BJ271" s="426"/>
      <c r="BK271" s="22"/>
      <c r="BL271" s="379"/>
      <c r="BM271" s="22"/>
      <c r="BN271" s="446"/>
      <c r="BO271" s="22"/>
      <c r="BP271" s="22"/>
      <c r="BQ271" s="446"/>
      <c r="BR271" s="88"/>
      <c r="BS271" s="22"/>
      <c r="BT271" s="88"/>
      <c r="BU271" s="22"/>
      <c r="BV271" s="452"/>
      <c r="BW271" s="349"/>
      <c r="BX271" s="349"/>
      <c r="BY271" s="22"/>
      <c r="BZ271" s="379"/>
      <c r="CA271" s="22"/>
      <c r="CB271" s="446"/>
      <c r="CC271" s="22"/>
      <c r="CD271" s="22"/>
      <c r="CE271" s="22"/>
      <c r="CF271" s="88"/>
      <c r="CG271" s="22"/>
      <c r="CH271" s="88"/>
      <c r="CI271" s="22"/>
      <c r="CJ271" s="452"/>
      <c r="CK271" s="349"/>
      <c r="CL271" s="349"/>
      <c r="CM271" s="22"/>
      <c r="CN271" s="379"/>
      <c r="CO271" s="22"/>
      <c r="CP271" s="446"/>
      <c r="CQ271" s="22"/>
      <c r="CR271" s="22"/>
      <c r="CS271" s="22"/>
    </row>
    <row r="272" spans="1:108" s="23" customFormat="1" ht="15" customHeight="1" thickBot="1">
      <c r="A272" s="377"/>
      <c r="B272" s="87" t="s">
        <v>495</v>
      </c>
      <c r="C272" s="87"/>
      <c r="D272" s="87"/>
      <c r="E272" s="22"/>
      <c r="F272" s="86"/>
      <c r="G272" s="86"/>
      <c r="H272" s="22"/>
      <c r="I272" s="22"/>
      <c r="J272" s="22"/>
      <c r="K272" s="22"/>
      <c r="L272" s="22"/>
      <c r="M272" s="22"/>
      <c r="N272" s="22"/>
      <c r="O272" s="22"/>
      <c r="P272" s="22"/>
      <c r="Q272"/>
      <c r="R272"/>
      <c r="S272"/>
      <c r="T272"/>
      <c r="U272"/>
      <c r="V272" s="22"/>
      <c r="W272" s="22"/>
      <c r="X272" s="22"/>
      <c r="Y272" s="22" t="s">
        <v>515</v>
      </c>
      <c r="Z272" s="22"/>
      <c r="AA272" s="22"/>
      <c r="AB272" s="22"/>
      <c r="AC272" s="330"/>
      <c r="AD272" s="330"/>
      <c r="AE272" s="330"/>
      <c r="AF272" s="330"/>
      <c r="AG272" s="330"/>
      <c r="AH272" s="330"/>
      <c r="AI272" s="330"/>
      <c r="AJ272" s="330"/>
      <c r="AK272" s="330"/>
      <c r="AL272" s="330"/>
      <c r="AM272" s="330"/>
      <c r="AN272" s="330"/>
      <c r="AO272" s="330"/>
      <c r="AP272" s="22"/>
      <c r="AQ272" s="22"/>
      <c r="AR272" s="326"/>
      <c r="AS272" s="22"/>
      <c r="AT272" s="22"/>
      <c r="AU272" s="22"/>
      <c r="AV272" s="22"/>
      <c r="AW272" s="22"/>
      <c r="AX272" s="22"/>
      <c r="AY272" s="22"/>
      <c r="AZ272" s="22"/>
      <c r="BA272" s="22"/>
      <c r="BB272" s="22"/>
      <c r="BC272" s="434" t="s">
        <v>0</v>
      </c>
      <c r="BD272" s="5" t="s">
        <v>106</v>
      </c>
      <c r="BE272" s="6"/>
      <c r="BF272" s="7"/>
      <c r="BG272" s="6"/>
      <c r="BH272" s="453"/>
      <c r="BI272" s="350"/>
      <c r="BJ272" s="426"/>
      <c r="BK272" s="6"/>
      <c r="BL272" s="380"/>
      <c r="BM272" s="6"/>
      <c r="BN272" s="8"/>
      <c r="BO272" s="6"/>
      <c r="BP272" s="6"/>
      <c r="BQ272" s="8"/>
      <c r="BR272" s="7" t="s">
        <v>107</v>
      </c>
      <c r="BS272" s="6"/>
      <c r="BT272" s="7"/>
      <c r="BU272" s="6"/>
      <c r="BV272" s="453"/>
      <c r="BW272" s="350"/>
      <c r="BX272" s="350"/>
      <c r="BY272" s="6"/>
      <c r="BZ272" s="380"/>
      <c r="CA272" s="6"/>
      <c r="CB272" s="8"/>
      <c r="CC272" s="6"/>
      <c r="CD272" s="6"/>
      <c r="CE272" s="8"/>
      <c r="CF272" s="5" t="s">
        <v>108</v>
      </c>
      <c r="CG272" s="6"/>
      <c r="CH272" s="7"/>
      <c r="CI272" s="6"/>
      <c r="CJ272" s="453"/>
      <c r="CK272" s="350"/>
      <c r="CL272" s="350"/>
      <c r="CM272" s="6"/>
      <c r="CN272" s="380"/>
      <c r="CO272" s="6"/>
      <c r="CP272" s="8"/>
      <c r="CQ272" s="6"/>
      <c r="CR272" s="6"/>
      <c r="CS272" s="8"/>
    </row>
    <row r="273" spans="1:97" s="23" customFormat="1" ht="15" customHeight="1" thickBot="1">
      <c r="A273" s="377"/>
      <c r="B273" s="87"/>
      <c r="C273" s="87"/>
      <c r="D273" s="87"/>
      <c r="E273" s="22"/>
      <c r="F273" s="86"/>
      <c r="G273" s="86"/>
      <c r="H273" s="22"/>
      <c r="I273" s="22"/>
      <c r="J273" s="22"/>
      <c r="K273" s="22"/>
      <c r="L273" s="22"/>
      <c r="M273" s="22"/>
      <c r="N273" s="22"/>
      <c r="O273" s="22"/>
      <c r="P273" s="22"/>
      <c r="Q273"/>
      <c r="R273"/>
      <c r="S273"/>
      <c r="T273"/>
      <c r="U273"/>
      <c r="V273" s="22"/>
      <c r="W273" s="22"/>
      <c r="X273" s="141"/>
      <c r="Y273" s="141" t="s">
        <v>515</v>
      </c>
      <c r="Z273" s="141"/>
      <c r="AA273" s="141"/>
      <c r="AB273" s="141"/>
      <c r="AC273" s="331"/>
      <c r="AD273" s="331"/>
      <c r="AE273" s="331"/>
      <c r="AF273" s="331"/>
      <c r="AG273" s="331"/>
      <c r="AH273" s="331"/>
      <c r="AI273" s="331"/>
      <c r="AJ273" s="331"/>
      <c r="AK273" s="331"/>
      <c r="AL273" s="331"/>
      <c r="AM273" s="331"/>
      <c r="AN273" s="331"/>
      <c r="AO273" s="331"/>
      <c r="AP273" s="141"/>
      <c r="AQ273" s="141"/>
      <c r="AR273" s="497"/>
      <c r="AS273" s="141"/>
      <c r="AT273" s="141"/>
      <c r="AU273" s="141"/>
      <c r="AV273" s="141"/>
      <c r="AW273" s="141"/>
      <c r="AX273" s="141"/>
      <c r="AY273" s="141"/>
      <c r="AZ273" s="141"/>
      <c r="BA273" s="22"/>
      <c r="BB273" s="22"/>
      <c r="BC273" s="435"/>
      <c r="BD273" s="9"/>
      <c r="BE273" s="10"/>
      <c r="BF273" s="11"/>
      <c r="BG273" s="10"/>
      <c r="BH273" s="454" t="s">
        <v>109</v>
      </c>
      <c r="BI273" s="351"/>
      <c r="BJ273" s="427"/>
      <c r="BK273" s="10" t="s">
        <v>110</v>
      </c>
      <c r="BL273" s="381"/>
      <c r="BM273" s="10" t="s">
        <v>111</v>
      </c>
      <c r="BN273" s="12" t="s">
        <v>112</v>
      </c>
      <c r="BO273" s="10"/>
      <c r="BP273" s="10" t="s">
        <v>113</v>
      </c>
      <c r="BQ273" s="12" t="s">
        <v>114</v>
      </c>
      <c r="BR273" s="11"/>
      <c r="BS273" s="10"/>
      <c r="BT273" s="11"/>
      <c r="BU273" s="10"/>
      <c r="BV273" s="454" t="s">
        <v>109</v>
      </c>
      <c r="BW273" s="351"/>
      <c r="BX273" s="351"/>
      <c r="BY273" s="10" t="s">
        <v>110</v>
      </c>
      <c r="BZ273" s="381"/>
      <c r="CA273" s="10" t="s">
        <v>111</v>
      </c>
      <c r="CB273" s="12" t="s">
        <v>112</v>
      </c>
      <c r="CC273" s="10"/>
      <c r="CD273" s="10" t="s">
        <v>113</v>
      </c>
      <c r="CE273" s="12" t="s">
        <v>114</v>
      </c>
      <c r="CF273" s="9"/>
      <c r="CG273" s="10"/>
      <c r="CH273" s="11"/>
      <c r="CI273" s="10"/>
      <c r="CJ273" s="454" t="s">
        <v>109</v>
      </c>
      <c r="CK273" s="351"/>
      <c r="CL273" s="351"/>
      <c r="CM273" s="10" t="s">
        <v>110</v>
      </c>
      <c r="CN273" s="381"/>
      <c r="CO273" s="10" t="s">
        <v>111</v>
      </c>
      <c r="CP273" s="12" t="s">
        <v>112</v>
      </c>
      <c r="CQ273" s="10"/>
      <c r="CR273" s="10" t="s">
        <v>113</v>
      </c>
      <c r="CS273" s="12" t="s">
        <v>114</v>
      </c>
    </row>
    <row r="274" spans="1:97" s="23" customFormat="1" ht="15" customHeight="1" thickBot="1">
      <c r="A274" s="377"/>
      <c r="B274" s="17" t="s">
        <v>0</v>
      </c>
      <c r="C274" s="18" t="s">
        <v>1</v>
      </c>
      <c r="D274" s="18" t="s">
        <v>2</v>
      </c>
      <c r="E274" s="19" t="s">
        <v>3</v>
      </c>
      <c r="F274" s="19" t="s">
        <v>4</v>
      </c>
      <c r="G274" s="19" t="s">
        <v>5</v>
      </c>
      <c r="H274" s="19" t="s">
        <v>6</v>
      </c>
      <c r="I274" s="19" t="s">
        <v>7</v>
      </c>
      <c r="J274" s="19" t="s">
        <v>8</v>
      </c>
      <c r="K274" s="19" t="s">
        <v>9</v>
      </c>
      <c r="L274" s="19" t="s">
        <v>10</v>
      </c>
      <c r="M274" s="19" t="s">
        <v>11</v>
      </c>
      <c r="N274" s="19" t="s">
        <v>12</v>
      </c>
      <c r="O274" s="19" t="s">
        <v>13</v>
      </c>
      <c r="P274" s="19" t="s">
        <v>14</v>
      </c>
      <c r="Q274" s="307" t="s">
        <v>431</v>
      </c>
      <c r="R274" s="307" t="s">
        <v>432</v>
      </c>
      <c r="S274" s="307" t="s">
        <v>433</v>
      </c>
      <c r="T274" s="307" t="s">
        <v>434</v>
      </c>
      <c r="U274" s="307" t="s">
        <v>435</v>
      </c>
      <c r="V274" s="19" t="s">
        <v>15</v>
      </c>
      <c r="W274" s="20" t="s">
        <v>16</v>
      </c>
      <c r="X274" s="219"/>
      <c r="Y274" s="219" t="s">
        <v>515</v>
      </c>
      <c r="Z274" s="219"/>
      <c r="AA274" s="219"/>
      <c r="AB274" s="383"/>
      <c r="AC274" s="417"/>
      <c r="AD274" s="414"/>
      <c r="AE274" s="332"/>
      <c r="AF274" s="332"/>
      <c r="AG274" s="332"/>
      <c r="AH274" s="332"/>
      <c r="AI274" s="332"/>
      <c r="AJ274" s="332"/>
      <c r="AK274" s="332"/>
      <c r="AL274" s="332"/>
      <c r="AM274" s="332"/>
      <c r="AN274" s="332"/>
      <c r="AO274" s="332"/>
      <c r="AP274" s="19"/>
      <c r="AQ274" s="140"/>
      <c r="AR274" s="508"/>
      <c r="AS274" s="140"/>
      <c r="AT274" s="140"/>
      <c r="AU274" s="140"/>
      <c r="AV274" s="140"/>
      <c r="AW274" s="140"/>
      <c r="AX274" s="140"/>
      <c r="AY274" s="140" t="s">
        <v>258</v>
      </c>
      <c r="AZ274" s="140"/>
      <c r="BA274" s="21"/>
      <c r="BB274" s="22"/>
      <c r="BC274" s="433"/>
      <c r="BD274" s="13" t="s">
        <v>17</v>
      </c>
      <c r="BE274" s="1" t="s">
        <v>18</v>
      </c>
      <c r="BF274" s="14" t="s">
        <v>19</v>
      </c>
      <c r="BG274" s="1" t="s">
        <v>20</v>
      </c>
      <c r="BH274" s="455" t="s">
        <v>21</v>
      </c>
      <c r="BI274" s="345"/>
      <c r="BJ274" s="427"/>
      <c r="BK274" s="1" t="s">
        <v>22</v>
      </c>
      <c r="BL274" s="382"/>
      <c r="BM274" s="2" t="s">
        <v>23</v>
      </c>
      <c r="BN274" s="4" t="s">
        <v>24</v>
      </c>
      <c r="BO274" s="3"/>
      <c r="BP274" s="1" t="s">
        <v>25</v>
      </c>
      <c r="BQ274" s="4" t="s">
        <v>26</v>
      </c>
      <c r="BR274" s="14" t="s">
        <v>17</v>
      </c>
      <c r="BS274" s="1" t="s">
        <v>18</v>
      </c>
      <c r="BT274" s="14" t="s">
        <v>19</v>
      </c>
      <c r="BU274" s="1" t="s">
        <v>20</v>
      </c>
      <c r="BV274" s="455" t="s">
        <v>21</v>
      </c>
      <c r="BW274" s="345"/>
      <c r="BX274" s="345"/>
      <c r="BY274" s="1" t="s">
        <v>22</v>
      </c>
      <c r="BZ274" s="382"/>
      <c r="CA274" s="2" t="s">
        <v>23</v>
      </c>
      <c r="CB274" s="4" t="s">
        <v>24</v>
      </c>
      <c r="CC274" s="3"/>
      <c r="CD274" s="1" t="s">
        <v>25</v>
      </c>
      <c r="CE274" s="4" t="s">
        <v>26</v>
      </c>
      <c r="CF274" s="13" t="s">
        <v>17</v>
      </c>
      <c r="CG274" s="1" t="s">
        <v>18</v>
      </c>
      <c r="CH274" s="14" t="s">
        <v>19</v>
      </c>
      <c r="CI274" s="1" t="s">
        <v>20</v>
      </c>
      <c r="CJ274" s="455" t="s">
        <v>21</v>
      </c>
      <c r="CK274" s="345"/>
      <c r="CL274" s="345"/>
      <c r="CM274" s="1" t="s">
        <v>22</v>
      </c>
      <c r="CN274" s="382"/>
      <c r="CO274" s="2" t="s">
        <v>23</v>
      </c>
      <c r="CP274" s="4" t="s">
        <v>24</v>
      </c>
      <c r="CQ274" s="3"/>
      <c r="CR274" s="1" t="s">
        <v>25</v>
      </c>
      <c r="CS274" s="4" t="s">
        <v>26</v>
      </c>
    </row>
    <row r="275" spans="1:97" s="23" customFormat="1" ht="15" customHeight="1">
      <c r="A275" s="377" t="str">
        <f t="shared" ref="A275:A283" si="293">CONCATENATE($B$272,"; ",B275,"; ",C275,"; ",D275)</f>
        <v>New Residential; EnerGuide 83 New Home; RES-Package; RES-NC</v>
      </c>
      <c r="B275" s="149" t="s">
        <v>182</v>
      </c>
      <c r="C275" s="15" t="s">
        <v>173</v>
      </c>
      <c r="D275" s="15" t="s">
        <v>183</v>
      </c>
      <c r="E275" s="43">
        <v>30</v>
      </c>
      <c r="F275" s="44">
        <v>4934.79</v>
      </c>
      <c r="G275" s="44">
        <v>1394.9608608058434</v>
      </c>
      <c r="H275" s="45">
        <v>2661.19776</v>
      </c>
      <c r="I275" s="46">
        <v>0.52607890365877952</v>
      </c>
      <c r="J275" s="45">
        <v>1073.3168249999999</v>
      </c>
      <c r="K275" s="45">
        <v>2473.3168249999999</v>
      </c>
      <c r="L275" s="45">
        <v>1261.1977600000002</v>
      </c>
      <c r="M275" s="45">
        <v>3734.5145849999999</v>
      </c>
      <c r="N275" s="45">
        <v>9368.9272581881178</v>
      </c>
      <c r="O275" s="47">
        <v>0.79</v>
      </c>
      <c r="P275" s="47">
        <v>2.3306794218558373</v>
      </c>
      <c r="Q275" s="310">
        <f t="shared" ref="Q275:Q283" si="294">N275*O275/(O275*H275+J275)</f>
        <v>2.3306794218558373</v>
      </c>
      <c r="R275" s="311">
        <f t="shared" ref="R275:R283" si="295">AB275</f>
        <v>0</v>
      </c>
      <c r="S275" s="311">
        <f t="shared" ref="S275:S283" si="296">-PV(RDR,E275,AC275)</f>
        <v>2369.737645656639</v>
      </c>
      <c r="T275" s="310">
        <f t="shared" ref="T275:T283" si="297">(N275+SUM(R275:S275))*O275/(O275*H275+J275)</f>
        <v>2.9201918189237119</v>
      </c>
      <c r="U275" s="316">
        <f t="shared" ref="U275:U283" si="298">(T275-Q275)/Q275</f>
        <v>0.25293585704655464</v>
      </c>
      <c r="V275" s="48">
        <v>0.5012000156035008</v>
      </c>
      <c r="W275" s="49">
        <v>1.773036717009544</v>
      </c>
      <c r="X275" s="231" t="s">
        <v>485</v>
      </c>
      <c r="Y275" s="278" t="s">
        <v>586</v>
      </c>
      <c r="Z275" s="245">
        <f>148.68*Z3</f>
        <v>187.33680000000001</v>
      </c>
      <c r="AA275" s="245"/>
      <c r="AB275" s="415"/>
      <c r="AC275" s="416">
        <f>AL275</f>
        <v>187.33679999999998</v>
      </c>
      <c r="AD275" s="333">
        <f>77*Z3</f>
        <v>97.02</v>
      </c>
      <c r="AE275" s="333">
        <f>40*Z3</f>
        <v>50.4</v>
      </c>
      <c r="AF275" s="333">
        <v>0</v>
      </c>
      <c r="AG275" s="333">
        <f>(72*0.44)*Z3</f>
        <v>39.916800000000002</v>
      </c>
      <c r="AH275" s="333">
        <v>0</v>
      </c>
      <c r="AI275" s="333">
        <v>0</v>
      </c>
      <c r="AJ275" s="333">
        <v>0</v>
      </c>
      <c r="AK275" s="333">
        <v>0</v>
      </c>
      <c r="AL275" s="333">
        <f>AD275+AE275+AG275</f>
        <v>187.33679999999998</v>
      </c>
      <c r="AM275" s="333"/>
      <c r="AN275" s="333"/>
      <c r="AO275" s="333" t="s">
        <v>639</v>
      </c>
      <c r="AP275" s="529" t="s">
        <v>372</v>
      </c>
      <c r="AQ275" s="139" t="s">
        <v>257</v>
      </c>
      <c r="AR275" s="294" t="s">
        <v>594</v>
      </c>
      <c r="AS275" s="142"/>
      <c r="AT275" s="142"/>
      <c r="AU275" s="146" t="s">
        <v>257</v>
      </c>
      <c r="AV275" s="48" t="s">
        <v>214</v>
      </c>
      <c r="AW275" s="131" t="s">
        <v>284</v>
      </c>
      <c r="AX275" s="131"/>
      <c r="AY275" s="131"/>
      <c r="AZ275" s="48"/>
      <c r="BA275" s="48"/>
      <c r="BB275" s="50"/>
      <c r="BC275" s="51" t="s">
        <v>182</v>
      </c>
      <c r="BD275" s="90">
        <v>95.369395921802777</v>
      </c>
      <c r="BE275" s="91">
        <v>337.37716557085332</v>
      </c>
      <c r="BF275" s="92">
        <v>95.369395921802777</v>
      </c>
      <c r="BG275" s="91">
        <v>337.37716557085332</v>
      </c>
      <c r="BH275" s="449">
        <v>640526.16682918894</v>
      </c>
      <c r="BI275" s="346">
        <f t="shared" ref="BI275:BI283" si="299">SUM(R275:S275)*O275*BL275</f>
        <v>162012.03496768538</v>
      </c>
      <c r="BJ275" s="347">
        <f t="shared" si="292"/>
        <v>802538.20179687429</v>
      </c>
      <c r="BK275" s="93">
        <v>274823.79636713862</v>
      </c>
      <c r="BL275" s="94">
        <v>86.540603197754052</v>
      </c>
      <c r="BM275" s="93">
        <v>365702.37046205031</v>
      </c>
      <c r="BN275" s="95">
        <v>2.3306794218558369</v>
      </c>
      <c r="BO275" s="94">
        <f t="shared" ref="BO275:BO283" si="300">SUM(BH275:BI275)/BK275</f>
        <v>2.9201918189237115</v>
      </c>
      <c r="BP275" s="93">
        <v>214042.32993465388</v>
      </c>
      <c r="BQ275" s="95">
        <v>2.9925209981817082</v>
      </c>
      <c r="BR275" s="92">
        <v>96.895931920533073</v>
      </c>
      <c r="BS275" s="91">
        <v>342.77741355832916</v>
      </c>
      <c r="BT275" s="92">
        <v>192.26532784233584</v>
      </c>
      <c r="BU275" s="91">
        <v>680.15457912918248</v>
      </c>
      <c r="BV275" s="449">
        <v>684291.81137339934</v>
      </c>
      <c r="BW275" s="346">
        <f t="shared" ref="BW275:BW283" si="301">SUM(R275:S275)*O275*BZ275</f>
        <v>164605.29039533337</v>
      </c>
      <c r="BX275" s="346">
        <f>BV275+BW275</f>
        <v>848897.10176873277</v>
      </c>
      <c r="BY275" s="93">
        <v>279222.78007052874</v>
      </c>
      <c r="BZ275" s="94">
        <v>87.925820592247433</v>
      </c>
      <c r="CA275" s="93">
        <v>405069.0313028706</v>
      </c>
      <c r="CB275" s="95">
        <v>2.450701949176763</v>
      </c>
      <c r="CC275" s="94">
        <f t="shared" ref="CC275:CC283" si="302">SUM(BV275:BW275)/BY275</f>
        <v>3.0402143462446376</v>
      </c>
      <c r="CD275" s="93">
        <v>217468.41142273706</v>
      </c>
      <c r="CE275" s="95">
        <v>3.1466262474470548</v>
      </c>
      <c r="CF275" s="90">
        <v>98.608713015497287</v>
      </c>
      <c r="CG275" s="91">
        <v>348.83651905519287</v>
      </c>
      <c r="CH275" s="92">
        <v>290.87404085783317</v>
      </c>
      <c r="CI275" s="91">
        <v>1028.9910981843755</v>
      </c>
      <c r="CJ275" s="449">
        <v>733297.79143218452</v>
      </c>
      <c r="CK275" s="346">
        <f t="shared" ref="CK275:CK283" si="303">SUM(R275:S275)*O275*CN275</f>
        <v>167514.93607324932</v>
      </c>
      <c r="CL275" s="346">
        <f>CJ275+CK275</f>
        <v>900812.72750543384</v>
      </c>
      <c r="CM275" s="93">
        <v>284158.46198729251</v>
      </c>
      <c r="CN275" s="94">
        <v>89.480041500026346</v>
      </c>
      <c r="CO275" s="93">
        <v>449139.32944489201</v>
      </c>
      <c r="CP275" s="95">
        <v>2.5805945960707564</v>
      </c>
      <c r="CQ275" s="94">
        <f t="shared" ref="CQ275:CQ283" si="304">SUM(CJ275:CK275)/CM275</f>
        <v>3.170106993138631</v>
      </c>
      <c r="CR275" s="93">
        <v>221312.4921437134</v>
      </c>
      <c r="CS275" s="95">
        <v>3.3134044279615447</v>
      </c>
    </row>
    <row r="276" spans="1:97" s="23" customFormat="1" ht="15" customHeight="1">
      <c r="A276" s="377" t="str">
        <f t="shared" si="293"/>
        <v>New Residential; EnerGuide 85 New Home; RES-Package; RES-NC</v>
      </c>
      <c r="B276" s="149" t="s">
        <v>184</v>
      </c>
      <c r="C276" s="15" t="s">
        <v>173</v>
      </c>
      <c r="D276" s="15" t="s">
        <v>183</v>
      </c>
      <c r="E276" s="43">
        <v>30</v>
      </c>
      <c r="F276" s="44">
        <v>6908.7060000000001</v>
      </c>
      <c r="G276" s="44">
        <v>1952.9452051281808</v>
      </c>
      <c r="H276" s="45">
        <v>3193.437312</v>
      </c>
      <c r="I276" s="46">
        <v>0.43839908638231628</v>
      </c>
      <c r="J276" s="45">
        <v>1502.6435550000001</v>
      </c>
      <c r="K276" s="45">
        <v>2902.6435550000001</v>
      </c>
      <c r="L276" s="45">
        <v>1793.437312</v>
      </c>
      <c r="M276" s="45">
        <v>4696.0808670000006</v>
      </c>
      <c r="N276" s="45">
        <v>13116.498161463365</v>
      </c>
      <c r="O276" s="47">
        <v>0.79</v>
      </c>
      <c r="P276" s="47">
        <v>2.5741247064055583</v>
      </c>
      <c r="Q276" s="310">
        <f t="shared" si="294"/>
        <v>2.5741247064055583</v>
      </c>
      <c r="R276" s="311">
        <f t="shared" si="295"/>
        <v>0</v>
      </c>
      <c r="S276" s="311">
        <f t="shared" si="296"/>
        <v>2369.737645656639</v>
      </c>
      <c r="T276" s="310">
        <f t="shared" si="297"/>
        <v>3.0391878769479876</v>
      </c>
      <c r="U276" s="316">
        <f t="shared" si="298"/>
        <v>0.18066846931896768</v>
      </c>
      <c r="V276" s="48">
        <v>0.4201428682882149</v>
      </c>
      <c r="W276" s="49">
        <v>1.4862903205773694</v>
      </c>
      <c r="X276" s="278" t="s">
        <v>485</v>
      </c>
      <c r="Y276" s="278" t="s">
        <v>586</v>
      </c>
      <c r="Z276" s="245">
        <f>148.68*Z3</f>
        <v>187.33680000000001</v>
      </c>
      <c r="AA276" s="245"/>
      <c r="AB276" s="404"/>
      <c r="AC276" s="405">
        <f>AL276</f>
        <v>187.33679999999998</v>
      </c>
      <c r="AD276" s="333">
        <f>77*Z3</f>
        <v>97.02</v>
      </c>
      <c r="AE276" s="333">
        <f>40*Z3</f>
        <v>50.4</v>
      </c>
      <c r="AF276" s="333">
        <v>0</v>
      </c>
      <c r="AG276" s="333">
        <f>(72*0.44)*Z3</f>
        <v>39.916800000000002</v>
      </c>
      <c r="AH276" s="333">
        <v>0</v>
      </c>
      <c r="AI276" s="333">
        <v>0</v>
      </c>
      <c r="AJ276" s="333">
        <v>0</v>
      </c>
      <c r="AK276" s="333">
        <v>0</v>
      </c>
      <c r="AL276" s="333">
        <f>AD276+AE276+AG276</f>
        <v>187.33679999999998</v>
      </c>
      <c r="AM276" s="333"/>
      <c r="AN276" s="333"/>
      <c r="AO276" s="333" t="s">
        <v>639</v>
      </c>
      <c r="AP276" s="529"/>
      <c r="AQ276" s="139" t="s">
        <v>257</v>
      </c>
      <c r="AR276" s="294" t="s">
        <v>594</v>
      </c>
      <c r="AS276" s="142"/>
      <c r="AT276" s="142"/>
      <c r="AU276" s="146" t="s">
        <v>257</v>
      </c>
      <c r="AV276" s="48"/>
      <c r="AW276" s="131" t="s">
        <v>284</v>
      </c>
      <c r="AX276" s="131"/>
      <c r="AY276" s="131"/>
      <c r="AZ276" s="48"/>
      <c r="BA276" s="48"/>
      <c r="BB276" s="50"/>
      <c r="BC276" s="51" t="s">
        <v>184</v>
      </c>
      <c r="BD276" s="52">
        <v>138.42057099748189</v>
      </c>
      <c r="BE276" s="53">
        <v>489.67427599227614</v>
      </c>
      <c r="BF276" s="54">
        <v>138.42057099748189</v>
      </c>
      <c r="BG276" s="53">
        <v>489.67427599227614</v>
      </c>
      <c r="BH276" s="450">
        <v>929669.28116040747</v>
      </c>
      <c r="BI276" s="347">
        <f t="shared" si="299"/>
        <v>167961.92600011575</v>
      </c>
      <c r="BJ276" s="347">
        <f t="shared" si="292"/>
        <v>1097631.2071605232</v>
      </c>
      <c r="BK276" s="45">
        <v>361159.37928220024</v>
      </c>
      <c r="BL276" s="47">
        <v>89.718806341799095</v>
      </c>
      <c r="BM276" s="45">
        <v>568509.90187820722</v>
      </c>
      <c r="BN276" s="55">
        <v>2.5741247064055583</v>
      </c>
      <c r="BO276" s="47">
        <f t="shared" si="300"/>
        <v>3.0391878769479876</v>
      </c>
      <c r="BP276" s="45">
        <v>260421.71499031625</v>
      </c>
      <c r="BQ276" s="55">
        <v>3.5698608358944917</v>
      </c>
      <c r="BR276" s="54">
        <v>141.11054581100788</v>
      </c>
      <c r="BS276" s="53">
        <v>499.19028549692382</v>
      </c>
      <c r="BT276" s="54">
        <v>279.5311168084898</v>
      </c>
      <c r="BU276" s="53">
        <v>988.86456148920001</v>
      </c>
      <c r="BV276" s="450">
        <v>996541.22813015163</v>
      </c>
      <c r="BW276" s="347">
        <f t="shared" si="301"/>
        <v>171225.9881789941</v>
      </c>
      <c r="BX276" s="347">
        <f t="shared" ref="BX276:BX284" si="305">BV276+BW276</f>
        <v>1167767.2163091458</v>
      </c>
      <c r="BY276" s="45">
        <v>368177.91436652292</v>
      </c>
      <c r="BZ276" s="47">
        <v>91.462342924692152</v>
      </c>
      <c r="CA276" s="45">
        <v>628363.31376362871</v>
      </c>
      <c r="CB276" s="55">
        <v>2.706683886361771</v>
      </c>
      <c r="CC276" s="47">
        <f t="shared" si="302"/>
        <v>3.1717470569042003</v>
      </c>
      <c r="CD276" s="45">
        <v>265482.58021555754</v>
      </c>
      <c r="CE276" s="55">
        <v>3.7536972381427582</v>
      </c>
      <c r="CF276" s="52">
        <v>144.04905066288137</v>
      </c>
      <c r="CG276" s="53">
        <v>509.58549067106748</v>
      </c>
      <c r="CH276" s="54">
        <v>423.58016747137111</v>
      </c>
      <c r="CI276" s="53">
        <v>1498.4500521602674</v>
      </c>
      <c r="CJ276" s="450">
        <v>1071212.1422007899</v>
      </c>
      <c r="CK276" s="347">
        <f t="shared" si="303"/>
        <v>174791.62102478216</v>
      </c>
      <c r="CL276" s="347">
        <f t="shared" ref="CL276:CL284" si="306">CJ276+CK276</f>
        <v>1246003.763225572</v>
      </c>
      <c r="CM276" s="45">
        <v>375844.90042699559</v>
      </c>
      <c r="CN276" s="47">
        <v>93.366966968935344</v>
      </c>
      <c r="CO276" s="45">
        <v>695367.24177379429</v>
      </c>
      <c r="CP276" s="55">
        <v>2.8501441445228894</v>
      </c>
      <c r="CQ276" s="47">
        <f t="shared" si="304"/>
        <v>3.3152073150653183</v>
      </c>
      <c r="CR276" s="45">
        <v>271011.02492227801</v>
      </c>
      <c r="CS276" s="55">
        <v>3.9526515296121176</v>
      </c>
    </row>
    <row r="277" spans="1:97" s="23" customFormat="1" ht="15" customHeight="1">
      <c r="A277" s="377" t="str">
        <f t="shared" si="293"/>
        <v>New Residential; EnerGuide 86 New Home; RES-Package; RES-NC</v>
      </c>
      <c r="B277" s="149" t="s">
        <v>185</v>
      </c>
      <c r="C277" s="15" t="s">
        <v>173</v>
      </c>
      <c r="D277" s="15" t="s">
        <v>183</v>
      </c>
      <c r="E277" s="43">
        <v>30</v>
      </c>
      <c r="F277" s="44">
        <v>7895.6639999999998</v>
      </c>
      <c r="G277" s="44">
        <v>2231.9373772893491</v>
      </c>
      <c r="H277" s="45">
        <v>3725.676864</v>
      </c>
      <c r="I277" s="46">
        <v>0.37577064547055683</v>
      </c>
      <c r="J277" s="45">
        <v>1717.30692</v>
      </c>
      <c r="K277" s="45">
        <v>3117.30692</v>
      </c>
      <c r="L277" s="45">
        <v>2325.676864</v>
      </c>
      <c r="M277" s="45">
        <v>5442.983784</v>
      </c>
      <c r="N277" s="45">
        <v>14990.283613100986</v>
      </c>
      <c r="O277" s="47">
        <v>0.79</v>
      </c>
      <c r="P277" s="47">
        <v>2.540948652571704</v>
      </c>
      <c r="Q277" s="310">
        <f t="shared" si="294"/>
        <v>2.540948652571704</v>
      </c>
      <c r="R277" s="311">
        <f t="shared" si="295"/>
        <v>0</v>
      </c>
      <c r="S277" s="311">
        <f t="shared" si="296"/>
        <v>2369.7376456566394</v>
      </c>
      <c r="T277" s="310">
        <f t="shared" si="297"/>
        <v>2.9426342932901495</v>
      </c>
      <c r="U277" s="316">
        <f t="shared" si="298"/>
        <v>0.1580849106540968</v>
      </c>
      <c r="V277" s="48">
        <v>0.39481250975218807</v>
      </c>
      <c r="W277" s="49">
        <v>1.396682071692315</v>
      </c>
      <c r="X277" s="278" t="s">
        <v>485</v>
      </c>
      <c r="Y277" s="278" t="s">
        <v>586</v>
      </c>
      <c r="Z277" s="245">
        <f>148.68*Z3</f>
        <v>187.33680000000001</v>
      </c>
      <c r="AA277" s="245"/>
      <c r="AB277" s="404"/>
      <c r="AC277" s="405">
        <f>Z277</f>
        <v>187.33680000000001</v>
      </c>
      <c r="AD277" s="333">
        <f>AD275</f>
        <v>97.02</v>
      </c>
      <c r="AE277" s="333">
        <f>40*Z3</f>
        <v>50.4</v>
      </c>
      <c r="AF277" s="333">
        <v>0</v>
      </c>
      <c r="AG277" s="333">
        <f>(72*0.44)*Z3</f>
        <v>39.916800000000002</v>
      </c>
      <c r="AH277" s="333">
        <v>0</v>
      </c>
      <c r="AI277" s="333">
        <v>0</v>
      </c>
      <c r="AJ277" s="333">
        <v>0</v>
      </c>
      <c r="AK277" s="333">
        <v>0</v>
      </c>
      <c r="AL277" s="333">
        <f t="shared" ref="AL277:AL280" si="307">AD277+AE277+AG277</f>
        <v>187.33679999999998</v>
      </c>
      <c r="AM277" s="333"/>
      <c r="AN277" s="333"/>
      <c r="AO277" s="333" t="s">
        <v>639</v>
      </c>
      <c r="AP277" s="529"/>
      <c r="AQ277" s="139" t="s">
        <v>257</v>
      </c>
      <c r="AR277" s="294" t="s">
        <v>594</v>
      </c>
      <c r="AS277" s="142"/>
      <c r="AT277" s="142"/>
      <c r="AU277" s="146" t="s">
        <v>257</v>
      </c>
      <c r="AV277" s="48"/>
      <c r="AW277" s="131" t="s">
        <v>284</v>
      </c>
      <c r="AX277" s="131"/>
      <c r="AY277" s="131"/>
      <c r="AZ277" s="48"/>
      <c r="BA277" s="48"/>
      <c r="BB277" s="50"/>
      <c r="BC277" s="51" t="s">
        <v>185</v>
      </c>
      <c r="BD277" s="52">
        <v>159.4511532201231</v>
      </c>
      <c r="BE277" s="53">
        <v>564.07170875359031</v>
      </c>
      <c r="BF277" s="54">
        <v>159.4511532201231</v>
      </c>
      <c r="BG277" s="53">
        <v>564.07170875359031</v>
      </c>
      <c r="BH277" s="450">
        <v>1070916.251292205</v>
      </c>
      <c r="BI277" s="347">
        <f t="shared" si="299"/>
        <v>169295.6999035484</v>
      </c>
      <c r="BJ277" s="347">
        <f t="shared" si="292"/>
        <v>1240211.9511957534</v>
      </c>
      <c r="BK277" s="45">
        <v>421463.16109470627</v>
      </c>
      <c r="BL277" s="47">
        <v>90.431257106061793</v>
      </c>
      <c r="BM277" s="45">
        <v>649453.09019749868</v>
      </c>
      <c r="BN277" s="55">
        <v>2.540948652571704</v>
      </c>
      <c r="BO277" s="47">
        <f t="shared" si="300"/>
        <v>2.9426342932901495</v>
      </c>
      <c r="BP277" s="45">
        <v>281901.98356102558</v>
      </c>
      <c r="BQ277" s="55">
        <v>3.7988957642803358</v>
      </c>
      <c r="BR277" s="54">
        <v>163.08548011227901</v>
      </c>
      <c r="BS277" s="53">
        <v>576.92844223483041</v>
      </c>
      <c r="BT277" s="54">
        <v>322.53663333240212</v>
      </c>
      <c r="BU277" s="53">
        <v>1141.0001509884207</v>
      </c>
      <c r="BV277" s="450">
        <v>1151731.1034921096</v>
      </c>
      <c r="BW277" s="347">
        <f t="shared" si="301"/>
        <v>173154.41087841624</v>
      </c>
      <c r="BX277" s="347">
        <f t="shared" si="305"/>
        <v>1324885.5143705257</v>
      </c>
      <c r="BY277" s="45">
        <v>431069.45662462915</v>
      </c>
      <c r="BZ277" s="47">
        <v>92.492432224302007</v>
      </c>
      <c r="CA277" s="45">
        <v>720661.64686748036</v>
      </c>
      <c r="CB277" s="55">
        <v>2.6717993719861837</v>
      </c>
      <c r="CC277" s="47">
        <f t="shared" si="302"/>
        <v>3.0734850127046287</v>
      </c>
      <c r="CD277" s="45">
        <v>288327.29902044765</v>
      </c>
      <c r="CE277" s="55">
        <v>3.9945267319638398</v>
      </c>
      <c r="CF277" s="52">
        <v>166.99743049076858</v>
      </c>
      <c r="CG277" s="53">
        <v>590.76729187618491</v>
      </c>
      <c r="CH277" s="54">
        <v>489.53406382317064</v>
      </c>
      <c r="CI277" s="53">
        <v>1731.7674428646055</v>
      </c>
      <c r="CJ277" s="450">
        <v>1241866.3950566393</v>
      </c>
      <c r="CK277" s="347">
        <f t="shared" si="303"/>
        <v>177307.88587022183</v>
      </c>
      <c r="CL277" s="347">
        <f t="shared" si="306"/>
        <v>1419174.2809268611</v>
      </c>
      <c r="CM277" s="45">
        <v>441409.56981457735</v>
      </c>
      <c r="CN277" s="47">
        <v>94.711058953046788</v>
      </c>
      <c r="CO277" s="45">
        <v>800456.82524206198</v>
      </c>
      <c r="CP277" s="55">
        <v>2.8134106733986521</v>
      </c>
      <c r="CQ277" s="47">
        <f t="shared" si="304"/>
        <v>3.2150963141170972</v>
      </c>
      <c r="CR277" s="45">
        <v>295243.43947486067</v>
      </c>
      <c r="CS277" s="55">
        <v>4.2062455215448793</v>
      </c>
    </row>
    <row r="278" spans="1:97" s="23" customFormat="1" ht="15" customHeight="1">
      <c r="A278" s="377" t="str">
        <f t="shared" si="293"/>
        <v>New Residential; EnerGuide 87 New Home; RES-Package; RES-NC</v>
      </c>
      <c r="B278" s="149" t="s">
        <v>186</v>
      </c>
      <c r="C278" s="15" t="s">
        <v>173</v>
      </c>
      <c r="D278" s="15" t="s">
        <v>183</v>
      </c>
      <c r="E278" s="43">
        <v>30</v>
      </c>
      <c r="F278" s="44">
        <v>8883.741</v>
      </c>
      <c r="G278" s="44">
        <v>2511.2458671060294</v>
      </c>
      <c r="H278" s="45">
        <v>4257.916416</v>
      </c>
      <c r="I278" s="46">
        <v>0.32879931478673724</v>
      </c>
      <c r="J278" s="45">
        <v>1932.2136674999999</v>
      </c>
      <c r="K278" s="45">
        <v>3332.2136675000002</v>
      </c>
      <c r="L278" s="45">
        <v>2857.916416</v>
      </c>
      <c r="M278" s="45">
        <v>6190.1300835000002</v>
      </c>
      <c r="N278" s="45">
        <v>16866.193538039788</v>
      </c>
      <c r="O278" s="47">
        <v>0.79</v>
      </c>
      <c r="P278" s="47">
        <v>2.5159317070077356</v>
      </c>
      <c r="Q278" s="310">
        <f t="shared" si="294"/>
        <v>2.5159317070077356</v>
      </c>
      <c r="R278" s="311">
        <f t="shared" si="295"/>
        <v>0</v>
      </c>
      <c r="S278" s="311">
        <f t="shared" si="296"/>
        <v>2369.7376456566394</v>
      </c>
      <c r="T278" s="310">
        <f t="shared" si="297"/>
        <v>2.8694256987937639</v>
      </c>
      <c r="U278" s="316">
        <f t="shared" si="298"/>
        <v>0.14050222062921097</v>
      </c>
      <c r="V278" s="48">
        <v>0.37509126701239942</v>
      </c>
      <c r="W278" s="49">
        <v>1.326916536189289</v>
      </c>
      <c r="X278" s="278" t="s">
        <v>485</v>
      </c>
      <c r="Y278" s="278" t="s">
        <v>586</v>
      </c>
      <c r="Z278" s="245">
        <f>148.68*Z3</f>
        <v>187.33680000000001</v>
      </c>
      <c r="AA278" s="245"/>
      <c r="AB278" s="404"/>
      <c r="AC278" s="405">
        <f t="shared" ref="AC278:AC280" si="308">Z278</f>
        <v>187.33680000000001</v>
      </c>
      <c r="AD278" s="333">
        <f>77*Z3</f>
        <v>97.02</v>
      </c>
      <c r="AE278" s="333">
        <f>40*Z3</f>
        <v>50.4</v>
      </c>
      <c r="AF278" s="333">
        <v>0</v>
      </c>
      <c r="AG278" s="333">
        <f>(72*0.44)*Z3</f>
        <v>39.916800000000002</v>
      </c>
      <c r="AH278" s="333">
        <v>0</v>
      </c>
      <c r="AI278" s="333">
        <v>0</v>
      </c>
      <c r="AJ278" s="333">
        <v>0</v>
      </c>
      <c r="AK278" s="333">
        <v>0</v>
      </c>
      <c r="AL278" s="333">
        <f t="shared" si="307"/>
        <v>187.33679999999998</v>
      </c>
      <c r="AM278" s="333"/>
      <c r="AN278" s="333"/>
      <c r="AO278" s="333" t="s">
        <v>639</v>
      </c>
      <c r="AP278" s="529"/>
      <c r="AQ278" s="139" t="s">
        <v>257</v>
      </c>
      <c r="AR278" s="294" t="s">
        <v>594</v>
      </c>
      <c r="AS278" s="142"/>
      <c r="AT278" s="142"/>
      <c r="AU278" s="146" t="s">
        <v>257</v>
      </c>
      <c r="AV278" s="48"/>
      <c r="AW278" s="131" t="s">
        <v>284</v>
      </c>
      <c r="AX278" s="131"/>
      <c r="AY278" s="131"/>
      <c r="AZ278" s="48"/>
      <c r="BA278" s="48"/>
      <c r="BB278" s="50"/>
      <c r="BC278" s="51" t="s">
        <v>186</v>
      </c>
      <c r="BD278" s="52">
        <v>180.8360776733353</v>
      </c>
      <c r="BE278" s="53">
        <v>639.72265660993673</v>
      </c>
      <c r="BF278" s="54">
        <v>180.8360776733353</v>
      </c>
      <c r="BG278" s="53">
        <v>639.72265660993673</v>
      </c>
      <c r="BH278" s="450">
        <v>1214543.0778601221</v>
      </c>
      <c r="BI278" s="347">
        <f t="shared" si="299"/>
        <v>170645.99948918392</v>
      </c>
      <c r="BJ278" s="347">
        <f t="shared" si="292"/>
        <v>1385189.0773493061</v>
      </c>
      <c r="BK278" s="45">
        <v>482740.87666100077</v>
      </c>
      <c r="BL278" s="47">
        <v>91.152535254699842</v>
      </c>
      <c r="BM278" s="45">
        <v>731802.20119912131</v>
      </c>
      <c r="BN278" s="55">
        <v>2.5159317070077347</v>
      </c>
      <c r="BO278" s="47">
        <f t="shared" si="300"/>
        <v>2.8694256987937634</v>
      </c>
      <c r="BP278" s="45">
        <v>303739.72380298644</v>
      </c>
      <c r="BQ278" s="55">
        <v>3.9986310076712477</v>
      </c>
      <c r="BR278" s="54">
        <v>185.50747472502889</v>
      </c>
      <c r="BS278" s="53">
        <v>656.24811198608973</v>
      </c>
      <c r="BT278" s="54">
        <v>366.34355239836418</v>
      </c>
      <c r="BU278" s="53">
        <v>1295.9707685960266</v>
      </c>
      <c r="BV278" s="450">
        <v>1310078.1775544812</v>
      </c>
      <c r="BW278" s="347">
        <f t="shared" si="301"/>
        <v>175054.16421578825</v>
      </c>
      <c r="BX278" s="347">
        <f t="shared" si="305"/>
        <v>1485132.3417702694</v>
      </c>
      <c r="BY278" s="45">
        <v>495211.14441387559</v>
      </c>
      <c r="BZ278" s="47">
        <v>93.507207452425718</v>
      </c>
      <c r="CA278" s="45">
        <v>814867.03314060555</v>
      </c>
      <c r="CB278" s="55">
        <v>2.6454941338306712</v>
      </c>
      <c r="CC278" s="47">
        <f t="shared" si="302"/>
        <v>2.9989881256166995</v>
      </c>
      <c r="CD278" s="45">
        <v>311585.99468273082</v>
      </c>
      <c r="CE278" s="55">
        <v>4.2045477008312089</v>
      </c>
      <c r="CF278" s="52">
        <v>190.48594148417394</v>
      </c>
      <c r="CG278" s="53">
        <v>673.85985197725279</v>
      </c>
      <c r="CH278" s="54">
        <v>556.82949388253815</v>
      </c>
      <c r="CI278" s="53">
        <v>1969.8306205732792</v>
      </c>
      <c r="CJ278" s="450">
        <v>1416537.3009915727</v>
      </c>
      <c r="CK278" s="347">
        <f t="shared" si="303"/>
        <v>179752.09533090916</v>
      </c>
      <c r="CL278" s="347">
        <f t="shared" si="306"/>
        <v>1596289.3963224818</v>
      </c>
      <c r="CM278" s="45">
        <v>508501.13299723063</v>
      </c>
      <c r="CN278" s="47">
        <v>96.016661719605025</v>
      </c>
      <c r="CO278" s="45">
        <v>908036.16799434205</v>
      </c>
      <c r="CP278" s="55">
        <v>2.7857111991907546</v>
      </c>
      <c r="CQ278" s="47">
        <f t="shared" si="304"/>
        <v>3.1392051909767829</v>
      </c>
      <c r="CR278" s="45">
        <v>319948.03248979198</v>
      </c>
      <c r="CS278" s="55">
        <v>4.427398068268376</v>
      </c>
    </row>
    <row r="279" spans="1:97" s="23" customFormat="1" ht="15" customHeight="1">
      <c r="A279" s="377" t="str">
        <f t="shared" si="293"/>
        <v>New Residential; EnerGuide 88 New Home; RES-Package; RES-NC</v>
      </c>
      <c r="B279" s="149" t="s">
        <v>187</v>
      </c>
      <c r="C279" s="15" t="s">
        <v>173</v>
      </c>
      <c r="D279" s="15" t="s">
        <v>183</v>
      </c>
      <c r="E279" s="43">
        <v>30</v>
      </c>
      <c r="F279" s="44">
        <v>9869.58</v>
      </c>
      <c r="G279" s="44">
        <v>2789.9217216116867</v>
      </c>
      <c r="H279" s="45">
        <v>4790.155968</v>
      </c>
      <c r="I279" s="46">
        <v>0.29226605758821089</v>
      </c>
      <c r="J279" s="45">
        <v>2146.6336499999998</v>
      </c>
      <c r="K279" s="45">
        <v>3546.6336499999998</v>
      </c>
      <c r="L279" s="45">
        <v>3390.155968</v>
      </c>
      <c r="M279" s="45">
        <v>6936.7896179999998</v>
      </c>
      <c r="N279" s="45">
        <v>18737.854516376236</v>
      </c>
      <c r="O279" s="47">
        <v>0.79</v>
      </c>
      <c r="P279" s="47">
        <v>2.4959133908614541</v>
      </c>
      <c r="Q279" s="310">
        <f t="shared" si="294"/>
        <v>2.4959133908614541</v>
      </c>
      <c r="R279" s="311">
        <f t="shared" si="295"/>
        <v>0</v>
      </c>
      <c r="S279" s="311">
        <f t="shared" si="296"/>
        <v>2369.7376456566394</v>
      </c>
      <c r="T279" s="310">
        <f t="shared" si="297"/>
        <v>2.8115663871772107</v>
      </c>
      <c r="U279" s="316">
        <f t="shared" si="298"/>
        <v>0.12646792852327712</v>
      </c>
      <c r="V279" s="48">
        <v>0.35935000780175042</v>
      </c>
      <c r="W279" s="49">
        <v>1.2712305232532382</v>
      </c>
      <c r="X279" s="278" t="s">
        <v>485</v>
      </c>
      <c r="Y279" s="278" t="s">
        <v>586</v>
      </c>
      <c r="Z279" s="245">
        <f>148.68*Z3</f>
        <v>187.33680000000001</v>
      </c>
      <c r="AA279" s="245"/>
      <c r="AB279" s="404"/>
      <c r="AC279" s="405">
        <f t="shared" si="308"/>
        <v>187.33680000000001</v>
      </c>
      <c r="AD279" s="333">
        <f>77*Z3</f>
        <v>97.02</v>
      </c>
      <c r="AE279" s="333">
        <f>40*Z3</f>
        <v>50.4</v>
      </c>
      <c r="AF279" s="333">
        <v>0</v>
      </c>
      <c r="AG279" s="333">
        <f>(72*0.44)*Z3</f>
        <v>39.916800000000002</v>
      </c>
      <c r="AH279" s="333">
        <v>0</v>
      </c>
      <c r="AI279" s="333">
        <v>0</v>
      </c>
      <c r="AJ279" s="333">
        <v>0</v>
      </c>
      <c r="AK279" s="333">
        <v>0</v>
      </c>
      <c r="AL279" s="333">
        <f t="shared" si="307"/>
        <v>187.33679999999998</v>
      </c>
      <c r="AM279" s="333"/>
      <c r="AN279" s="333"/>
      <c r="AO279" s="333" t="s">
        <v>639</v>
      </c>
      <c r="AP279" s="529"/>
      <c r="AQ279" s="139" t="s">
        <v>257</v>
      </c>
      <c r="AR279" s="294" t="s">
        <v>594</v>
      </c>
      <c r="AS279" s="142"/>
      <c r="AT279" s="142"/>
      <c r="AU279" s="146" t="s">
        <v>257</v>
      </c>
      <c r="AV279" s="48"/>
      <c r="AW279" s="131" t="s">
        <v>284</v>
      </c>
      <c r="AX279" s="131"/>
      <c r="AY279" s="131"/>
      <c r="AZ279" s="48"/>
      <c r="BA279" s="48"/>
      <c r="BB279" s="50"/>
      <c r="BC279" s="51" t="s">
        <v>187</v>
      </c>
      <c r="BD279" s="52">
        <v>202.31712089312973</v>
      </c>
      <c r="BE279" s="53">
        <v>715.71363259285613</v>
      </c>
      <c r="BF279" s="54">
        <v>202.31712089312973</v>
      </c>
      <c r="BG279" s="53">
        <v>715.71363259285613</v>
      </c>
      <c r="BH279" s="450">
        <v>1358815.4635670506</v>
      </c>
      <c r="BI279" s="347">
        <f t="shared" si="299"/>
        <v>171846.57692272175</v>
      </c>
      <c r="BJ279" s="347">
        <f t="shared" si="292"/>
        <v>1530662.0404897723</v>
      </c>
      <c r="BK279" s="45">
        <v>544416.11176983244</v>
      </c>
      <c r="BL279" s="47">
        <v>91.793837583287342</v>
      </c>
      <c r="BM279" s="45">
        <v>814399.3517972182</v>
      </c>
      <c r="BN279" s="55">
        <v>2.4959133908614537</v>
      </c>
      <c r="BO279" s="47">
        <f t="shared" si="300"/>
        <v>2.8115663871772107</v>
      </c>
      <c r="BP279" s="45">
        <v>325559.11323552154</v>
      </c>
      <c r="BQ279" s="55">
        <v>4.1737902836221119</v>
      </c>
      <c r="BR279" s="54">
        <v>208.10113841381852</v>
      </c>
      <c r="BS279" s="53">
        <v>736.17507536368134</v>
      </c>
      <c r="BT279" s="54">
        <v>410.41825930694824</v>
      </c>
      <c r="BU279" s="53">
        <v>1451.8887079565375</v>
      </c>
      <c r="BV279" s="450">
        <v>1469637.6012033811</v>
      </c>
      <c r="BW279" s="347">
        <f t="shared" si="301"/>
        <v>176759.47607531722</v>
      </c>
      <c r="BX279" s="347">
        <f t="shared" si="305"/>
        <v>1646397.0772786983</v>
      </c>
      <c r="BY279" s="45">
        <v>559980.35228057648</v>
      </c>
      <c r="BZ279" s="47">
        <v>94.418119515183008</v>
      </c>
      <c r="CA279" s="45">
        <v>909657.2489228046</v>
      </c>
      <c r="CB279" s="55">
        <v>2.6244449385020987</v>
      </c>
      <c r="CC279" s="47">
        <f t="shared" si="302"/>
        <v>2.9400979348178558</v>
      </c>
      <c r="CD279" s="45">
        <v>334866.47984226973</v>
      </c>
      <c r="CE279" s="55">
        <v>4.3887271186283447</v>
      </c>
      <c r="CF279" s="52">
        <v>214.22196826871456</v>
      </c>
      <c r="CG279" s="53">
        <v>757.8280197639948</v>
      </c>
      <c r="CH279" s="54">
        <v>624.64022757566283</v>
      </c>
      <c r="CI279" s="53">
        <v>2209.7167277205322</v>
      </c>
      <c r="CJ279" s="450">
        <v>1593048.8432905108</v>
      </c>
      <c r="CK279" s="347">
        <f t="shared" si="303"/>
        <v>181958.46098498238</v>
      </c>
      <c r="CL279" s="347">
        <f t="shared" si="306"/>
        <v>1775007.3042754931</v>
      </c>
      <c r="CM279" s="45">
        <v>576450.92271819862</v>
      </c>
      <c r="CN279" s="47">
        <v>97.195217464654377</v>
      </c>
      <c r="CO279" s="45">
        <v>1016597.9205723122</v>
      </c>
      <c r="CP279" s="55">
        <v>2.7635463497545341</v>
      </c>
      <c r="CQ279" s="47">
        <f t="shared" si="304"/>
        <v>3.0791993460702911</v>
      </c>
      <c r="CR279" s="45">
        <v>344715.82887921087</v>
      </c>
      <c r="CS279" s="55">
        <v>4.62133940431473</v>
      </c>
    </row>
    <row r="280" spans="1:97" s="23" customFormat="1" ht="15" customHeight="1">
      <c r="A280" s="377" t="str">
        <f t="shared" si="293"/>
        <v>New Residential; EnerGuide 88+ New Home; RES-Package; RES-NC</v>
      </c>
      <c r="B280" s="149" t="s">
        <v>188</v>
      </c>
      <c r="C280" s="15" t="s">
        <v>173</v>
      </c>
      <c r="D280" s="15" t="s">
        <v>183</v>
      </c>
      <c r="E280" s="43">
        <v>30</v>
      </c>
      <c r="F280" s="44">
        <v>10856.538</v>
      </c>
      <c r="G280" s="44">
        <v>3068.9138937728558</v>
      </c>
      <c r="H280" s="45">
        <v>5322.39552</v>
      </c>
      <c r="I280" s="46">
        <v>0.26303945182938976</v>
      </c>
      <c r="J280" s="45">
        <v>2361.2970150000001</v>
      </c>
      <c r="K280" s="45">
        <v>3761.2970150000001</v>
      </c>
      <c r="L280" s="45">
        <v>3922.39552</v>
      </c>
      <c r="M280" s="45">
        <v>7683.6925350000001</v>
      </c>
      <c r="N280" s="45">
        <v>20611.63996801386</v>
      </c>
      <c r="O280" s="47">
        <v>0.79</v>
      </c>
      <c r="P280" s="47">
        <v>2.4799301970777234</v>
      </c>
      <c r="Q280" s="310">
        <f t="shared" si="294"/>
        <v>2.4799301970777234</v>
      </c>
      <c r="R280" s="311">
        <f t="shared" si="295"/>
        <v>0</v>
      </c>
      <c r="S280" s="311">
        <f t="shared" si="296"/>
        <v>2369.7376456566394</v>
      </c>
      <c r="T280" s="310">
        <f t="shared" si="297"/>
        <v>2.7650498651747619</v>
      </c>
      <c r="U280" s="316">
        <f t="shared" si="298"/>
        <v>0.1149708441120702</v>
      </c>
      <c r="V280" s="48">
        <v>0.34645455254704582</v>
      </c>
      <c r="W280" s="49">
        <v>1.2256117783663014</v>
      </c>
      <c r="X280" s="278" t="s">
        <v>485</v>
      </c>
      <c r="Y280" s="278" t="s">
        <v>586</v>
      </c>
      <c r="Z280" s="245">
        <f>148.68*Z3</f>
        <v>187.33680000000001</v>
      </c>
      <c r="AA280" s="245"/>
      <c r="AB280" s="404"/>
      <c r="AC280" s="405">
        <f t="shared" si="308"/>
        <v>187.33680000000001</v>
      </c>
      <c r="AD280" s="333">
        <f>77*Z3</f>
        <v>97.02</v>
      </c>
      <c r="AE280" s="333">
        <f>40*Z3</f>
        <v>50.4</v>
      </c>
      <c r="AF280" s="333">
        <v>0</v>
      </c>
      <c r="AG280" s="333">
        <f>(72*0.44)*Z3</f>
        <v>39.916800000000002</v>
      </c>
      <c r="AH280" s="333">
        <v>0</v>
      </c>
      <c r="AI280" s="333">
        <v>0</v>
      </c>
      <c r="AJ280" s="333">
        <v>0</v>
      </c>
      <c r="AK280" s="333">
        <v>0</v>
      </c>
      <c r="AL280" s="333">
        <f t="shared" si="307"/>
        <v>187.33679999999998</v>
      </c>
      <c r="AM280" s="333"/>
      <c r="AN280" s="333"/>
      <c r="AO280" s="333" t="s">
        <v>639</v>
      </c>
      <c r="AP280" s="529"/>
      <c r="AQ280" s="139" t="s">
        <v>257</v>
      </c>
      <c r="AR280" s="294" t="s">
        <v>594</v>
      </c>
      <c r="AS280" s="142"/>
      <c r="AT280" s="142"/>
      <c r="AU280" s="146" t="s">
        <v>257</v>
      </c>
      <c r="AV280" s="48"/>
      <c r="AW280" s="131" t="s">
        <v>284</v>
      </c>
      <c r="AX280" s="131"/>
      <c r="AY280" s="131"/>
      <c r="AZ280" s="48"/>
      <c r="BA280" s="48"/>
      <c r="BB280" s="50"/>
      <c r="BC280" s="51" t="s">
        <v>188</v>
      </c>
      <c r="BD280" s="52">
        <v>224.17800807177565</v>
      </c>
      <c r="BE280" s="53">
        <v>793.04833815440884</v>
      </c>
      <c r="BF280" s="54">
        <v>224.17800807177565</v>
      </c>
      <c r="BG280" s="53">
        <v>793.04833815440884</v>
      </c>
      <c r="BH280" s="450">
        <v>1505638.9820834582</v>
      </c>
      <c r="BI280" s="347">
        <f t="shared" si="299"/>
        <v>173104.58469817351</v>
      </c>
      <c r="BJ280" s="347">
        <f t="shared" si="292"/>
        <v>1678743.5667816317</v>
      </c>
      <c r="BK280" s="45">
        <v>607129.58125098003</v>
      </c>
      <c r="BL280" s="47">
        <v>92.46581699356247</v>
      </c>
      <c r="BM280" s="45">
        <v>898509.40083247819</v>
      </c>
      <c r="BN280" s="55">
        <v>2.479930197077723</v>
      </c>
      <c r="BO280" s="47">
        <f t="shared" si="300"/>
        <v>2.7650498651747615</v>
      </c>
      <c r="BP280" s="45">
        <v>347791.4014474228</v>
      </c>
      <c r="BQ280" s="55">
        <v>4.3291437793382954</v>
      </c>
      <c r="BR280" s="54">
        <v>231.14815065465675</v>
      </c>
      <c r="BS280" s="53">
        <v>817.70579692834588</v>
      </c>
      <c r="BT280" s="54">
        <v>455.32615872643237</v>
      </c>
      <c r="BU280" s="53">
        <v>1610.7541350827546</v>
      </c>
      <c r="BV280" s="450">
        <v>1632398.6319343948</v>
      </c>
      <c r="BW280" s="347">
        <f t="shared" si="301"/>
        <v>178486.75241156659</v>
      </c>
      <c r="BX280" s="347">
        <f t="shared" si="305"/>
        <v>1810885.3843459615</v>
      </c>
      <c r="BY280" s="45">
        <v>626006.45407183818</v>
      </c>
      <c r="BZ280" s="47">
        <v>95.340764157342107</v>
      </c>
      <c r="CA280" s="45">
        <v>1006392.1778625567</v>
      </c>
      <c r="CB280" s="55">
        <v>2.607638661417166</v>
      </c>
      <c r="CC280" s="47">
        <f t="shared" si="302"/>
        <v>2.892758329514205</v>
      </c>
      <c r="CD280" s="45">
        <v>358604.93163282989</v>
      </c>
      <c r="CE280" s="55">
        <v>4.5520808219274098</v>
      </c>
      <c r="CF280" s="52">
        <v>238.4857842075626</v>
      </c>
      <c r="CG280" s="53">
        <v>843.6632855561104</v>
      </c>
      <c r="CH280" s="54">
        <v>693.81194293399506</v>
      </c>
      <c r="CI280" s="53">
        <v>2454.4174206388652</v>
      </c>
      <c r="CJ280" s="450">
        <v>1773485.2580409804</v>
      </c>
      <c r="CK280" s="347">
        <f t="shared" si="303"/>
        <v>184152.68735214503</v>
      </c>
      <c r="CL280" s="347">
        <f t="shared" si="306"/>
        <v>1957637.9453931255</v>
      </c>
      <c r="CM280" s="45">
        <v>645878.58347769198</v>
      </c>
      <c r="CN280" s="47">
        <v>98.367288869130903</v>
      </c>
      <c r="CO280" s="45">
        <v>1127606.6745632885</v>
      </c>
      <c r="CP280" s="55">
        <v>2.745849302653391</v>
      </c>
      <c r="CQ280" s="47">
        <f t="shared" si="304"/>
        <v>3.0309689707504295</v>
      </c>
      <c r="CR280" s="45">
        <v>369988.58999710483</v>
      </c>
      <c r="CS280" s="55">
        <v>4.7933512167357861</v>
      </c>
    </row>
    <row r="281" spans="1:97" s="23" customFormat="1" ht="15" customHeight="1">
      <c r="A281" s="377" t="str">
        <f t="shared" si="293"/>
        <v>New Residential; Solar DHW; RES-Water Heat; RES-NC</v>
      </c>
      <c r="B281" s="42" t="s">
        <v>171</v>
      </c>
      <c r="C281" s="15" t="s">
        <v>163</v>
      </c>
      <c r="D281" s="15" t="s">
        <v>183</v>
      </c>
      <c r="E281" s="43">
        <v>15</v>
      </c>
      <c r="F281" s="44">
        <v>1815.254109</v>
      </c>
      <c r="G281" s="44">
        <v>442.04257725430972</v>
      </c>
      <c r="H281" s="45">
        <v>7042</v>
      </c>
      <c r="I281" s="46">
        <v>0.14200511218403863</v>
      </c>
      <c r="J281" s="45">
        <v>67.164402033000002</v>
      </c>
      <c r="K281" s="45">
        <v>1067.1644020330002</v>
      </c>
      <c r="L281" s="45">
        <v>6042</v>
      </c>
      <c r="M281" s="45">
        <v>7109.1644020330004</v>
      </c>
      <c r="N281" s="45">
        <v>2017.6107425781245</v>
      </c>
      <c r="O281" s="47">
        <v>0.65</v>
      </c>
      <c r="P281" s="47">
        <v>0.28236775420255716</v>
      </c>
      <c r="Q281" s="310">
        <f t="shared" si="294"/>
        <v>0.28236775420255716</v>
      </c>
      <c r="R281" s="311">
        <f t="shared" si="295"/>
        <v>0</v>
      </c>
      <c r="S281" s="311">
        <f t="shared" si="296"/>
        <v>0</v>
      </c>
      <c r="T281" s="310">
        <f t="shared" si="297"/>
        <v>0.28236775420255716</v>
      </c>
      <c r="U281" s="316">
        <f t="shared" si="298"/>
        <v>0</v>
      </c>
      <c r="V281" s="48">
        <v>0.58788706040769534</v>
      </c>
      <c r="W281" s="48">
        <v>2.4141665462669994</v>
      </c>
      <c r="X281" s="224" t="s">
        <v>397</v>
      </c>
      <c r="Y281" s="224" t="s">
        <v>515</v>
      </c>
      <c r="Z281" s="224" t="s">
        <v>342</v>
      </c>
      <c r="AA281" s="224"/>
      <c r="AB281" s="393"/>
      <c r="AC281" s="396"/>
      <c r="AD281" s="297"/>
      <c r="AE281" s="297"/>
      <c r="AF281" s="297"/>
      <c r="AG281" s="297"/>
      <c r="AH281" s="297"/>
      <c r="AI281" s="297"/>
      <c r="AJ281" s="297"/>
      <c r="AK281" s="297"/>
      <c r="AL281" s="297"/>
      <c r="AM281" s="297"/>
      <c r="AN281" s="297"/>
      <c r="AO281" s="297"/>
      <c r="AP281" s="300" t="s">
        <v>369</v>
      </c>
      <c r="AQ281" s="136"/>
      <c r="AR281" s="294" t="s">
        <v>596</v>
      </c>
      <c r="AS281" s="142"/>
      <c r="AT281" s="142"/>
      <c r="AU281" s="146"/>
      <c r="AV281" s="48"/>
      <c r="AW281" s="131" t="s">
        <v>284</v>
      </c>
      <c r="AX281" s="131"/>
      <c r="AY281" s="131"/>
      <c r="AZ281" s="48"/>
      <c r="BA281" s="48"/>
      <c r="BB281" s="50"/>
      <c r="BC281" s="51" t="s">
        <v>171</v>
      </c>
      <c r="BD281" s="52">
        <v>0.10187666916126312</v>
      </c>
      <c r="BE281" s="47">
        <v>0.41835798590918077</v>
      </c>
      <c r="BF281" s="54">
        <v>0.10187666916126312</v>
      </c>
      <c r="BG281" s="47">
        <v>0.41835798590918077</v>
      </c>
      <c r="BH281" s="450">
        <v>464.99471475027013</v>
      </c>
      <c r="BI281" s="347">
        <f t="shared" si="299"/>
        <v>0</v>
      </c>
      <c r="BJ281" s="347">
        <f t="shared" si="292"/>
        <v>464.99471475027013</v>
      </c>
      <c r="BK281" s="45">
        <v>1646.7698872467747</v>
      </c>
      <c r="BL281" s="47">
        <v>0.35456615547014242</v>
      </c>
      <c r="BM281" s="45">
        <v>-1181.7751724965046</v>
      </c>
      <c r="BN281" s="55">
        <v>0.28236775420255722</v>
      </c>
      <c r="BO281" s="47">
        <f t="shared" si="300"/>
        <v>0.28236775420255722</v>
      </c>
      <c r="BP281" s="45">
        <v>378.38037928343431</v>
      </c>
      <c r="BQ281" s="55">
        <v>1.2289081046719799</v>
      </c>
      <c r="BR281" s="54">
        <v>0.10241122640419033</v>
      </c>
      <c r="BS281" s="47">
        <v>0.42055315280406808</v>
      </c>
      <c r="BT281" s="54">
        <v>0.20428789556545343</v>
      </c>
      <c r="BU281" s="47">
        <v>0.83891113871324885</v>
      </c>
      <c r="BV281" s="450">
        <v>499.05685650248643</v>
      </c>
      <c r="BW281" s="347">
        <f t="shared" si="301"/>
        <v>0</v>
      </c>
      <c r="BX281" s="347">
        <f t="shared" si="305"/>
        <v>499.05685650248643</v>
      </c>
      <c r="BY281" s="45">
        <v>1655.4106563051816</v>
      </c>
      <c r="BZ281" s="47">
        <v>0.35642660014372513</v>
      </c>
      <c r="CA281" s="45">
        <v>-1156.3537998026952</v>
      </c>
      <c r="CB281" s="55">
        <v>0.30147012440789994</v>
      </c>
      <c r="CC281" s="47">
        <f t="shared" si="302"/>
        <v>0.30147012440789994</v>
      </c>
      <c r="CD281" s="45">
        <v>380.36577961103364</v>
      </c>
      <c r="CE281" s="55">
        <v>1.3120445719718203</v>
      </c>
      <c r="CF281" s="52">
        <v>0.10333151688621467</v>
      </c>
      <c r="CG281" s="47">
        <v>0.42433233871268522</v>
      </c>
      <c r="CH281" s="54">
        <v>0.30761941245166813</v>
      </c>
      <c r="CI281" s="47">
        <v>1.263243477425934</v>
      </c>
      <c r="CJ281" s="450">
        <v>539.2957765579921</v>
      </c>
      <c r="CK281" s="347">
        <f t="shared" si="303"/>
        <v>0</v>
      </c>
      <c r="CL281" s="347">
        <f t="shared" si="306"/>
        <v>539.2957765579921</v>
      </c>
      <c r="CM281" s="45">
        <v>1670.2865515007597</v>
      </c>
      <c r="CN281" s="47">
        <v>0.3596295303220825</v>
      </c>
      <c r="CO281" s="45">
        <v>-1130.9907749427675</v>
      </c>
      <c r="CP281" s="55">
        <v>0.32287620113652504</v>
      </c>
      <c r="CQ281" s="47">
        <f t="shared" si="304"/>
        <v>0.32287620113652504</v>
      </c>
      <c r="CR281" s="45">
        <v>383.78383267957383</v>
      </c>
      <c r="CS281" s="55">
        <v>1.4052071260861507</v>
      </c>
    </row>
    <row r="282" spans="1:97" s="23" customFormat="1" ht="15" customHeight="1">
      <c r="A282" s="377" t="str">
        <f t="shared" si="293"/>
        <v>New Residential; Solar Space and Water Heat (Supplement Electricity); RES-Package; RES-NC</v>
      </c>
      <c r="B282" s="42" t="s">
        <v>172</v>
      </c>
      <c r="C282" s="15" t="s">
        <v>173</v>
      </c>
      <c r="D282" s="15" t="s">
        <v>183</v>
      </c>
      <c r="E282" s="43">
        <v>20</v>
      </c>
      <c r="F282" s="44">
        <v>7637.0131059319438</v>
      </c>
      <c r="G282" s="44">
        <v>0</v>
      </c>
      <c r="H282" s="45">
        <v>17500</v>
      </c>
      <c r="I282" s="46">
        <v>5.7142857142857141E-2</v>
      </c>
      <c r="J282" s="45">
        <v>282.56948491948191</v>
      </c>
      <c r="K282" s="45">
        <v>1282.569484919482</v>
      </c>
      <c r="L282" s="45">
        <v>16500</v>
      </c>
      <c r="M282" s="45">
        <v>17782.569484919481</v>
      </c>
      <c r="N282" s="45">
        <v>7110.9696392390488</v>
      </c>
      <c r="O282" s="47">
        <v>0.65</v>
      </c>
      <c r="P282" s="47">
        <v>0.39649176198217667</v>
      </c>
      <c r="Q282" s="310">
        <f t="shared" si="294"/>
        <v>0.39649176198217667</v>
      </c>
      <c r="R282" s="311">
        <f t="shared" si="295"/>
        <v>0</v>
      </c>
      <c r="S282" s="311">
        <f t="shared" si="296"/>
        <v>0</v>
      </c>
      <c r="T282" s="310">
        <f t="shared" si="297"/>
        <v>0.39649176198217667</v>
      </c>
      <c r="U282" s="316">
        <f t="shared" si="298"/>
        <v>0</v>
      </c>
      <c r="V282" s="48">
        <v>0.16794124445370717</v>
      </c>
      <c r="W282" s="48">
        <v>0</v>
      </c>
      <c r="X282" s="224" t="s">
        <v>397</v>
      </c>
      <c r="Y282" s="224" t="s">
        <v>515</v>
      </c>
      <c r="Z282" s="224" t="s">
        <v>342</v>
      </c>
      <c r="AA282" s="224"/>
      <c r="AB282" s="393"/>
      <c r="AC282" s="418"/>
      <c r="AD282" s="419"/>
      <c r="AE282" s="419"/>
      <c r="AF282" s="419"/>
      <c r="AG282" s="419"/>
      <c r="AH282" s="419"/>
      <c r="AI282" s="419"/>
      <c r="AJ282" s="419"/>
      <c r="AK282" s="419"/>
      <c r="AL282" s="419"/>
      <c r="AM282" s="419"/>
      <c r="AN282" s="419"/>
      <c r="AO282" s="419"/>
      <c r="AP282" s="300" t="s">
        <v>369</v>
      </c>
      <c r="AQ282" s="136"/>
      <c r="AR282" s="294" t="s">
        <v>596</v>
      </c>
      <c r="AS282" s="142"/>
      <c r="AT282" s="142"/>
      <c r="AU282" s="146"/>
      <c r="AV282" s="48"/>
      <c r="AW282" s="131" t="s">
        <v>284</v>
      </c>
      <c r="AX282" s="131"/>
      <c r="AY282" s="131"/>
      <c r="AZ282" s="48"/>
      <c r="BA282" s="48"/>
      <c r="BB282" s="50"/>
      <c r="BC282" s="51" t="s">
        <v>172</v>
      </c>
      <c r="BD282" s="52">
        <v>0</v>
      </c>
      <c r="BE282" s="53">
        <v>0.77905496562469578</v>
      </c>
      <c r="BF282" s="54">
        <v>0</v>
      </c>
      <c r="BG282" s="53">
        <v>0.77905496562469578</v>
      </c>
      <c r="BH282" s="450">
        <v>725.39304712632247</v>
      </c>
      <c r="BI282" s="347">
        <f t="shared" si="299"/>
        <v>0</v>
      </c>
      <c r="BJ282" s="347">
        <f t="shared" si="292"/>
        <v>725.39304712632247</v>
      </c>
      <c r="BK282" s="45">
        <v>1829.5286729284694</v>
      </c>
      <c r="BL282" s="47">
        <v>0.15693911799498109</v>
      </c>
      <c r="BM282" s="45">
        <v>-1104.1356258021469</v>
      </c>
      <c r="BN282" s="55">
        <v>0.39649176198217678</v>
      </c>
      <c r="BO282" s="47">
        <f t="shared" si="300"/>
        <v>0.39649176198217678</v>
      </c>
      <c r="BP282" s="45">
        <v>201.28532373054068</v>
      </c>
      <c r="BQ282" s="55">
        <v>3.6038049554839939</v>
      </c>
      <c r="BR282" s="54">
        <v>0</v>
      </c>
      <c r="BS282" s="53">
        <v>0.78314274625142477</v>
      </c>
      <c r="BT282" s="54">
        <v>0</v>
      </c>
      <c r="BU282" s="53">
        <v>1.5621977118761206</v>
      </c>
      <c r="BV282" s="450">
        <v>762.46468674959101</v>
      </c>
      <c r="BW282" s="347">
        <f t="shared" si="301"/>
        <v>0</v>
      </c>
      <c r="BX282" s="347">
        <f t="shared" si="305"/>
        <v>762.46468674959101</v>
      </c>
      <c r="BY282" s="45">
        <v>1839.1283959200885</v>
      </c>
      <c r="BZ282" s="47">
        <v>0.15776259350623903</v>
      </c>
      <c r="CA282" s="45">
        <v>-1076.6637091704974</v>
      </c>
      <c r="CB282" s="55">
        <v>0.41457936729215761</v>
      </c>
      <c r="CC282" s="47">
        <f t="shared" si="302"/>
        <v>0.41457936729215761</v>
      </c>
      <c r="CD282" s="45">
        <v>202.3414882928586</v>
      </c>
      <c r="CE282" s="55">
        <v>3.7682073665784204</v>
      </c>
      <c r="CF282" s="52">
        <v>0</v>
      </c>
      <c r="CG282" s="53">
        <v>0.79018024439246926</v>
      </c>
      <c r="CH282" s="54">
        <v>0</v>
      </c>
      <c r="CI282" s="53">
        <v>2.3523779562685898</v>
      </c>
      <c r="CJ282" s="450">
        <v>807.56323859696136</v>
      </c>
      <c r="CK282" s="347">
        <f t="shared" si="303"/>
        <v>0</v>
      </c>
      <c r="CL282" s="347">
        <f t="shared" si="306"/>
        <v>807.56323859696136</v>
      </c>
      <c r="CM282" s="45">
        <v>1855.6552203456249</v>
      </c>
      <c r="CN282" s="47">
        <v>0.15918028391305289</v>
      </c>
      <c r="CO282" s="45">
        <v>-1048.0919817486636</v>
      </c>
      <c r="CP282" s="55">
        <v>0.43519034664561701</v>
      </c>
      <c r="CQ282" s="47">
        <f t="shared" si="304"/>
        <v>0.43519034664561701</v>
      </c>
      <c r="CR282" s="45">
        <v>204.15977474770114</v>
      </c>
      <c r="CS282" s="55">
        <v>3.9555453056065573</v>
      </c>
    </row>
    <row r="283" spans="1:97" s="23" customFormat="1" ht="15" customHeight="1" thickBot="1">
      <c r="A283" s="377" t="str">
        <f t="shared" si="293"/>
        <v>New Residential; Solar Space Heating (Displacing Electricity); RES-HVAC/Shell; RES-NC</v>
      </c>
      <c r="B283" s="62" t="s">
        <v>174</v>
      </c>
      <c r="C283" s="16" t="s">
        <v>142</v>
      </c>
      <c r="D283" s="16" t="s">
        <v>183</v>
      </c>
      <c r="E283" s="63">
        <v>20</v>
      </c>
      <c r="F283" s="64">
        <v>5003.4938114894276</v>
      </c>
      <c r="G283" s="64">
        <v>0</v>
      </c>
      <c r="H283" s="65">
        <v>8835</v>
      </c>
      <c r="I283" s="66">
        <v>5.6593095642331635E-2</v>
      </c>
      <c r="J283" s="65">
        <v>185.12927102510881</v>
      </c>
      <c r="K283" s="65">
        <v>685.12927102510878</v>
      </c>
      <c r="L283" s="65">
        <v>8335</v>
      </c>
      <c r="M283" s="65">
        <v>9020.1292710251091</v>
      </c>
      <c r="N283" s="65">
        <v>4658.8492241797721</v>
      </c>
      <c r="O283" s="67">
        <v>0.65</v>
      </c>
      <c r="P283" s="67">
        <v>0.51084913461693626</v>
      </c>
      <c r="Q283" s="312">
        <f t="shared" si="294"/>
        <v>0.51084913461693626</v>
      </c>
      <c r="R283" s="313">
        <f t="shared" si="295"/>
        <v>0</v>
      </c>
      <c r="S283" s="313">
        <f t="shared" si="296"/>
        <v>0</v>
      </c>
      <c r="T283" s="312">
        <f t="shared" si="297"/>
        <v>0.51084913461693626</v>
      </c>
      <c r="U283" s="317">
        <f t="shared" si="298"/>
        <v>0</v>
      </c>
      <c r="V283" s="68">
        <v>0.13693017256299178</v>
      </c>
      <c r="W283" s="68">
        <v>0</v>
      </c>
      <c r="X283" s="227" t="s">
        <v>397</v>
      </c>
      <c r="Y283" s="227" t="s">
        <v>515</v>
      </c>
      <c r="Z283" s="227" t="s">
        <v>342</v>
      </c>
      <c r="AA283" s="227"/>
      <c r="AB283" s="395"/>
      <c r="AC283" s="420"/>
      <c r="AD283" s="421"/>
      <c r="AE283" s="421"/>
      <c r="AF283" s="421"/>
      <c r="AG283" s="421"/>
      <c r="AH283" s="421"/>
      <c r="AI283" s="421"/>
      <c r="AJ283" s="421"/>
      <c r="AK283" s="421"/>
      <c r="AL283" s="421"/>
      <c r="AM283" s="421"/>
      <c r="AN283" s="421"/>
      <c r="AO283" s="421"/>
      <c r="AP283" s="302" t="s">
        <v>369</v>
      </c>
      <c r="AQ283" s="137"/>
      <c r="AR283" s="324" t="s">
        <v>596</v>
      </c>
      <c r="AS283" s="143"/>
      <c r="AT283" s="143"/>
      <c r="AU283" s="147"/>
      <c r="AV283" s="68"/>
      <c r="AW283" s="132" t="s">
        <v>284</v>
      </c>
      <c r="AX283" s="132"/>
      <c r="AY283" s="132"/>
      <c r="AZ283" s="68"/>
      <c r="BA283" s="48"/>
      <c r="BB283" s="50"/>
      <c r="BC283" s="51" t="s">
        <v>174</v>
      </c>
      <c r="BD283" s="52">
        <v>0</v>
      </c>
      <c r="BE283" s="53">
        <v>0.51040853868452307</v>
      </c>
      <c r="BF283" s="54">
        <v>0</v>
      </c>
      <c r="BG283" s="53">
        <v>0.51040853868452307</v>
      </c>
      <c r="BH283" s="450">
        <v>475.25119727434401</v>
      </c>
      <c r="BI283" s="347">
        <f t="shared" si="299"/>
        <v>0</v>
      </c>
      <c r="BJ283" s="347">
        <f t="shared" si="292"/>
        <v>475.25119727434401</v>
      </c>
      <c r="BK283" s="45">
        <v>930.31614437541202</v>
      </c>
      <c r="BL283" s="47">
        <v>0.15693911799498109</v>
      </c>
      <c r="BM283" s="45">
        <v>-455.06494710106801</v>
      </c>
      <c r="BN283" s="55">
        <v>0.51084913461693626</v>
      </c>
      <c r="BO283" s="47">
        <f t="shared" si="300"/>
        <v>0.51084913461693626</v>
      </c>
      <c r="BP283" s="45">
        <v>107.52358350722493</v>
      </c>
      <c r="BQ283" s="55">
        <v>4.4199717101356653</v>
      </c>
      <c r="BR283" s="54">
        <v>0</v>
      </c>
      <c r="BS283" s="53">
        <v>0.513086704190443</v>
      </c>
      <c r="BT283" s="54">
        <v>0</v>
      </c>
      <c r="BU283" s="53">
        <v>1.023495242874966</v>
      </c>
      <c r="BV283" s="450">
        <v>499.53919008827756</v>
      </c>
      <c r="BW283" s="347">
        <f t="shared" si="301"/>
        <v>0</v>
      </c>
      <c r="BX283" s="347">
        <f t="shared" si="305"/>
        <v>499.53919008827756</v>
      </c>
      <c r="BY283" s="45">
        <v>935.19760778879481</v>
      </c>
      <c r="BZ283" s="47">
        <v>0.15776259350623903</v>
      </c>
      <c r="CA283" s="45">
        <v>-435.65841770051725</v>
      </c>
      <c r="CB283" s="55">
        <v>0.53415362264388255</v>
      </c>
      <c r="CC283" s="47">
        <f t="shared" si="302"/>
        <v>0.53415362264388255</v>
      </c>
      <c r="CD283" s="45">
        <v>108.08777068396012</v>
      </c>
      <c r="CE283" s="55">
        <v>4.6216069304351706</v>
      </c>
      <c r="CF283" s="52">
        <v>0</v>
      </c>
      <c r="CG283" s="53">
        <v>0.51769741755555865</v>
      </c>
      <c r="CH283" s="54">
        <v>0</v>
      </c>
      <c r="CI283" s="53">
        <v>1.5411926604305246</v>
      </c>
      <c r="CJ283" s="450">
        <v>529.08612446504071</v>
      </c>
      <c r="CK283" s="347">
        <f t="shared" si="303"/>
        <v>0</v>
      </c>
      <c r="CL283" s="347">
        <f t="shared" si="306"/>
        <v>529.08612446504071</v>
      </c>
      <c r="CM283" s="45">
        <v>943.60150536407787</v>
      </c>
      <c r="CN283" s="47">
        <v>0.15918028391305289</v>
      </c>
      <c r="CO283" s="45">
        <v>-414.51538089903715</v>
      </c>
      <c r="CP283" s="55">
        <v>0.56070928401168552</v>
      </c>
      <c r="CQ283" s="47">
        <f t="shared" si="304"/>
        <v>0.56070928401168552</v>
      </c>
      <c r="CR283" s="45">
        <v>109.05907187891977</v>
      </c>
      <c r="CS283" s="55">
        <v>4.8513719707100202</v>
      </c>
    </row>
    <row r="284" spans="1:97" s="23" customFormat="1" ht="15" customHeight="1" thickBot="1">
      <c r="A284" s="377"/>
      <c r="Q284"/>
      <c r="R284"/>
      <c r="S284"/>
      <c r="T284"/>
      <c r="U284"/>
      <c r="AC284" s="287"/>
      <c r="AD284" s="287"/>
      <c r="AE284" s="287"/>
      <c r="AF284" s="287"/>
      <c r="AG284" s="287"/>
      <c r="AH284" s="287"/>
      <c r="AI284" s="287"/>
      <c r="AJ284" s="287"/>
      <c r="AK284" s="287"/>
      <c r="AL284" s="287"/>
      <c r="AM284" s="287"/>
      <c r="AN284" s="287"/>
      <c r="AO284" s="287"/>
      <c r="AR284" s="506"/>
      <c r="BC284" s="72" t="s">
        <v>103</v>
      </c>
      <c r="BD284" s="73">
        <v>1000.6742034468097</v>
      </c>
      <c r="BE284" s="74">
        <v>3541.3155991641397</v>
      </c>
      <c r="BF284" s="75">
        <v>1000.6742034468097</v>
      </c>
      <c r="BG284" s="74">
        <v>3541.3155991641397</v>
      </c>
      <c r="BH284" s="428">
        <v>6721774.8617515834</v>
      </c>
      <c r="BI284" s="348">
        <f>SUM(BI275:BI283)</f>
        <v>1014866.8219814287</v>
      </c>
      <c r="BJ284" s="430">
        <f t="shared" si="292"/>
        <v>7736641.6837330125</v>
      </c>
      <c r="BK284" s="76">
        <v>2696139.5211304091</v>
      </c>
      <c r="BL284" s="77"/>
      <c r="BM284" s="76">
        <v>4025635.3406211738</v>
      </c>
      <c r="BN284" s="78">
        <v>2.4931109124995685</v>
      </c>
      <c r="BO284" s="77"/>
      <c r="BP284" s="76">
        <v>1734143.4562584476</v>
      </c>
      <c r="BQ284" s="78">
        <v>3.8761354128419958</v>
      </c>
      <c r="BR284" s="75">
        <v>1025.9511328637284</v>
      </c>
      <c r="BS284" s="74">
        <v>3630.7419081714465</v>
      </c>
      <c r="BT284" s="75">
        <v>2026.6253363105379</v>
      </c>
      <c r="BU284" s="74">
        <v>7172.0575073355858</v>
      </c>
      <c r="BV284" s="428">
        <v>7246439.6144212587</v>
      </c>
      <c r="BW284" s="348">
        <f>SUM(BW275:BW283)</f>
        <v>1039286.0821554158</v>
      </c>
      <c r="BX284" s="430">
        <f t="shared" si="305"/>
        <v>8285725.6965766745</v>
      </c>
      <c r="BY284" s="76">
        <v>2764097.8384879855</v>
      </c>
      <c r="BZ284" s="77"/>
      <c r="CA284" s="76">
        <v>4482341.7759332731</v>
      </c>
      <c r="CB284" s="78">
        <v>2.6216292033950577</v>
      </c>
      <c r="CC284" s="77"/>
      <c r="CD284" s="76">
        <v>1777026.4918551606</v>
      </c>
      <c r="CE284" s="78">
        <v>4.0778455738474673</v>
      </c>
      <c r="CF284" s="75">
        <v>1052.9522196464848</v>
      </c>
      <c r="CG284" s="74">
        <v>3726.2726689004635</v>
      </c>
      <c r="CH284" s="75">
        <v>3079.5775559570225</v>
      </c>
      <c r="CI284" s="74">
        <v>10898.33017623605</v>
      </c>
      <c r="CJ284" s="428">
        <v>7831323.6761522973</v>
      </c>
      <c r="CK284" s="348">
        <f>SUM(CK275:CK283)</f>
        <v>1065477.68663629</v>
      </c>
      <c r="CL284" s="430">
        <f t="shared" si="306"/>
        <v>8896801.3627885878</v>
      </c>
      <c r="CM284" s="76">
        <v>2836713.114699197</v>
      </c>
      <c r="CN284" s="77"/>
      <c r="CO284" s="76">
        <v>4994610.5614530994</v>
      </c>
      <c r="CP284" s="78">
        <v>2.7607034477939179</v>
      </c>
      <c r="CQ284" s="77"/>
      <c r="CR284" s="76">
        <v>1822916.4105862658</v>
      </c>
      <c r="CS284" s="78">
        <v>4.2960410201330488</v>
      </c>
    </row>
    <row r="285" spans="1:97" s="23" customFormat="1" ht="15" customHeight="1" thickBot="1">
      <c r="A285" s="306"/>
      <c r="B285"/>
      <c r="Q285"/>
      <c r="R285"/>
      <c r="S285"/>
      <c r="T285"/>
      <c r="U285"/>
      <c r="AC285" s="287"/>
      <c r="AD285" s="287"/>
      <c r="AE285" s="287"/>
      <c r="AF285" s="287"/>
      <c r="AG285" s="287"/>
      <c r="AH285" s="287"/>
      <c r="AI285" s="287"/>
      <c r="AJ285" s="287"/>
      <c r="AK285" s="287"/>
      <c r="AL285" s="287"/>
      <c r="AM285" s="287"/>
      <c r="AN285" s="287"/>
      <c r="AO285" s="287"/>
      <c r="AR285" s="506"/>
      <c r="BC285" s="80" t="s">
        <v>104</v>
      </c>
      <c r="BD285" s="81">
        <v>1000.6742034468097</v>
      </c>
      <c r="BE285" s="81">
        <v>3541.3155991641397</v>
      </c>
      <c r="BF285" s="82">
        <v>1000.6742034468097</v>
      </c>
      <c r="BG285" s="81">
        <v>3541.3155991641397</v>
      </c>
      <c r="BH285" s="451">
        <v>6721774.8617515834</v>
      </c>
      <c r="BI285" s="429">
        <f>SUM(BH284:BI284)/BK284</f>
        <v>2.8695257137469188</v>
      </c>
      <c r="BJ285" s="347"/>
      <c r="BK285" s="83"/>
      <c r="BL285" s="84"/>
      <c r="BM285" s="83"/>
      <c r="BN285" s="429">
        <v>2.4931109124995685</v>
      </c>
      <c r="BO285" s="84"/>
      <c r="BP285" s="83"/>
      <c r="BQ285" s="84">
        <v>3.8761354128419954</v>
      </c>
      <c r="BR285" s="81">
        <v>1025.9511328637284</v>
      </c>
      <c r="BS285" s="81">
        <v>3630.7419081714465</v>
      </c>
      <c r="BT285" s="82">
        <v>2026.6253363105379</v>
      </c>
      <c r="BU285" s="81">
        <v>7172.0575073355858</v>
      </c>
      <c r="BV285" s="451">
        <v>7246439.6144212587</v>
      </c>
      <c r="BW285" s="429">
        <f>SUM(BV284:BW284)/BY284</f>
        <v>2.9976238833532483</v>
      </c>
      <c r="BX285" s="347"/>
      <c r="BY285" s="83"/>
      <c r="BZ285" s="84"/>
      <c r="CA285" s="83"/>
      <c r="CB285" s="429">
        <v>2.6216292033950586</v>
      </c>
      <c r="CC285" s="84"/>
      <c r="CD285" s="83"/>
      <c r="CE285" s="84">
        <v>4.0778455738474673</v>
      </c>
      <c r="CF285" s="81">
        <v>1052.9522196464848</v>
      </c>
      <c r="CG285" s="81">
        <v>3726.2726689004635</v>
      </c>
      <c r="CH285" s="82">
        <v>3079.5775559570225</v>
      </c>
      <c r="CI285" s="81">
        <v>10898.33017623605</v>
      </c>
      <c r="CJ285" s="451">
        <v>7831323.6761522973</v>
      </c>
      <c r="CK285" s="429">
        <f>SUM(CJ284:CK284)/CM284</f>
        <v>3.1363063528304651</v>
      </c>
      <c r="CL285" s="347"/>
      <c r="CM285" s="83"/>
      <c r="CN285" s="84"/>
      <c r="CO285" s="83"/>
      <c r="CP285" s="429">
        <v>2.7607034477939179</v>
      </c>
      <c r="CQ285" s="84"/>
      <c r="CR285" s="83"/>
      <c r="CS285" s="84">
        <v>4.2960410201330488</v>
      </c>
    </row>
    <row r="286" spans="1:97" s="23" customFormat="1" ht="15" customHeight="1" thickBot="1">
      <c r="A286" s="306"/>
      <c r="B286"/>
      <c r="Q286"/>
      <c r="R286"/>
      <c r="S286"/>
      <c r="T286"/>
      <c r="U286"/>
      <c r="AC286" s="287"/>
      <c r="AD286" s="287"/>
      <c r="AE286" s="287"/>
      <c r="AF286" s="287"/>
      <c r="AG286" s="287"/>
      <c r="AH286" s="287"/>
      <c r="AI286" s="287"/>
      <c r="AJ286" s="287"/>
      <c r="AK286" s="287"/>
      <c r="AL286" s="287"/>
      <c r="AM286" s="287"/>
      <c r="AN286" s="287"/>
      <c r="AO286" s="287"/>
      <c r="AR286" s="506"/>
      <c r="BD286" s="106"/>
      <c r="BF286" s="106"/>
      <c r="BH286" s="441"/>
      <c r="BI286" s="469" t="s">
        <v>461</v>
      </c>
      <c r="BJ286" s="468"/>
      <c r="BK286" s="442"/>
      <c r="BL286" s="443"/>
      <c r="BM286" s="442"/>
      <c r="BN286" s="470" t="s">
        <v>508</v>
      </c>
      <c r="BR286" s="106"/>
      <c r="BT286" s="106"/>
      <c r="BV286" s="441"/>
      <c r="BW286" s="469" t="s">
        <v>461</v>
      </c>
      <c r="BX286" s="468"/>
      <c r="BY286" s="442"/>
      <c r="BZ286" s="443"/>
      <c r="CA286" s="442"/>
      <c r="CB286" s="470" t="s">
        <v>508</v>
      </c>
      <c r="CF286" s="106"/>
      <c r="CH286" s="106"/>
      <c r="CJ286" s="441"/>
      <c r="CK286" s="469" t="s">
        <v>461</v>
      </c>
      <c r="CL286" s="468"/>
      <c r="CM286" s="442"/>
      <c r="CN286" s="443"/>
      <c r="CO286" s="442"/>
      <c r="CP286" s="470" t="s">
        <v>508</v>
      </c>
    </row>
    <row r="287" spans="1:97" s="23" customFormat="1" ht="15" customHeight="1">
      <c r="A287" s="306"/>
      <c r="B287"/>
      <c r="Q287"/>
      <c r="R287"/>
      <c r="S287"/>
      <c r="T287"/>
      <c r="U287"/>
      <c r="AC287" s="287"/>
      <c r="AD287" s="287"/>
      <c r="AE287" s="287"/>
      <c r="AF287" s="287"/>
      <c r="AG287" s="287"/>
      <c r="AH287" s="287"/>
      <c r="AI287" s="287"/>
      <c r="AJ287" s="287"/>
      <c r="AK287" s="287"/>
      <c r="AL287" s="287"/>
      <c r="AM287" s="287"/>
      <c r="AN287" s="287"/>
      <c r="AO287" s="287"/>
      <c r="AR287" s="506"/>
      <c r="BD287" s="106"/>
      <c r="BF287" s="106"/>
      <c r="BI287" s="239"/>
      <c r="BJ287" s="239"/>
      <c r="BK287" s="239"/>
      <c r="BL287" s="239"/>
      <c r="BM287" s="239"/>
      <c r="BN287" s="239"/>
      <c r="BO287" s="239"/>
      <c r="BP287" s="239"/>
      <c r="BQ287" s="239"/>
      <c r="BR287" s="475"/>
      <c r="BS287" s="239"/>
      <c r="BT287" s="475"/>
      <c r="BU287" s="239"/>
      <c r="BV287" s="239"/>
      <c r="BW287" s="239"/>
      <c r="BX287" s="239"/>
      <c r="BY287" s="239"/>
      <c r="BZ287" s="239"/>
      <c r="CA287" s="239"/>
      <c r="CB287" s="239"/>
      <c r="CC287" s="239"/>
      <c r="CD287" s="239"/>
      <c r="CE287" s="239"/>
      <c r="CF287" s="475"/>
      <c r="CG287" s="239"/>
      <c r="CH287" s="475"/>
      <c r="CI287" s="239"/>
      <c r="CJ287" s="239"/>
      <c r="CK287" s="239"/>
      <c r="CL287" s="239"/>
    </row>
    <row r="288" spans="1:97" s="23" customFormat="1" ht="18" customHeight="1">
      <c r="A288" s="306"/>
      <c r="B288"/>
      <c r="C288" s="107">
        <f>SUM(B269,B285,B229,B210,B193,B145)</f>
        <v>0</v>
      </c>
      <c r="Q288"/>
      <c r="R288"/>
      <c r="S288"/>
      <c r="T288"/>
      <c r="U288"/>
      <c r="AC288" s="287"/>
      <c r="AD288" s="287"/>
      <c r="AE288" s="287"/>
      <c r="AF288" s="287"/>
      <c r="AG288" s="287"/>
      <c r="AH288" s="287"/>
      <c r="AI288" s="287"/>
      <c r="AJ288" s="287"/>
      <c r="AK288" s="287"/>
      <c r="AL288" s="287"/>
      <c r="AM288" s="287"/>
      <c r="AN288" s="287"/>
      <c r="AO288" s="287"/>
      <c r="AR288" s="506"/>
      <c r="BD288" s="106"/>
      <c r="BF288" s="106"/>
      <c r="BR288" s="106"/>
      <c r="BT288" s="106"/>
      <c r="CF288" s="106"/>
      <c r="CH288" s="106"/>
    </row>
    <row r="289" spans="1:96" s="23" customFormat="1" ht="52.5" customHeight="1">
      <c r="A289" s="306"/>
      <c r="B289"/>
      <c r="Q289"/>
      <c r="R289"/>
      <c r="S289"/>
      <c r="T289"/>
      <c r="U289"/>
      <c r="AC289" s="287"/>
      <c r="AD289" s="287"/>
      <c r="AE289" s="287"/>
      <c r="AF289" s="287"/>
      <c r="AG289" s="287"/>
      <c r="AH289" s="287"/>
      <c r="AI289" s="287"/>
      <c r="AJ289" s="287"/>
      <c r="AK289" s="287"/>
      <c r="AL289" s="287"/>
      <c r="AM289" s="287"/>
      <c r="AN289" s="287"/>
      <c r="AO289" s="287"/>
      <c r="AR289" s="506"/>
      <c r="BD289" s="106"/>
      <c r="BF289" s="106"/>
      <c r="BI289" s="354"/>
      <c r="BJ289" s="354"/>
      <c r="BK289" s="355"/>
      <c r="BL289" s="355"/>
      <c r="BM289" s="354"/>
      <c r="BR289" s="106"/>
      <c r="BT289" s="106"/>
      <c r="BW289" s="354"/>
      <c r="BX289" s="354"/>
      <c r="BY289" s="355"/>
      <c r="BZ289" s="355"/>
      <c r="CA289" s="354"/>
      <c r="CF289" s="106"/>
      <c r="CH289" s="106"/>
      <c r="CK289" s="354"/>
      <c r="CL289" s="354"/>
      <c r="CM289" s="355" t="s">
        <v>460</v>
      </c>
      <c r="CN289" s="355"/>
      <c r="CO289" s="354" t="s">
        <v>22</v>
      </c>
    </row>
    <row r="290" spans="1:96" s="23" customFormat="1" ht="15" customHeight="1">
      <c r="A290" s="306"/>
      <c r="Q290"/>
      <c r="R290"/>
      <c r="S290"/>
      <c r="T290"/>
      <c r="U290"/>
      <c r="AC290" s="287"/>
      <c r="AD290" s="287"/>
      <c r="AE290" s="287"/>
      <c r="AF290" s="287"/>
      <c r="AG290" s="287"/>
      <c r="AH290" s="287"/>
      <c r="AI290" s="287"/>
      <c r="AJ290" s="287"/>
      <c r="AK290" s="287"/>
      <c r="AL290" s="287"/>
      <c r="AM290" s="287"/>
      <c r="AN290" s="287"/>
      <c r="AO290" s="287"/>
      <c r="AR290" s="506"/>
      <c r="BD290" s="106"/>
      <c r="BF290" s="106"/>
      <c r="BI290" s="431"/>
      <c r="BJ290" s="353"/>
      <c r="BK290" s="431"/>
      <c r="BL290" s="353"/>
      <c r="BM290" s="353"/>
      <c r="BR290" s="106"/>
      <c r="BT290" s="106"/>
      <c r="BW290" s="353"/>
      <c r="BX290" s="353"/>
      <c r="BY290" s="353"/>
      <c r="BZ290" s="353"/>
      <c r="CA290" s="353"/>
      <c r="CF290" s="106"/>
      <c r="CH290" s="106"/>
      <c r="CK290" s="353"/>
      <c r="CL290" s="353"/>
      <c r="CM290" s="353">
        <f>CK290+SUM(CK284,CK268,CK228,CK209,CK192,CK144)</f>
        <v>34545204.607881375</v>
      </c>
      <c r="CN290" s="353"/>
      <c r="CO290" s="353">
        <f>SUM(CM284,CM268,CM228,CM209,CM192,CM144)</f>
        <v>71966380.637965545</v>
      </c>
    </row>
    <row r="291" spans="1:96" ht="15" customHeight="1">
      <c r="A291" s="239"/>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356"/>
      <c r="AD291" s="356"/>
      <c r="AE291" s="356"/>
      <c r="AF291" s="356"/>
      <c r="AG291" s="356"/>
      <c r="AH291" s="356"/>
      <c r="AI291" s="356"/>
      <c r="AJ291" s="356"/>
      <c r="AK291" s="356"/>
      <c r="AL291" s="356"/>
      <c r="AM291" s="356"/>
      <c r="AN291" s="356"/>
      <c r="AO291" s="356"/>
      <c r="AP291" s="239"/>
      <c r="AQ291" s="239"/>
      <c r="AR291" s="507"/>
      <c r="AS291" s="239"/>
      <c r="AT291" s="239"/>
      <c r="AU291" s="239"/>
      <c r="AV291" s="239"/>
      <c r="AW291" s="239"/>
      <c r="AX291" s="239"/>
      <c r="AY291" s="239"/>
      <c r="AZ291" s="239"/>
      <c r="BA291" s="239"/>
      <c r="BB291" s="239"/>
      <c r="BC291" s="239"/>
      <c r="BD291" s="239"/>
      <c r="BE291" s="239"/>
      <c r="BF291" s="239"/>
      <c r="BG291" s="239"/>
      <c r="BH291" s="239"/>
    </row>
    <row r="292" spans="1:96" ht="15" customHeight="1">
      <c r="A292" s="239"/>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356"/>
      <c r="AD292" s="356"/>
      <c r="AE292" s="356"/>
      <c r="AF292" s="356"/>
      <c r="AG292" s="356"/>
      <c r="AH292" s="356"/>
      <c r="AI292" s="356"/>
      <c r="AJ292" s="356"/>
      <c r="AK292" s="356"/>
      <c r="AL292" s="356"/>
      <c r="AM292" s="356"/>
      <c r="AN292" s="356"/>
      <c r="AO292" s="356"/>
      <c r="AP292" s="239"/>
      <c r="AQ292" s="239"/>
      <c r="AR292" s="507"/>
      <c r="AS292" s="239"/>
      <c r="AT292" s="239"/>
      <c r="AU292" s="239"/>
      <c r="AV292" s="239"/>
      <c r="AW292" s="239"/>
      <c r="AX292" s="239"/>
      <c r="AY292" s="239"/>
      <c r="AZ292" s="239"/>
      <c r="BA292" s="239"/>
      <c r="BB292" s="239"/>
      <c r="BC292" s="239"/>
      <c r="BD292" s="239"/>
      <c r="BE292" s="239"/>
      <c r="BF292" s="239"/>
      <c r="BG292" s="239"/>
      <c r="BH292" s="239"/>
      <c r="CM292" s="239" t="s">
        <v>462</v>
      </c>
    </row>
    <row r="293" spans="1:96" ht="25.5" customHeight="1">
      <c r="A293" s="239"/>
      <c r="B293" s="239"/>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c r="AA293" s="239"/>
      <c r="AB293" s="239"/>
      <c r="AC293" s="356"/>
      <c r="AD293" s="356"/>
      <c r="AE293" s="356"/>
      <c r="AF293" s="356"/>
      <c r="AG293" s="356"/>
      <c r="AH293" s="356"/>
      <c r="AI293" s="356"/>
      <c r="AJ293" s="356"/>
      <c r="AK293" s="356"/>
      <c r="AL293" s="356"/>
      <c r="AM293" s="356"/>
      <c r="AN293" s="356"/>
      <c r="AO293" s="356"/>
      <c r="AP293" s="239"/>
      <c r="AQ293" s="239"/>
      <c r="AR293" s="507"/>
      <c r="AS293" s="239"/>
      <c r="AT293" s="239"/>
      <c r="AU293" s="239"/>
      <c r="AV293" s="239"/>
      <c r="AW293" s="239"/>
      <c r="AX293" s="239"/>
      <c r="AY293" s="239"/>
      <c r="AZ293" s="239"/>
      <c r="BA293" s="239"/>
      <c r="BB293" s="239"/>
      <c r="BC293" s="239"/>
      <c r="BD293" s="239"/>
      <c r="BE293" s="239"/>
      <c r="BF293" s="239"/>
      <c r="BG293" s="239"/>
      <c r="BH293" s="239"/>
      <c r="BI293" s="432"/>
      <c r="BJ293" s="357"/>
      <c r="BK293" s="432"/>
      <c r="BL293" s="357"/>
      <c r="BM293" s="362"/>
      <c r="BW293" s="357"/>
      <c r="BX293" s="357"/>
      <c r="BY293" s="357"/>
      <c r="BZ293" s="357"/>
      <c r="CA293" s="363"/>
      <c r="CK293" s="357"/>
      <c r="CL293" s="357"/>
      <c r="CM293" s="357">
        <f>CM290/CO290</f>
        <v>0.48001864622961465</v>
      </c>
      <c r="CN293" s="357"/>
      <c r="CR293" s="239" t="e">
        <f>(CM293-CK293)/CK293</f>
        <v>#DIV/0!</v>
      </c>
    </row>
    <row r="294" spans="1:96" ht="15" customHeight="1">
      <c r="A294" s="239"/>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c r="AA294" s="239"/>
      <c r="AB294" s="239"/>
      <c r="AC294" s="356"/>
      <c r="AD294" s="356"/>
      <c r="AE294" s="356"/>
      <c r="AF294" s="356"/>
      <c r="AG294" s="356"/>
      <c r="AH294" s="356"/>
      <c r="AI294" s="356"/>
      <c r="AJ294" s="356"/>
      <c r="AK294" s="356"/>
      <c r="AL294" s="356"/>
      <c r="AM294" s="356"/>
      <c r="AN294" s="356"/>
      <c r="AO294" s="356"/>
      <c r="AP294" s="239"/>
      <c r="AQ294" s="239"/>
      <c r="AR294" s="507"/>
      <c r="AS294" s="239"/>
      <c r="AT294" s="239"/>
      <c r="AU294" s="239"/>
      <c r="AV294" s="239"/>
      <c r="AW294" s="239"/>
      <c r="AX294" s="239"/>
      <c r="AY294" s="239"/>
      <c r="AZ294" s="239"/>
      <c r="BA294" s="239"/>
      <c r="BB294" s="239"/>
      <c r="BC294" s="239"/>
      <c r="BD294" s="239"/>
      <c r="BE294" s="239"/>
      <c r="BF294" s="239"/>
      <c r="BG294" s="239"/>
      <c r="BH294" s="239"/>
    </row>
    <row r="295" spans="1:96" ht="15" customHeight="1">
      <c r="A295" s="239"/>
      <c r="B295" s="239"/>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c r="AA295" s="239"/>
      <c r="AB295" s="239"/>
      <c r="AC295" s="356"/>
      <c r="AD295" s="356"/>
      <c r="AE295" s="356"/>
      <c r="AF295" s="356"/>
      <c r="AG295" s="356"/>
      <c r="AH295" s="356"/>
      <c r="AI295" s="356"/>
      <c r="AJ295" s="356"/>
      <c r="AK295" s="356"/>
      <c r="AL295" s="356"/>
      <c r="AM295" s="356"/>
      <c r="AN295" s="356"/>
      <c r="AO295" s="356"/>
      <c r="AP295" s="239"/>
      <c r="AQ295" s="239"/>
      <c r="AR295" s="507"/>
      <c r="AS295" s="239"/>
      <c r="AT295" s="239"/>
      <c r="AU295" s="239"/>
      <c r="AV295" s="239"/>
      <c r="AW295" s="239"/>
      <c r="AX295" s="239"/>
      <c r="AY295" s="239"/>
      <c r="AZ295" s="239"/>
      <c r="BA295" s="239"/>
      <c r="BB295" s="239"/>
      <c r="BC295" s="239"/>
      <c r="BD295" s="239"/>
      <c r="BE295" s="239"/>
      <c r="BF295" s="239"/>
      <c r="BG295" s="239"/>
      <c r="BH295" s="239"/>
    </row>
    <row r="296" spans="1:96" ht="15" customHeight="1">
      <c r="A296" s="239"/>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c r="AA296" s="239"/>
      <c r="AB296" s="239"/>
      <c r="AC296" s="356"/>
      <c r="AD296" s="356"/>
      <c r="AE296" s="356"/>
      <c r="AF296" s="356"/>
      <c r="AG296" s="356"/>
      <c r="AH296" s="356"/>
      <c r="AI296" s="356"/>
      <c r="AJ296" s="356"/>
      <c r="AK296" s="356"/>
      <c r="AL296" s="356"/>
      <c r="AM296" s="356"/>
      <c r="AN296" s="356"/>
      <c r="AO296" s="356"/>
      <c r="AP296" s="239"/>
      <c r="AQ296" s="239"/>
      <c r="AR296" s="507"/>
      <c r="AS296" s="239"/>
      <c r="AT296" s="239"/>
      <c r="AU296" s="239"/>
      <c r="AV296" s="239"/>
      <c r="AW296" s="239"/>
      <c r="AX296" s="239"/>
      <c r="AY296" s="239"/>
      <c r="AZ296" s="239"/>
      <c r="BA296" s="239"/>
      <c r="BB296" s="239"/>
      <c r="BC296" s="239"/>
      <c r="BD296" s="239"/>
      <c r="BE296" s="239"/>
      <c r="BF296" s="239"/>
      <c r="BG296" s="239"/>
      <c r="BH296" s="239"/>
    </row>
    <row r="297" spans="1:96" ht="15" customHeight="1">
      <c r="A297" s="239"/>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356"/>
      <c r="AD297" s="356"/>
      <c r="AE297" s="356"/>
      <c r="AF297" s="356"/>
      <c r="AG297" s="356"/>
      <c r="AH297" s="356"/>
      <c r="AI297" s="356"/>
      <c r="AJ297" s="356"/>
      <c r="AK297" s="356"/>
      <c r="AL297" s="356"/>
      <c r="AM297" s="356"/>
      <c r="AN297" s="356"/>
      <c r="AO297" s="356"/>
      <c r="AP297" s="239"/>
      <c r="AQ297" s="239"/>
      <c r="AR297" s="507"/>
      <c r="AS297" s="239"/>
      <c r="AT297" s="239"/>
      <c r="AU297" s="239"/>
      <c r="AV297" s="239"/>
      <c r="AW297" s="239"/>
      <c r="AX297" s="239"/>
      <c r="AY297" s="239"/>
      <c r="AZ297" s="239"/>
      <c r="BA297" s="239"/>
      <c r="BB297" s="239"/>
      <c r="BC297" s="239"/>
      <c r="BD297" s="239"/>
      <c r="BE297" s="239"/>
      <c r="BF297" s="239"/>
      <c r="BG297" s="239"/>
      <c r="BH297" s="239"/>
    </row>
    <row r="298" spans="1:96" ht="15" customHeight="1">
      <c r="A298" s="239"/>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c r="AA298" s="239"/>
      <c r="AB298" s="239"/>
      <c r="AC298" s="356"/>
      <c r="AD298" s="356"/>
      <c r="AE298" s="356"/>
      <c r="AF298" s="356"/>
      <c r="AG298" s="356"/>
      <c r="AH298" s="356"/>
      <c r="AI298" s="356"/>
      <c r="AJ298" s="356"/>
      <c r="AK298" s="356"/>
      <c r="AL298" s="356"/>
      <c r="AM298" s="356"/>
      <c r="AN298" s="356"/>
      <c r="AO298" s="356"/>
      <c r="AP298" s="239"/>
      <c r="AQ298" s="239"/>
      <c r="AR298" s="507"/>
      <c r="AS298" s="239"/>
      <c r="AT298" s="239"/>
      <c r="AU298" s="239"/>
      <c r="AV298" s="239"/>
      <c r="AW298" s="239"/>
      <c r="AX298" s="239"/>
      <c r="AY298" s="239"/>
      <c r="AZ298" s="239"/>
      <c r="BA298" s="239"/>
      <c r="BB298" s="239"/>
      <c r="BC298" s="239"/>
      <c r="BD298" s="239"/>
      <c r="BE298" s="239"/>
      <c r="BF298" s="239"/>
      <c r="BG298" s="239"/>
      <c r="BH298" s="239"/>
      <c r="BV298" s="364"/>
    </row>
    <row r="299" spans="1:96" ht="15" customHeight="1">
      <c r="A299" s="239"/>
      <c r="B299" s="239"/>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356"/>
      <c r="AD299" s="356"/>
      <c r="AE299" s="356"/>
      <c r="AF299" s="356"/>
      <c r="AG299" s="356"/>
      <c r="AH299" s="356"/>
      <c r="AI299" s="356"/>
      <c r="AJ299" s="356"/>
      <c r="AK299" s="356"/>
      <c r="AL299" s="356"/>
      <c r="AM299" s="356"/>
      <c r="AN299" s="356"/>
      <c r="AO299" s="356"/>
      <c r="AP299" s="239"/>
      <c r="AQ299" s="239"/>
      <c r="AR299" s="507"/>
      <c r="AS299" s="239"/>
      <c r="AT299" s="239"/>
      <c r="AU299" s="239"/>
      <c r="AV299" s="239"/>
      <c r="AW299" s="239"/>
      <c r="AX299" s="239"/>
      <c r="AY299" s="239"/>
      <c r="AZ299" s="239"/>
      <c r="BA299" s="239"/>
      <c r="BB299" s="239"/>
      <c r="BC299" s="239"/>
      <c r="BD299" s="239"/>
      <c r="BE299" s="239"/>
      <c r="BF299" s="239"/>
      <c r="BG299" s="239"/>
      <c r="BH299" s="239"/>
    </row>
    <row r="300" spans="1:96" ht="15" customHeight="1">
      <c r="A300" s="239"/>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c r="AA300" s="239"/>
      <c r="AB300" s="239"/>
      <c r="AC300" s="356"/>
      <c r="AD300" s="356"/>
      <c r="AE300" s="356"/>
      <c r="AF300" s="356"/>
      <c r="AG300" s="356"/>
      <c r="AH300" s="356"/>
      <c r="AI300" s="356"/>
      <c r="AJ300" s="356"/>
      <c r="AK300" s="356"/>
      <c r="AL300" s="356"/>
      <c r="AM300" s="356"/>
      <c r="AN300" s="356"/>
      <c r="AO300" s="356"/>
      <c r="AP300" s="239"/>
      <c r="AQ300" s="239"/>
      <c r="AR300" s="507"/>
      <c r="AS300" s="239"/>
      <c r="AT300" s="239"/>
      <c r="AU300" s="239"/>
      <c r="AV300" s="239"/>
      <c r="AW300" s="239"/>
      <c r="AX300" s="239"/>
      <c r="AY300" s="239"/>
      <c r="AZ300" s="239"/>
      <c r="BA300" s="239"/>
      <c r="BB300" s="239"/>
      <c r="BC300" s="239"/>
      <c r="BD300" s="239"/>
      <c r="BE300" s="239"/>
      <c r="BF300" s="239"/>
      <c r="BG300" s="239"/>
      <c r="BH300" s="239"/>
    </row>
    <row r="301" spans="1:96" ht="15" customHeight="1">
      <c r="A301" s="239"/>
      <c r="B301" s="239"/>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356"/>
      <c r="AD301" s="356"/>
      <c r="AE301" s="356"/>
      <c r="AF301" s="356"/>
      <c r="AG301" s="356"/>
      <c r="AH301" s="356"/>
      <c r="AI301" s="356"/>
      <c r="AJ301" s="356"/>
      <c r="AK301" s="356"/>
      <c r="AL301" s="356"/>
      <c r="AM301" s="356"/>
      <c r="AN301" s="356"/>
      <c r="AO301" s="356"/>
      <c r="AP301" s="239"/>
      <c r="AQ301" s="239"/>
      <c r="AR301" s="507"/>
      <c r="AS301" s="239"/>
      <c r="AT301" s="239"/>
      <c r="AU301" s="239"/>
      <c r="AV301" s="239"/>
      <c r="AW301" s="239"/>
      <c r="AX301" s="239"/>
      <c r="AY301" s="239"/>
      <c r="AZ301" s="239"/>
      <c r="BA301" s="239"/>
      <c r="BB301" s="239"/>
      <c r="BC301" s="239"/>
      <c r="BD301" s="239"/>
      <c r="BE301" s="239"/>
      <c r="BF301" s="239"/>
      <c r="BG301" s="239"/>
      <c r="BH301" s="239"/>
    </row>
    <row r="302" spans="1:96" ht="15" customHeight="1">
      <c r="A302" s="239"/>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c r="AA302" s="239"/>
      <c r="AB302" s="239"/>
      <c r="AC302" s="356"/>
      <c r="AD302" s="356"/>
      <c r="AE302" s="356"/>
      <c r="AF302" s="356"/>
      <c r="AG302" s="356"/>
      <c r="AH302" s="356"/>
      <c r="AI302" s="356"/>
      <c r="AJ302" s="356"/>
      <c r="AK302" s="356"/>
      <c r="AL302" s="356"/>
      <c r="AM302" s="356"/>
      <c r="AN302" s="356"/>
      <c r="AO302" s="356"/>
      <c r="AP302" s="239"/>
      <c r="AQ302" s="239"/>
      <c r="AR302" s="507"/>
      <c r="AS302" s="239"/>
      <c r="AT302" s="239"/>
      <c r="AU302" s="239"/>
      <c r="AV302" s="239"/>
      <c r="AW302" s="239"/>
      <c r="AX302" s="239"/>
      <c r="AY302" s="239"/>
      <c r="AZ302" s="239"/>
      <c r="BA302" s="239"/>
      <c r="BB302" s="239"/>
      <c r="BC302" s="239"/>
      <c r="BD302" s="239"/>
      <c r="BE302" s="239"/>
      <c r="BF302" s="239"/>
      <c r="BG302" s="239"/>
      <c r="BH302" s="239"/>
    </row>
    <row r="303" spans="1:96" ht="15" customHeight="1">
      <c r="A303" s="239"/>
      <c r="B303" s="239"/>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c r="AA303" s="239"/>
      <c r="AB303" s="239"/>
      <c r="AC303" s="356"/>
      <c r="AD303" s="356"/>
      <c r="AE303" s="356"/>
      <c r="AF303" s="356"/>
      <c r="AG303" s="356"/>
      <c r="AH303" s="356"/>
      <c r="AI303" s="356"/>
      <c r="AJ303" s="356"/>
      <c r="AK303" s="356"/>
      <c r="AL303" s="356"/>
      <c r="AM303" s="356"/>
      <c r="AN303" s="356"/>
      <c r="AO303" s="356"/>
      <c r="AP303" s="239"/>
      <c r="AQ303" s="239"/>
      <c r="AR303" s="507"/>
      <c r="AS303" s="239"/>
      <c r="AT303" s="239"/>
      <c r="AU303" s="239"/>
      <c r="AV303" s="239"/>
      <c r="AW303" s="239"/>
      <c r="AX303" s="239"/>
      <c r="AY303" s="239"/>
      <c r="AZ303" s="239"/>
      <c r="BA303" s="239"/>
      <c r="BB303" s="239"/>
      <c r="BC303" s="239"/>
      <c r="BD303" s="239"/>
      <c r="BE303" s="239"/>
      <c r="BF303" s="239"/>
      <c r="BG303" s="239"/>
      <c r="BH303" s="239"/>
    </row>
    <row r="304" spans="1:96" ht="15" customHeight="1">
      <c r="A304" s="239"/>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c r="AA304" s="239"/>
      <c r="AB304" s="239"/>
      <c r="AC304" s="356"/>
      <c r="AD304" s="356"/>
      <c r="AE304" s="356"/>
      <c r="AF304" s="356"/>
      <c r="AG304" s="356"/>
      <c r="AH304" s="356"/>
      <c r="AI304" s="356"/>
      <c r="AJ304" s="356"/>
      <c r="AK304" s="356"/>
      <c r="AL304" s="356"/>
      <c r="AM304" s="356"/>
      <c r="AN304" s="356"/>
      <c r="AO304" s="356"/>
      <c r="AP304" s="239"/>
      <c r="AQ304" s="239"/>
      <c r="AR304" s="507"/>
      <c r="AS304" s="239"/>
      <c r="AT304" s="239"/>
      <c r="AU304" s="239"/>
      <c r="AV304" s="239"/>
      <c r="AW304" s="239"/>
      <c r="AX304" s="239"/>
      <c r="AY304" s="239"/>
      <c r="AZ304" s="239"/>
      <c r="BA304" s="239"/>
      <c r="BB304" s="239"/>
      <c r="BC304" s="239"/>
      <c r="BD304" s="239"/>
      <c r="BE304" s="239"/>
      <c r="BF304" s="239"/>
      <c r="BG304" s="239"/>
      <c r="BH304" s="239"/>
    </row>
    <row r="305" spans="1:60" ht="15" customHeight="1">
      <c r="A305" s="239"/>
      <c r="B305" s="239"/>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c r="AA305" s="239"/>
      <c r="AB305" s="239"/>
      <c r="AC305" s="356"/>
      <c r="AD305" s="356"/>
      <c r="AE305" s="356"/>
      <c r="AF305" s="356"/>
      <c r="AG305" s="356"/>
      <c r="AH305" s="356"/>
      <c r="AI305" s="356"/>
      <c r="AJ305" s="356"/>
      <c r="AK305" s="356"/>
      <c r="AL305" s="356"/>
      <c r="AM305" s="356"/>
      <c r="AN305" s="356"/>
      <c r="AO305" s="356"/>
      <c r="AP305" s="239"/>
      <c r="AQ305" s="239"/>
      <c r="AR305" s="507"/>
      <c r="AS305" s="239"/>
      <c r="AT305" s="239"/>
      <c r="AU305" s="239"/>
      <c r="AV305" s="239"/>
      <c r="AW305" s="239"/>
      <c r="AX305" s="239"/>
      <c r="AY305" s="239"/>
      <c r="AZ305" s="239"/>
      <c r="BA305" s="239"/>
      <c r="BB305" s="239"/>
      <c r="BC305" s="239"/>
      <c r="BD305" s="239"/>
      <c r="BE305" s="239"/>
      <c r="BF305" s="239"/>
      <c r="BG305" s="239"/>
      <c r="BH305" s="239"/>
    </row>
    <row r="306" spans="1:60" ht="15" customHeight="1">
      <c r="A306" s="239"/>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c r="AA306" s="239"/>
      <c r="AB306" s="239"/>
      <c r="AC306" s="356"/>
      <c r="AD306" s="356"/>
      <c r="AE306" s="356"/>
      <c r="AF306" s="356"/>
      <c r="AG306" s="356"/>
      <c r="AH306" s="356"/>
      <c r="AI306" s="356"/>
      <c r="AJ306" s="356"/>
      <c r="AK306" s="356"/>
      <c r="AL306" s="356"/>
      <c r="AM306" s="356"/>
      <c r="AN306" s="356"/>
      <c r="AO306" s="356"/>
      <c r="AP306" s="239"/>
      <c r="AQ306" s="239"/>
      <c r="AR306" s="507"/>
      <c r="AS306" s="239"/>
      <c r="AT306" s="239"/>
      <c r="AU306" s="239"/>
      <c r="AV306" s="239"/>
      <c r="AW306" s="239"/>
      <c r="AX306" s="239"/>
      <c r="AY306" s="239"/>
      <c r="AZ306" s="239"/>
      <c r="BA306" s="239"/>
      <c r="BB306" s="239"/>
      <c r="BC306" s="239"/>
      <c r="BD306" s="239"/>
      <c r="BE306" s="239"/>
      <c r="BF306" s="239"/>
      <c r="BG306" s="239"/>
      <c r="BH306" s="239"/>
    </row>
    <row r="307" spans="1:60" ht="15" customHeight="1">
      <c r="A307" s="239"/>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c r="AA307" s="239"/>
      <c r="AB307" s="239"/>
      <c r="AC307" s="356"/>
      <c r="AD307" s="356"/>
      <c r="AE307" s="356"/>
      <c r="AF307" s="356"/>
      <c r="AG307" s="356"/>
      <c r="AH307" s="356"/>
      <c r="AI307" s="356"/>
      <c r="AJ307" s="356"/>
      <c r="AK307" s="356"/>
      <c r="AL307" s="356"/>
      <c r="AM307" s="356"/>
      <c r="AN307" s="356"/>
      <c r="AO307" s="356"/>
      <c r="AP307" s="239"/>
      <c r="AQ307" s="239"/>
      <c r="AR307" s="507"/>
      <c r="AS307" s="239"/>
      <c r="AT307" s="239"/>
      <c r="AU307" s="239"/>
      <c r="AV307" s="239"/>
      <c r="AW307" s="239"/>
      <c r="AX307" s="239"/>
      <c r="AY307" s="239"/>
      <c r="AZ307" s="239"/>
      <c r="BA307" s="239"/>
      <c r="BB307" s="239"/>
      <c r="BC307" s="239"/>
      <c r="BD307" s="239"/>
      <c r="BE307" s="239"/>
      <c r="BF307" s="239"/>
      <c r="BG307" s="239"/>
      <c r="BH307" s="239"/>
    </row>
    <row r="308" spans="1:60" ht="15" customHeight="1">
      <c r="Q308"/>
      <c r="R308"/>
      <c r="S308"/>
      <c r="T308"/>
      <c r="U308"/>
    </row>
    <row r="309" spans="1:60" ht="15" customHeight="1">
      <c r="Q309"/>
      <c r="R309"/>
      <c r="S309"/>
      <c r="T309"/>
      <c r="U309"/>
    </row>
    <row r="310" spans="1:60" ht="15" customHeight="1">
      <c r="Q310"/>
      <c r="R310"/>
      <c r="S310"/>
      <c r="T310"/>
      <c r="U310"/>
    </row>
    <row r="311" spans="1:60" ht="15" customHeight="1">
      <c r="Q311"/>
      <c r="R311"/>
      <c r="S311"/>
      <c r="T311"/>
      <c r="U311"/>
    </row>
    <row r="312" spans="1:60" ht="15" customHeight="1">
      <c r="Q312"/>
      <c r="R312"/>
      <c r="S312"/>
      <c r="T312"/>
      <c r="U312"/>
    </row>
    <row r="313" spans="1:60" ht="15" customHeight="1">
      <c r="Q313"/>
      <c r="R313"/>
      <c r="S313"/>
      <c r="T313"/>
      <c r="U313"/>
    </row>
    <row r="314" spans="1:60" ht="15" customHeight="1">
      <c r="Q314"/>
      <c r="R314"/>
      <c r="S314"/>
      <c r="T314"/>
      <c r="U314"/>
    </row>
    <row r="315" spans="1:60" ht="15" customHeight="1">
      <c r="Q315"/>
      <c r="R315"/>
      <c r="S315"/>
      <c r="T315"/>
      <c r="U315"/>
    </row>
    <row r="316" spans="1:60" ht="15" customHeight="1">
      <c r="Q316"/>
      <c r="R316"/>
      <c r="S316"/>
      <c r="T316"/>
      <c r="U316"/>
    </row>
    <row r="317" spans="1:60" ht="15" customHeight="1">
      <c r="Q317"/>
      <c r="R317"/>
      <c r="S317"/>
      <c r="T317"/>
      <c r="U317"/>
    </row>
    <row r="318" spans="1:60" ht="15" customHeight="1">
      <c r="Q318"/>
      <c r="R318"/>
      <c r="S318"/>
      <c r="T318"/>
      <c r="U318"/>
    </row>
    <row r="319" spans="1:60" ht="15" customHeight="1">
      <c r="Q319"/>
      <c r="R319"/>
      <c r="S319"/>
      <c r="T319"/>
      <c r="U319"/>
    </row>
    <row r="320" spans="1:60" ht="15" customHeight="1">
      <c r="Q320"/>
      <c r="R320"/>
      <c r="S320"/>
      <c r="T320"/>
      <c r="U320"/>
    </row>
    <row r="321" spans="17:21" ht="15" customHeight="1">
      <c r="Q321"/>
      <c r="R321"/>
      <c r="S321"/>
      <c r="T321"/>
      <c r="U321"/>
    </row>
    <row r="322" spans="17:21" ht="15" customHeight="1">
      <c r="Q322"/>
      <c r="R322"/>
      <c r="S322"/>
      <c r="T322"/>
      <c r="U322"/>
    </row>
    <row r="323" spans="17:21" ht="15" customHeight="1">
      <c r="Q323"/>
      <c r="R323"/>
      <c r="S323"/>
      <c r="T323"/>
      <c r="U323"/>
    </row>
    <row r="324" spans="17:21" ht="15" customHeight="1">
      <c r="Q324"/>
      <c r="R324"/>
      <c r="S324"/>
      <c r="T324"/>
      <c r="U324"/>
    </row>
    <row r="325" spans="17:21" ht="15" customHeight="1">
      <c r="Q325"/>
      <c r="R325"/>
      <c r="S325"/>
      <c r="T325"/>
      <c r="U325"/>
    </row>
    <row r="326" spans="17:21" ht="15" customHeight="1">
      <c r="Q326"/>
      <c r="R326"/>
      <c r="S326"/>
      <c r="T326"/>
      <c r="U326"/>
    </row>
    <row r="327" spans="17:21" ht="15" customHeight="1">
      <c r="Q327"/>
      <c r="R327"/>
      <c r="S327"/>
      <c r="T327"/>
      <c r="U327"/>
    </row>
    <row r="328" spans="17:21" ht="15" customHeight="1">
      <c r="Q328"/>
      <c r="R328"/>
      <c r="S328"/>
      <c r="T328"/>
      <c r="U328"/>
    </row>
    <row r="329" spans="17:21" ht="15" customHeight="1">
      <c r="Q329"/>
      <c r="R329"/>
      <c r="S329"/>
      <c r="T329"/>
      <c r="U329"/>
    </row>
    <row r="330" spans="17:21" ht="15" customHeight="1">
      <c r="Q330"/>
      <c r="R330"/>
      <c r="S330"/>
      <c r="T330"/>
      <c r="U330"/>
    </row>
    <row r="331" spans="17:21" ht="15" customHeight="1">
      <c r="Q331"/>
      <c r="R331"/>
      <c r="S331"/>
      <c r="T331"/>
      <c r="U331"/>
    </row>
    <row r="332" spans="17:21" ht="15" customHeight="1">
      <c r="Q332"/>
      <c r="R332"/>
      <c r="S332"/>
      <c r="T332"/>
      <c r="U332"/>
    </row>
    <row r="333" spans="17:21" ht="15" customHeight="1">
      <c r="Q333"/>
      <c r="R333"/>
      <c r="S333"/>
      <c r="T333"/>
      <c r="U333"/>
    </row>
    <row r="334" spans="17:21" ht="15" customHeight="1">
      <c r="Q334"/>
      <c r="R334"/>
      <c r="S334"/>
      <c r="T334"/>
      <c r="U334"/>
    </row>
    <row r="335" spans="17:21" ht="15" customHeight="1">
      <c r="Q335"/>
      <c r="R335"/>
      <c r="S335"/>
      <c r="T335"/>
      <c r="U335"/>
    </row>
    <row r="336" spans="17:21" ht="15" customHeight="1">
      <c r="Q336"/>
      <c r="R336"/>
      <c r="S336"/>
      <c r="T336"/>
      <c r="U336"/>
    </row>
    <row r="337" spans="17:21" ht="15" customHeight="1">
      <c r="Q337"/>
      <c r="R337"/>
      <c r="S337"/>
      <c r="T337"/>
      <c r="U337"/>
    </row>
    <row r="338" spans="17:21" ht="15" customHeight="1">
      <c r="Q338"/>
      <c r="R338"/>
      <c r="S338"/>
      <c r="T338"/>
      <c r="U338"/>
    </row>
    <row r="339" spans="17:21" ht="15" customHeight="1">
      <c r="Q339"/>
      <c r="R339"/>
      <c r="S339"/>
      <c r="T339"/>
      <c r="U339"/>
    </row>
    <row r="340" spans="17:21" ht="15" customHeight="1">
      <c r="Q340"/>
      <c r="R340"/>
      <c r="S340"/>
      <c r="T340"/>
      <c r="U340"/>
    </row>
    <row r="341" spans="17:21" ht="15" customHeight="1">
      <c r="Q341"/>
      <c r="R341"/>
      <c r="S341"/>
      <c r="T341"/>
      <c r="U341"/>
    </row>
    <row r="342" spans="17:21" ht="15" customHeight="1">
      <c r="Q342"/>
      <c r="R342"/>
      <c r="S342"/>
      <c r="T342"/>
      <c r="U342"/>
    </row>
  </sheetData>
  <autoFilter ref="A2:AZ283"/>
  <mergeCells count="40">
    <mergeCell ref="B1:E1"/>
    <mergeCell ref="AP275:AP280"/>
    <mergeCell ref="Q1:U1"/>
    <mergeCell ref="AD3:AN3"/>
    <mergeCell ref="AD213:AD214"/>
    <mergeCell ref="AK232:AK233"/>
    <mergeCell ref="AH231:AK231"/>
    <mergeCell ref="AD231:AF231"/>
    <mergeCell ref="AL232:AL233"/>
    <mergeCell ref="AE213:AE214"/>
    <mergeCell ref="AF213:AF214"/>
    <mergeCell ref="AG213:AG214"/>
    <mergeCell ref="AH213:AH214"/>
    <mergeCell ref="AI213:AI214"/>
    <mergeCell ref="AD268:AF268"/>
    <mergeCell ref="AE269:AE270"/>
    <mergeCell ref="AF269:AF270"/>
    <mergeCell ref="AG269:AG270"/>
    <mergeCell ref="AH269:AH270"/>
    <mergeCell ref="AD232:AD233"/>
    <mergeCell ref="AE232:AE233"/>
    <mergeCell ref="AF232:AF233"/>
    <mergeCell ref="AG232:AG233"/>
    <mergeCell ref="AH232:AH233"/>
    <mergeCell ref="BH1:CP1"/>
    <mergeCell ref="AI269:AI270"/>
    <mergeCell ref="AJ269:AJ270"/>
    <mergeCell ref="AK269:AK270"/>
    <mergeCell ref="AL269:AL270"/>
    <mergeCell ref="AJ213:AJ214"/>
    <mergeCell ref="AS3:AT3"/>
    <mergeCell ref="BD3:BQ3"/>
    <mergeCell ref="BR3:CE3"/>
    <mergeCell ref="CF3:CS3"/>
    <mergeCell ref="AU1:AX1"/>
    <mergeCell ref="AH268:AK268"/>
    <mergeCell ref="AI232:AI233"/>
    <mergeCell ref="AJ232:AJ233"/>
    <mergeCell ref="AB1:AR1"/>
    <mergeCell ref="AD269:AD270"/>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6699"/>
  </sheetPr>
  <dimension ref="A1:BD238"/>
  <sheetViews>
    <sheetView zoomScale="85" zoomScaleNormal="85" workbookViewId="0">
      <selection activeCell="AB11" sqref="AB11"/>
    </sheetView>
  </sheetViews>
  <sheetFormatPr defaultColWidth="9.140625" defaultRowHeight="15"/>
  <cols>
    <col min="1" max="1" width="143.28515625" style="128" customWidth="1"/>
    <col min="2" max="2" width="9.140625" style="128"/>
    <col min="3" max="3" width="15.28515625" style="128" customWidth="1"/>
    <col min="4" max="4" width="16.28515625" style="128" customWidth="1"/>
    <col min="5" max="5" width="16.28515625" style="334" customWidth="1"/>
    <col min="6" max="54" width="9.140625" style="128"/>
    <col min="55" max="55" width="21.28515625" style="128" bestFit="1" customWidth="1"/>
    <col min="56" max="16384" width="9.140625" style="128"/>
  </cols>
  <sheetData>
    <row r="1" spans="1:56">
      <c r="A1" s="128" t="str">
        <f>'Measure Tables'!A218</f>
        <v>Residential - Efficient Product Rebates; Room A/C Retirement; RES-HVAC/Shell; RES-SF</v>
      </c>
      <c r="B1" s="320">
        <f>'Measure Tables'!P218</f>
        <v>0.41289059030957059</v>
      </c>
      <c r="C1" s="320">
        <f>'Measure Tables'!T218</f>
        <v>2.306451811636077</v>
      </c>
      <c r="D1" s="322">
        <f>'Measure Tables'!U218</f>
        <v>4.5861089251435398</v>
      </c>
      <c r="E1" s="334">
        <v>12</v>
      </c>
    </row>
    <row r="2" spans="1:56">
      <c r="A2" s="128" t="str">
        <f>'Measure Tables'!A184</f>
        <v>BNI- Direct Installation; Faucet Aerator; COM-Other; Office</v>
      </c>
      <c r="B2" s="320">
        <f>'Measure Tables'!P184</f>
        <v>3.5758821556355791</v>
      </c>
      <c r="C2" s="320">
        <f>'Measure Tables'!T184</f>
        <v>14.970946444269067</v>
      </c>
      <c r="D2" s="322">
        <f>'Measure Tables'!U184</f>
        <v>3.1866442440433622</v>
      </c>
      <c r="E2" s="334">
        <v>12</v>
      </c>
      <c r="N2" s="128" t="s">
        <v>406</v>
      </c>
      <c r="O2" s="322">
        <f>AVERAGE(D1:D238)</f>
        <v>0.32897442028297585</v>
      </c>
      <c r="BC2" s="128" t="s">
        <v>441</v>
      </c>
    </row>
    <row r="3" spans="1:56">
      <c r="A3" s="128" t="str">
        <f>'Measure Tables'!A185</f>
        <v>BNI- Direct Installation; Faucet Aerator; COM-Other; Other Commercial</v>
      </c>
      <c r="B3" s="320">
        <f>'Measure Tables'!P185</f>
        <v>3.5758821556355791</v>
      </c>
      <c r="C3" s="320">
        <f>'Measure Tables'!T185</f>
        <v>14.970946444269067</v>
      </c>
      <c r="D3" s="322">
        <f>'Measure Tables'!U185</f>
        <v>3.1866442440433622</v>
      </c>
      <c r="E3" s="334">
        <v>12</v>
      </c>
      <c r="N3" s="128" t="s">
        <v>407</v>
      </c>
      <c r="O3" s="322">
        <f>MEDIAN(D1:D238)</f>
        <v>0.19805663408741075</v>
      </c>
      <c r="V3" s="128" t="s">
        <v>438</v>
      </c>
      <c r="W3" s="128">
        <f>COUNTIF(D1:D238,0)</f>
        <v>82</v>
      </c>
      <c r="X3" s="128">
        <f>W3/SUM(W3:W4)</f>
        <v>0.34453781512605042</v>
      </c>
      <c r="BB3" s="128">
        <v>1</v>
      </c>
      <c r="BC3" s="128" t="str">
        <f>"&gt; -10% and &lt; 0%"</f>
        <v>&gt; -10% and &lt; 0%</v>
      </c>
      <c r="BD3" s="128">
        <f>COUNTIF($E$1:$E$238,BB3)</f>
        <v>1</v>
      </c>
    </row>
    <row r="4" spans="1:56">
      <c r="A4" s="128" t="str">
        <f>'Measure Tables'!A186</f>
        <v>BNI- Direct Installation; Faucet Aerator; COM-Other; Retail</v>
      </c>
      <c r="B4" s="320">
        <f>'Measure Tables'!P186</f>
        <v>3.5758821556355791</v>
      </c>
      <c r="C4" s="320">
        <f>'Measure Tables'!T186</f>
        <v>14.970946444269067</v>
      </c>
      <c r="D4" s="322">
        <f>'Measure Tables'!U186</f>
        <v>3.1866442440433622</v>
      </c>
      <c r="E4" s="334">
        <v>12</v>
      </c>
      <c r="V4" s="128" t="s">
        <v>437</v>
      </c>
      <c r="W4" s="323">
        <f>COUNT(D1:D238)-W3</f>
        <v>156</v>
      </c>
      <c r="BB4" s="128">
        <v>2</v>
      </c>
      <c r="BC4" s="321" t="str">
        <f>"0%"</f>
        <v>0%</v>
      </c>
      <c r="BD4" s="128">
        <f t="shared" ref="BD4:BD14" si="0">COUNTIF($E$1:$E$238,BB4)</f>
        <v>82</v>
      </c>
    </row>
    <row r="5" spans="1:56">
      <c r="A5" s="128" t="str">
        <f>'Measure Tables'!A248</f>
        <v>Existing Residential; DHW Pipe Insulation; RES-Water Heat; MURB</v>
      </c>
      <c r="B5" s="320">
        <f>'Measure Tables'!P248</f>
        <v>1.9307664448254718</v>
      </c>
      <c r="C5" s="320">
        <f>'Measure Tables'!T248</f>
        <v>6.3221219076232433</v>
      </c>
      <c r="D5" s="322">
        <f>'Measure Tables'!U248</f>
        <v>2.2744104935979039</v>
      </c>
      <c r="E5" s="334">
        <v>11</v>
      </c>
      <c r="BB5" s="128">
        <v>3</v>
      </c>
      <c r="BC5" s="128" t="str">
        <f>"&gt; 0% and 10%"</f>
        <v>&gt; 0% and 10%</v>
      </c>
      <c r="BD5" s="128">
        <f t="shared" si="0"/>
        <v>27</v>
      </c>
    </row>
    <row r="6" spans="1:56">
      <c r="A6" s="128" t="str">
        <f>'Measure Tables'!A191</f>
        <v>BNI- Direct Installation; Low Flow Showerheads; COM-Other; Other Commercial</v>
      </c>
      <c r="B6" s="320">
        <f>'Measure Tables'!P191</f>
        <v>3.7610239897947744</v>
      </c>
      <c r="C6" s="320">
        <f>'Measure Tables'!T191</f>
        <v>11.254457614680046</v>
      </c>
      <c r="D6" s="322">
        <f>'Measure Tables'!U191</f>
        <v>1.9923918712611461</v>
      </c>
      <c r="E6" s="334">
        <v>11</v>
      </c>
      <c r="BB6" s="128">
        <v>4</v>
      </c>
      <c r="BC6" s="128" t="str">
        <f>"&gt; 10% and 20%"</f>
        <v>&gt; 10% and 20%</v>
      </c>
      <c r="BD6" s="128">
        <f t="shared" si="0"/>
        <v>9</v>
      </c>
    </row>
    <row r="7" spans="1:56">
      <c r="A7" s="128" t="str">
        <f>'Measure Tables'!A179</f>
        <v>BNI- Direct Installation; Ground Source Heat Pump; COM-HVAC; School</v>
      </c>
      <c r="B7" s="320">
        <f>'Measure Tables'!P179</f>
        <v>0.71837861819080784</v>
      </c>
      <c r="C7" s="320">
        <f>'Measure Tables'!T179</f>
        <v>1.5984079226764372</v>
      </c>
      <c r="D7" s="322">
        <f>'Measure Tables'!U179</f>
        <v>1.2250215724709745</v>
      </c>
      <c r="E7" s="334">
        <v>10</v>
      </c>
      <c r="BB7" s="128">
        <v>5</v>
      </c>
      <c r="BC7" s="128" t="str">
        <f>"&gt; 20% and 30%"</f>
        <v>&gt; 20% and 30%</v>
      </c>
      <c r="BD7" s="128">
        <f t="shared" si="0"/>
        <v>9</v>
      </c>
    </row>
    <row r="8" spans="1:56">
      <c r="A8" s="128" t="str">
        <f>'Measure Tables'!A183</f>
        <v>BNI- Direct Installation; Ground/Water Source Heat Pumps; COM-HVAC; School</v>
      </c>
      <c r="B8" s="320">
        <f>'Measure Tables'!P183</f>
        <v>2.5336367661453703</v>
      </c>
      <c r="C8" s="320">
        <f>'Measure Tables'!T183</f>
        <v>5.6373964614790468</v>
      </c>
      <c r="D8" s="322">
        <f>'Measure Tables'!U183</f>
        <v>1.2250215724709748</v>
      </c>
      <c r="E8" s="334">
        <v>10</v>
      </c>
      <c r="BB8" s="128">
        <v>6</v>
      </c>
      <c r="BC8" s="128" t="str">
        <f>"&gt; 30% and 40%"</f>
        <v>&gt; 30% and 40%</v>
      </c>
      <c r="BD8" s="128">
        <f t="shared" si="0"/>
        <v>62</v>
      </c>
    </row>
    <row r="9" spans="1:56">
      <c r="A9" s="128" t="str">
        <f>'Measure Tables'!A175</f>
        <v>BNI- Direct Installation; High-Efficiency Air Source Heat Pumps; COM-HVAC; School</v>
      </c>
      <c r="B9" s="320">
        <f>'Measure Tables'!P175</f>
        <v>1.2732681733093543</v>
      </c>
      <c r="C9" s="320">
        <f>'Measure Tables'!T175</f>
        <v>2.8330491531540249</v>
      </c>
      <c r="D9" s="322">
        <f>'Measure Tables'!U175</f>
        <v>1.2250215724709748</v>
      </c>
      <c r="E9" s="334">
        <v>10</v>
      </c>
      <c r="BB9" s="128">
        <v>7</v>
      </c>
      <c r="BC9" s="128" t="str">
        <f>"&gt; 40% and 50%"</f>
        <v>&gt; 40% and 50%</v>
      </c>
      <c r="BD9" s="128">
        <f t="shared" si="0"/>
        <v>17</v>
      </c>
    </row>
    <row r="10" spans="1:56">
      <c r="A10" s="128" t="str">
        <f>'Measure Tables'!A171</f>
        <v>BNI- Direct Installation; High-Efficiency Air Source Heat Pumps; COM-HVAC; School</v>
      </c>
      <c r="B10" s="320">
        <f>'Measure Tables'!P171</f>
        <v>4.18573886868045</v>
      </c>
      <c r="C10" s="320">
        <f>'Measure Tables'!T171</f>
        <v>9.313359279544251</v>
      </c>
      <c r="D10" s="322">
        <f>'Measure Tables'!U171</f>
        <v>1.2250215724709741</v>
      </c>
      <c r="E10" s="334">
        <v>10</v>
      </c>
      <c r="BB10" s="128">
        <v>8</v>
      </c>
      <c r="BC10" s="128" t="str">
        <f>"&gt; 50% and 60%"</f>
        <v>&gt; 50% and 60%</v>
      </c>
      <c r="BD10" s="128">
        <f t="shared" si="0"/>
        <v>3</v>
      </c>
    </row>
    <row r="11" spans="1:56">
      <c r="A11" s="128" t="str">
        <f>'Measure Tables'!A178</f>
        <v>BNI- Direct Installation; Ground Source Heat Pump; COM-HVAC; Retail</v>
      </c>
      <c r="B11" s="320">
        <f>'Measure Tables'!P178</f>
        <v>0.72145489908422211</v>
      </c>
      <c r="C11" s="320">
        <f>'Measure Tables'!T178</f>
        <v>1.6014842035698515</v>
      </c>
      <c r="D11" s="322">
        <f>'Measure Tables'!U178</f>
        <v>1.2197980852340091</v>
      </c>
      <c r="E11" s="334">
        <v>10</v>
      </c>
      <c r="BB11" s="128">
        <v>9</v>
      </c>
      <c r="BC11" s="128" t="str">
        <f>"&gt; 60% and 75%"</f>
        <v>&gt; 60% and 75%</v>
      </c>
      <c r="BD11" s="128">
        <f t="shared" si="0"/>
        <v>5</v>
      </c>
    </row>
    <row r="12" spans="1:56">
      <c r="A12" s="128" t="str">
        <f>'Measure Tables'!A182</f>
        <v>BNI- Direct Installation; Ground/Water Source Heat Pumps; COM-HVAC; Retail</v>
      </c>
      <c r="B12" s="320">
        <f>'Measure Tables'!P182</f>
        <v>2.5367606729149892</v>
      </c>
      <c r="C12" s="320">
        <f>'Measure Tables'!T182</f>
        <v>5.6310964844336286</v>
      </c>
      <c r="D12" s="322">
        <f>'Measure Tables'!U182</f>
        <v>1.2197980852340087</v>
      </c>
      <c r="E12" s="334">
        <v>10</v>
      </c>
      <c r="BB12" s="128">
        <v>10</v>
      </c>
      <c r="BC12" s="128" t="str">
        <f>"&gt; 115% and 125%"</f>
        <v>&gt; 115% and 125%</v>
      </c>
      <c r="BD12" s="128">
        <f t="shared" si="0"/>
        <v>17</v>
      </c>
    </row>
    <row r="13" spans="1:56">
      <c r="A13" s="128" t="str">
        <f>'Measure Tables'!A170</f>
        <v>BNI- Direct Installation; High-Efficiency Air Source Heat Pumps; COM-HVAC; Retail</v>
      </c>
      <c r="B13" s="320">
        <f>'Measure Tables'!P170</f>
        <v>4.1958983339622291</v>
      </c>
      <c r="C13" s="320">
        <f>'Measure Tables'!T170</f>
        <v>9.3140470875659229</v>
      </c>
      <c r="D13" s="322">
        <f>'Measure Tables'!U170</f>
        <v>1.2197980852340087</v>
      </c>
      <c r="E13" s="334">
        <v>10</v>
      </c>
      <c r="BB13" s="128">
        <v>11</v>
      </c>
      <c r="BC13" s="128" t="str">
        <f>"&gt; 175% and 230%"</f>
        <v>&gt; 175% and 230%</v>
      </c>
      <c r="BD13" s="128">
        <f t="shared" si="0"/>
        <v>2</v>
      </c>
    </row>
    <row r="14" spans="1:56">
      <c r="A14" s="128" t="str">
        <f>'Measure Tables'!A174</f>
        <v>BNI- Direct Installation; High-Efficiency Air Source Heat Pumps; COM-HVAC; Retail</v>
      </c>
      <c r="B14" s="320">
        <f>'Measure Tables'!P174</f>
        <v>1.2787206331328507</v>
      </c>
      <c r="C14" s="320">
        <f>'Measure Tables'!T174</f>
        <v>2.8385016129775216</v>
      </c>
      <c r="D14" s="322">
        <f>'Measure Tables'!U174</f>
        <v>1.2197980852340089</v>
      </c>
      <c r="E14" s="334">
        <v>10</v>
      </c>
      <c r="BB14" s="128">
        <v>12</v>
      </c>
      <c r="BC14" s="128" t="str">
        <f>"&gt; 275%"</f>
        <v>&gt; 275%</v>
      </c>
      <c r="BD14" s="128">
        <f t="shared" si="0"/>
        <v>4</v>
      </c>
    </row>
    <row r="15" spans="1:56">
      <c r="A15" s="128" t="str">
        <f>'Measure Tables'!A169</f>
        <v>BNI- Direct Installation; High-Efficiency Air Source Heat Pumps; COM-HVAC; Other Commercial</v>
      </c>
      <c r="B15" s="320">
        <f>'Measure Tables'!P169</f>
        <v>4.0562419715470224</v>
      </c>
      <c r="C15" s="320">
        <f>'Measure Tables'!T169</f>
        <v>8.9186998870591534</v>
      </c>
      <c r="D15" s="322">
        <f>'Measure Tables'!U169</f>
        <v>1.1987593318200451</v>
      </c>
      <c r="E15" s="334">
        <v>10</v>
      </c>
    </row>
    <row r="16" spans="1:56">
      <c r="A16" s="128" t="str">
        <f>'Measure Tables'!A173</f>
        <v>BNI- Direct Installation; High-Efficiency Air Source Heat Pumps; COM-HVAC; Other Commercial</v>
      </c>
      <c r="B16" s="320">
        <f>'Measure Tables'!P173</f>
        <v>1.3011627425469097</v>
      </c>
      <c r="C16" s="320">
        <f>'Measure Tables'!T173</f>
        <v>2.8609437223915801</v>
      </c>
      <c r="D16" s="322">
        <f>'Measure Tables'!U173</f>
        <v>1.1987593318200449</v>
      </c>
      <c r="E16" s="334">
        <v>10</v>
      </c>
    </row>
    <row r="17" spans="1:5">
      <c r="A17" s="128" t="str">
        <f>'Measure Tables'!A181</f>
        <v>BNI- Direct Installation; Ground/Water Source Heat Pumps; COM-HVAC; Other Commercial</v>
      </c>
      <c r="B17" s="320">
        <f>'Measure Tables'!P181</f>
        <v>2.3764804277599878</v>
      </c>
      <c r="C17" s="320">
        <f>'Measure Tables'!T181</f>
        <v>5.2253085174249652</v>
      </c>
      <c r="D17" s="322">
        <f>'Measure Tables'!U181</f>
        <v>1.1987593318200449</v>
      </c>
      <c r="E17" s="334">
        <v>10</v>
      </c>
    </row>
    <row r="18" spans="1:5">
      <c r="A18" s="128" t="str">
        <f>'Measure Tables'!A177</f>
        <v>BNI- Direct Installation; Ground Source Heat Pump; COM-HVAC; Other Commercial</v>
      </c>
      <c r="B18" s="320">
        <f>'Measure Tables'!P177</f>
        <v>0.7341167498145803</v>
      </c>
      <c r="C18" s="320">
        <f>'Measure Tables'!T177</f>
        <v>1.6141460543002095</v>
      </c>
      <c r="D18" s="322">
        <f>'Measure Tables'!U177</f>
        <v>1.1987593318200447</v>
      </c>
      <c r="E18" s="334">
        <v>10</v>
      </c>
    </row>
    <row r="19" spans="1:5">
      <c r="A19" s="128" t="str">
        <f>'Measure Tables'!A176</f>
        <v>BNI- Direct Installation; Ground Source Heat Pump; COM-HVAC; Office</v>
      </c>
      <c r="B19" s="320">
        <f>'Measure Tables'!P176</f>
        <v>0.73998959178757084</v>
      </c>
      <c r="C19" s="320">
        <f>'Measure Tables'!T176</f>
        <v>1.6200188962731998</v>
      </c>
      <c r="D19" s="322">
        <f>'Measure Tables'!U176</f>
        <v>1.1892455167643214</v>
      </c>
      <c r="E19" s="334">
        <v>10</v>
      </c>
    </row>
    <row r="20" spans="1:5">
      <c r="A20" s="128" t="str">
        <f>'Measure Tables'!A180</f>
        <v>BNI- Direct Installation; Ground/Water Source Heat Pumps; COM-HVAC; Office</v>
      </c>
      <c r="B20" s="320">
        <f>'Measure Tables'!P180</f>
        <v>2.6361958616516206</v>
      </c>
      <c r="C20" s="320">
        <f>'Measure Tables'!T180</f>
        <v>5.7712799714334686</v>
      </c>
      <c r="D20" s="322">
        <f>'Measure Tables'!U180</f>
        <v>1.1892455167643219</v>
      </c>
      <c r="E20" s="334">
        <v>10</v>
      </c>
    </row>
    <row r="21" spans="1:5">
      <c r="A21" s="128" t="str">
        <f>'Measure Tables'!A168</f>
        <v>BNI- Direct Installation; High-Efficiency Air Source Heat Pumps; COM-HVAC; Office</v>
      </c>
      <c r="B21" s="320">
        <f>'Measure Tables'!P168</f>
        <v>4.337315506168034</v>
      </c>
      <c r="C21" s="320">
        <f>'Measure Tables'!T168</f>
        <v>9.4954485266707422</v>
      </c>
      <c r="D21" s="322">
        <f>'Measure Tables'!U168</f>
        <v>1.1892455167643214</v>
      </c>
      <c r="E21" s="334">
        <v>10</v>
      </c>
    </row>
    <row r="22" spans="1:5">
      <c r="A22" s="128" t="str">
        <f>'Measure Tables'!A172</f>
        <v>BNI- Direct Installation; High-Efficiency Air Source Heat Pumps; COM-HVAC; Office</v>
      </c>
      <c r="B22" s="320">
        <f>'Measure Tables'!P172</f>
        <v>1.3115718813794606</v>
      </c>
      <c r="C22" s="320">
        <f>'Measure Tables'!T172</f>
        <v>2.871352861224131</v>
      </c>
      <c r="D22" s="322">
        <f>'Measure Tables'!U172</f>
        <v>1.1892455167643219</v>
      </c>
      <c r="E22" s="334">
        <v>10</v>
      </c>
    </row>
    <row r="23" spans="1:5">
      <c r="A23" s="128" t="str">
        <f>'Measure Tables'!A23</f>
        <v>BNI - Efficient Product Rebates; ENERGY STAR® Self Contained Ice Maker; COM-Refrigeration; Retail</v>
      </c>
      <c r="B23" s="320">
        <f>'Measure Tables'!P23</f>
        <v>0.82975470228310022</v>
      </c>
      <c r="C23" s="320">
        <f>'Measure Tables'!T23</f>
        <v>1.8542006483369851</v>
      </c>
      <c r="D23" s="322">
        <f>'Measure Tables'!U23</f>
        <v>1.2346371080936145</v>
      </c>
      <c r="E23" s="334">
        <v>10</v>
      </c>
    </row>
    <row r="24" spans="1:5">
      <c r="A24" s="128" t="str">
        <f>'Measure Tables'!A187</f>
        <v>BNI- Direct Installation; DHW Tank Wrap; COM-Other; Office</v>
      </c>
      <c r="B24" s="320">
        <f>'Measure Tables'!P187</f>
        <v>2.061464604948601</v>
      </c>
      <c r="C24" s="320">
        <f>'Measure Tables'!T187</f>
        <v>3.5308267610228548</v>
      </c>
      <c r="D24" s="322">
        <f>'Measure Tables'!U187</f>
        <v>0.71277583546523704</v>
      </c>
      <c r="E24" s="334">
        <v>9</v>
      </c>
    </row>
    <row r="25" spans="1:5">
      <c r="A25" s="128" t="str">
        <f>'Measure Tables'!A188</f>
        <v>BNI- Direct Installation; DHW Tank Wrap; COM-Other; Retail</v>
      </c>
      <c r="B25" s="320">
        <f>'Measure Tables'!P188</f>
        <v>2.061464604948601</v>
      </c>
      <c r="C25" s="320">
        <f>'Measure Tables'!T188</f>
        <v>3.5308267610228548</v>
      </c>
      <c r="D25" s="322">
        <f>'Measure Tables'!U188</f>
        <v>0.71277583546523704</v>
      </c>
      <c r="E25" s="334">
        <v>9</v>
      </c>
    </row>
    <row r="26" spans="1:5">
      <c r="A26" s="128" t="str">
        <f>'Measure Tables'!A20</f>
        <v>BNI - Efficient Product Rebates; Solid Door Commercial Freezer; COM-Refrigeration; Retail</v>
      </c>
      <c r="B26" s="320">
        <f>'Measure Tables'!P20</f>
        <v>1.8355907062310652</v>
      </c>
      <c r="C26" s="320">
        <f>'Measure Tables'!T20</f>
        <v>3.0262475884620033</v>
      </c>
      <c r="D26" s="322">
        <f>'Measure Tables'!U20</f>
        <v>0.64865052878572238</v>
      </c>
      <c r="E26" s="334">
        <v>9</v>
      </c>
    </row>
    <row r="27" spans="1:5">
      <c r="A27" s="128" t="str">
        <f>'Measure Tables'!A19</f>
        <v>BNI - Efficient Product Rebates; Glass Door Commercial Refrigerator; COM-Refrigeration; Retail</v>
      </c>
      <c r="B27" s="320">
        <f>'Measure Tables'!P19</f>
        <v>1.0720192154681811</v>
      </c>
      <c r="C27" s="320">
        <f>'Measure Tables'!T19</f>
        <v>1.767385046450072</v>
      </c>
      <c r="D27" s="322">
        <f>'Measure Tables'!U19</f>
        <v>0.64865052878572227</v>
      </c>
      <c r="E27" s="334">
        <v>9</v>
      </c>
    </row>
    <row r="28" spans="1:5">
      <c r="A28" s="128" t="str">
        <f>'Measure Tables'!A18</f>
        <v>BNI - Efficient Product Rebates; Solid Door Commercial Refrigerator; COM-Refrigeration; Retail</v>
      </c>
      <c r="B28" s="320">
        <f>'Measure Tables'!P18</f>
        <v>1.3244852365682911</v>
      </c>
      <c r="C28" s="320">
        <f>'Measure Tables'!T18</f>
        <v>2.1836132856371959</v>
      </c>
      <c r="D28" s="322">
        <f>'Measure Tables'!U18</f>
        <v>0.64865052878572249</v>
      </c>
      <c r="E28" s="334">
        <v>9</v>
      </c>
    </row>
    <row r="29" spans="1:5">
      <c r="A29" s="128" t="str">
        <f>'Measure Tables'!A189</f>
        <v>BNI- Direct Installation; DHW Pipe Insulation; COM-Other; Office</v>
      </c>
      <c r="B29" s="320">
        <f>'Measure Tables'!P189</f>
        <v>4.5616979617805971</v>
      </c>
      <c r="C29" s="320">
        <f>'Measure Tables'!T189</f>
        <v>7.2477900806778575</v>
      </c>
      <c r="D29" s="322">
        <f>'Measure Tables'!U189</f>
        <v>0.58883603022432041</v>
      </c>
      <c r="E29" s="334">
        <v>8</v>
      </c>
    </row>
    <row r="30" spans="1:5">
      <c r="A30" s="128" t="str">
        <f>'Measure Tables'!A190</f>
        <v>BNI- Direct Installation; DHW Pipe Insulation; COM-Other; Retail</v>
      </c>
      <c r="B30" s="320">
        <f>'Measure Tables'!P190</f>
        <v>4.5616979617805971</v>
      </c>
      <c r="C30" s="320">
        <f>'Measure Tables'!T190</f>
        <v>7.2477900806778575</v>
      </c>
      <c r="D30" s="322">
        <f>'Measure Tables'!U190</f>
        <v>0.58883603022432041</v>
      </c>
      <c r="E30" s="334">
        <v>8</v>
      </c>
    </row>
    <row r="31" spans="1:5">
      <c r="A31" s="128" t="str">
        <f>'Measure Tables'!A247</f>
        <v>Existing Residential; DHW Pipe Insulation; RES-Water Heat; RES-SF</v>
      </c>
      <c r="B31" s="320">
        <f>'Measure Tables'!P247</f>
        <v>6.2762334120278211</v>
      </c>
      <c r="C31" s="320">
        <f>'Measure Tables'!T247</f>
        <v>9.8366739236923149</v>
      </c>
      <c r="D31" s="322">
        <f>'Measure Tables'!U247</f>
        <v>0.56728937213221531</v>
      </c>
      <c r="E31" s="334">
        <v>8</v>
      </c>
    </row>
    <row r="32" spans="1:5">
      <c r="A32" s="128" t="str">
        <f>'Measure Tables'!A6</f>
        <v>BNI - Efficient Product Rebates; Single-Tank Door Type Dishwasher (Low Temp); COM-Other; Retail</v>
      </c>
      <c r="B32" s="320">
        <f>'Measure Tables'!P6</f>
        <v>8.5628434778335656</v>
      </c>
      <c r="C32" s="320">
        <f>'Measure Tables'!T6</f>
        <v>12.792061660307972</v>
      </c>
      <c r="D32" s="322">
        <f>'Measure Tables'!U6</f>
        <v>0.49390347884116831</v>
      </c>
      <c r="E32" s="334">
        <v>7</v>
      </c>
    </row>
    <row r="33" spans="1:5">
      <c r="A33" s="128" t="str">
        <f>'Measure Tables'!A8</f>
        <v>BNI - Efficient Product Rebates; Multi-Tank Conveyor Commercial Dish Washer (Low Temp); COM-Other; Retail</v>
      </c>
      <c r="B33" s="320">
        <f>'Measure Tables'!P8</f>
        <v>3.885517984038104</v>
      </c>
      <c r="C33" s="320">
        <f>'Measure Tables'!T8</f>
        <v>5.6954416485446879</v>
      </c>
      <c r="D33" s="322">
        <f>'Measure Tables'!U8</f>
        <v>0.46581271067122532</v>
      </c>
      <c r="E33" s="334">
        <v>7</v>
      </c>
    </row>
    <row r="34" spans="1:5">
      <c r="A34" s="128" t="str">
        <f>'Measure Tables'!A200</f>
        <v xml:space="preserve">Custom Incentives; Custom Efficiency; IND; Industrial </v>
      </c>
      <c r="B34" s="320">
        <f>'Measure Tables'!P200</f>
        <v>2.569959477883887</v>
      </c>
      <c r="C34" s="320">
        <f>'Measure Tables'!T200</f>
        <v>3.778618744817269</v>
      </c>
      <c r="D34" s="322">
        <f>'Measure Tables'!U200</f>
        <v>0.47030285003894146</v>
      </c>
      <c r="E34" s="334">
        <v>7</v>
      </c>
    </row>
    <row r="35" spans="1:5">
      <c r="A35" s="128" t="str">
        <f>'Measure Tables'!A113</f>
        <v xml:space="preserve">BNI - Efficient Product Rebates; Lighting Controls - Occupancy Sensors; IND; Industrial </v>
      </c>
      <c r="B35" s="320">
        <f>'Measure Tables'!P113</f>
        <v>1.8097655264202912</v>
      </c>
      <c r="C35" s="320">
        <f>'Measure Tables'!T113</f>
        <v>2.66828780356943</v>
      </c>
      <c r="D35" s="322">
        <f>'Measure Tables'!U113</f>
        <v>0.47438315329571579</v>
      </c>
      <c r="E35" s="334">
        <v>7</v>
      </c>
    </row>
    <row r="36" spans="1:5">
      <c r="A36" s="128" t="str">
        <f>'Measure Tables'!A199</f>
        <v>Custom Incentives; Custom Efficiency; COM-Other; COM</v>
      </c>
      <c r="B36" s="320">
        <f>'Measure Tables'!P199</f>
        <v>2.6466785212700317</v>
      </c>
      <c r="C36" s="320">
        <f>'Measure Tables'!T199</f>
        <v>3.8553377882034141</v>
      </c>
      <c r="D36" s="322">
        <f>'Measure Tables'!U199</f>
        <v>0.45667022164573157</v>
      </c>
      <c r="E36" s="334">
        <v>7</v>
      </c>
    </row>
    <row r="37" spans="1:5">
      <c r="A37" s="128" t="str">
        <f>'Measure Tables'!A121</f>
        <v>BNI - Efficient Product Rebates; Daylighting Controls; COM-Lighting; School</v>
      </c>
      <c r="B37" s="320">
        <f>'Measure Tables'!P121</f>
        <v>0.70787300999316372</v>
      </c>
      <c r="C37" s="320">
        <f>'Measure Tables'!T121</f>
        <v>1.0398407182099974</v>
      </c>
      <c r="D37" s="322">
        <f>'Measure Tables'!U121</f>
        <v>0.46896505945330452</v>
      </c>
      <c r="E37" s="334">
        <v>7</v>
      </c>
    </row>
    <row r="38" spans="1:5">
      <c r="A38" s="128" t="str">
        <f>'Measure Tables'!A70</f>
        <v>BNI - Efficient Product Rebates; T8 Dimmable Stairwell Lighting; COM-Lighting; School</v>
      </c>
      <c r="B38" s="320">
        <f>'Measure Tables'!P70</f>
        <v>1.2729838748536708</v>
      </c>
      <c r="C38" s="320">
        <f>'Measure Tables'!T70</f>
        <v>1.8699688334075204</v>
      </c>
      <c r="D38" s="322">
        <f>'Measure Tables'!U70</f>
        <v>0.46896505945330441</v>
      </c>
      <c r="E38" s="334">
        <v>7</v>
      </c>
    </row>
    <row r="39" spans="1:5">
      <c r="A39" s="128" t="str">
        <f>'Measure Tables'!A117</f>
        <v>BNI - Efficient Product Rebates; Lighting Controls - Occupancy Sensors; COM-Lighting; School</v>
      </c>
      <c r="B39" s="320">
        <f>'Measure Tables'!P117</f>
        <v>1.1258567752640007</v>
      </c>
      <c r="C39" s="320">
        <f>'Measure Tables'!T117</f>
        <v>1.6538442648115881</v>
      </c>
      <c r="D39" s="322">
        <f>'Measure Tables'!U117</f>
        <v>0.46896505945330408</v>
      </c>
      <c r="E39" s="334">
        <v>7</v>
      </c>
    </row>
    <row r="40" spans="1:5">
      <c r="A40" s="128" t="str">
        <f>'Measure Tables'!A220</f>
        <v>Residential - Efficient Product Rebates; Hardwired Dimmer Switch; RES-Lighting; RES-SF</v>
      </c>
      <c r="B40" s="320">
        <f>'Measure Tables'!P220</f>
        <v>0.69987426308041001</v>
      </c>
      <c r="C40" s="320">
        <f>'Measure Tables'!T220</f>
        <v>0.99238228622399771</v>
      </c>
      <c r="D40" s="322">
        <f>'Measure Tables'!U220</f>
        <v>0.41794367727732951</v>
      </c>
      <c r="E40" s="334">
        <v>7</v>
      </c>
    </row>
    <row r="41" spans="1:5">
      <c r="A41" s="128" t="str">
        <f>'Measure Tables'!A67</f>
        <v>BNI - Efficient Product Rebates; T8 Dimmable Stairwell Lighting; COM-Lighting; Office</v>
      </c>
      <c r="B41" s="320">
        <f>'Measure Tables'!P67</f>
        <v>1.5944140525196868</v>
      </c>
      <c r="C41" s="320">
        <f>'Measure Tables'!T67</f>
        <v>2.2449559443233387</v>
      </c>
      <c r="D41" s="322">
        <f>'Measure Tables'!U67</f>
        <v>0.40801314487638046</v>
      </c>
      <c r="E41" s="334">
        <v>7</v>
      </c>
    </row>
    <row r="42" spans="1:5">
      <c r="A42" s="128" t="str">
        <f>'Measure Tables'!A118</f>
        <v>BNI - Efficient Product Rebates; Daylighting Controls; COM-Lighting; Office</v>
      </c>
      <c r="B42" s="320">
        <f>'Measure Tables'!P118</f>
        <v>0.80665609373588898</v>
      </c>
      <c r="C42" s="320">
        <f>'Measure Tables'!T118</f>
        <v>1.1357823833747653</v>
      </c>
      <c r="D42" s="322">
        <f>'Measure Tables'!U118</f>
        <v>0.40801314487638041</v>
      </c>
      <c r="E42" s="334">
        <v>7</v>
      </c>
    </row>
    <row r="43" spans="1:5">
      <c r="A43" s="128" t="str">
        <f>'Measure Tables'!A114</f>
        <v>BNI - Efficient Product Rebates; Lighting Controls - Occupancy Sensors; COM-Lighting; Office</v>
      </c>
      <c r="B43" s="320">
        <f>'Measure Tables'!P114</f>
        <v>1.4117031546446381</v>
      </c>
      <c r="C43" s="320">
        <f>'Measure Tables'!T114</f>
        <v>1.9876965984031043</v>
      </c>
      <c r="D43" s="322">
        <f>'Measure Tables'!U114</f>
        <v>0.40801314487638052</v>
      </c>
      <c r="E43" s="334">
        <v>7</v>
      </c>
    </row>
    <row r="44" spans="1:5">
      <c r="A44" s="128" t="str">
        <f>'Measure Tables'!A119</f>
        <v>BNI - Efficient Product Rebates; Daylighting Controls; COM-Lighting; Other Commercial</v>
      </c>
      <c r="B44" s="320">
        <f>'Measure Tables'!P119</f>
        <v>0.76159265709188106</v>
      </c>
      <c r="C44" s="320">
        <f>'Measure Tables'!T119</f>
        <v>1.0697781956475849</v>
      </c>
      <c r="D44" s="322">
        <f>'Measure Tables'!U119</f>
        <v>0.40465928299847476</v>
      </c>
      <c r="E44" s="334">
        <v>7</v>
      </c>
    </row>
    <row r="45" spans="1:5">
      <c r="A45" s="128" t="str">
        <f>'Measure Tables'!A68</f>
        <v>BNI - Efficient Product Rebates; T8 Dimmable Stairwell Lighting; COM-Lighting; Other Commercial</v>
      </c>
      <c r="B45" s="320">
        <f>'Measure Tables'!P68</f>
        <v>2.5064339288950239</v>
      </c>
      <c r="C45" s="320">
        <f>'Measure Tables'!T68</f>
        <v>3.5206856854447346</v>
      </c>
      <c r="D45" s="322">
        <f>'Measure Tables'!U68</f>
        <v>0.40465928299847487</v>
      </c>
      <c r="E45" s="334">
        <v>7</v>
      </c>
    </row>
    <row r="46" spans="1:5">
      <c r="A46" s="128" t="str">
        <f>'Measure Tables'!A115</f>
        <v>BNI - Efficient Product Rebates; Lighting Controls - Occupancy Sensors; COM-Lighting; Other Commercial</v>
      </c>
      <c r="B46" s="320">
        <f>'Measure Tables'!P115</f>
        <v>2.236074460073187</v>
      </c>
      <c r="C46" s="320">
        <f>'Measure Tables'!T115</f>
        <v>3.1409227478176045</v>
      </c>
      <c r="D46" s="322">
        <f>'Measure Tables'!U115</f>
        <v>0.40465928299847481</v>
      </c>
      <c r="E46" s="334">
        <v>7</v>
      </c>
    </row>
    <row r="47" spans="1:5">
      <c r="A47" s="128" t="str">
        <f>'Measure Tables'!A81</f>
        <v>BNI - Efficient Product Rebates; LED Refrigeration Strip Lighting-End of Life replacement; COM-Lighting; Other Commercial</v>
      </c>
      <c r="B47" s="320">
        <f>'Measure Tables'!P81</f>
        <v>0.98859889282853386</v>
      </c>
      <c r="C47" s="320">
        <f>'Measure Tables'!T81</f>
        <v>1.4183634609394764</v>
      </c>
      <c r="D47" s="322">
        <f>'Measure Tables'!U81</f>
        <v>0.43472086730880294</v>
      </c>
      <c r="E47" s="334">
        <v>7</v>
      </c>
    </row>
    <row r="48" spans="1:5">
      <c r="A48" s="128" t="str">
        <f>'Measure Tables'!A246</f>
        <v>Existing Residential; Low Flow (1.25 GPM) showerhead; RES-Water Heat; MURB</v>
      </c>
      <c r="B48" s="320">
        <f>'Measure Tables'!P246</f>
        <v>6.3489388844240331</v>
      </c>
      <c r="C48" s="320">
        <f>'Measure Tables'!T246</f>
        <v>8.8919592398989167</v>
      </c>
      <c r="D48" s="322">
        <f>'Measure Tables'!U246</f>
        <v>0.40054257912510727</v>
      </c>
      <c r="E48" s="334">
        <v>7</v>
      </c>
    </row>
    <row r="49" spans="1:5">
      <c r="A49" s="128" t="str">
        <f>'Measure Tables'!A116</f>
        <v>BNI - Efficient Product Rebates; Lighting Controls - Occupancy Sensors; COM-Lighting; Retail</v>
      </c>
      <c r="B49" s="320">
        <f>'Measure Tables'!P116</f>
        <v>2.143902807850246</v>
      </c>
      <c r="C49" s="320">
        <f>'Measure Tables'!T116</f>
        <v>2.9993107171353546</v>
      </c>
      <c r="D49" s="322">
        <f>'Measure Tables'!U116</f>
        <v>0.39899565696396988</v>
      </c>
      <c r="E49" s="334">
        <v>6</v>
      </c>
    </row>
    <row r="50" spans="1:5">
      <c r="A50" s="128" t="str">
        <f>'Measure Tables'!A69</f>
        <v>BNI - Efficient Product Rebates; T8 Dimmable Stairwell Lighting; COM-Lighting; Retail</v>
      </c>
      <c r="B50" s="320">
        <f>'Measure Tables'!P69</f>
        <v>2.4058457894102272</v>
      </c>
      <c r="C50" s="320">
        <f>'Measure Tables'!T69</f>
        <v>3.3657678107099613</v>
      </c>
      <c r="D50" s="322">
        <f>'Measure Tables'!U69</f>
        <v>0.39899565696396982</v>
      </c>
      <c r="E50" s="334">
        <v>6</v>
      </c>
    </row>
    <row r="51" spans="1:5">
      <c r="A51" s="128" t="str">
        <f>'Measure Tables'!A120</f>
        <v>BNI - Efficient Product Rebates; Daylighting Controls; COM-Lighting; Retail</v>
      </c>
      <c r="B51" s="320">
        <f>'Measure Tables'!P120</f>
        <v>0.78073299849862121</v>
      </c>
      <c r="C51" s="320">
        <f>'Measure Tables'!T120</f>
        <v>1.0922420741480285</v>
      </c>
      <c r="D51" s="322">
        <f>'Measure Tables'!U120</f>
        <v>0.39899565696396971</v>
      </c>
      <c r="E51" s="334">
        <v>6</v>
      </c>
    </row>
    <row r="52" spans="1:5">
      <c r="A52" s="128" t="str">
        <f>'Measure Tables'!A83</f>
        <v>BNI - Efficient Product Rebates; LED Refrigeration Strip Lighting-End of Life replacement; COM-Lighting; School</v>
      </c>
      <c r="B52" s="320">
        <f>'Measure Tables'!P83</f>
        <v>1.0011569829623144</v>
      </c>
      <c r="C52" s="320">
        <f>'Measure Tables'!T83</f>
        <v>1.4309215510732567</v>
      </c>
      <c r="D52" s="322">
        <f>'Measure Tables'!U83</f>
        <v>0.42926791244996948</v>
      </c>
      <c r="E52" s="334">
        <v>6</v>
      </c>
    </row>
    <row r="53" spans="1:5">
      <c r="A53" s="128" t="str">
        <f>'Measure Tables'!A82</f>
        <v>BNI - Efficient Product Rebates; LED Refrigeration Strip Lighting-End of Life replacement; COM-Lighting; Retail</v>
      </c>
      <c r="B53" s="320">
        <f>'Measure Tables'!P82</f>
        <v>1.010874654555824</v>
      </c>
      <c r="C53" s="320">
        <f>'Measure Tables'!T82</f>
        <v>1.4406392226667666</v>
      </c>
      <c r="D53" s="322">
        <f>'Measure Tables'!U82</f>
        <v>0.42514130330014072</v>
      </c>
      <c r="E53" s="334">
        <v>6</v>
      </c>
    </row>
    <row r="54" spans="1:5">
      <c r="A54" s="128" t="str">
        <f>'Measure Tables'!A108</f>
        <v xml:space="preserve">BNI - Efficient Product Rebates; Photoluminescent Exit Sign; IND; Industrial </v>
      </c>
      <c r="B54" s="320">
        <f>'Measure Tables'!P108</f>
        <v>1.5506093582189306</v>
      </c>
      <c r="C54" s="320">
        <f>'Measure Tables'!T108</f>
        <v>2.1385633991850161</v>
      </c>
      <c r="D54" s="322">
        <f>'Measure Tables'!U108</f>
        <v>0.37917612056812583</v>
      </c>
      <c r="E54" s="334">
        <v>6</v>
      </c>
    </row>
    <row r="55" spans="1:5">
      <c r="A55" s="128" t="str">
        <f>'Measure Tables'!A109</f>
        <v>BNI - Efficient Product Rebates; Photoluminescent Exit Sign; COM-Lighting; Office</v>
      </c>
      <c r="B55" s="320">
        <f>'Measure Tables'!P109</f>
        <v>1.5506093582189306</v>
      </c>
      <c r="C55" s="320">
        <f>'Measure Tables'!T109</f>
        <v>2.1385633991850161</v>
      </c>
      <c r="D55" s="322">
        <f>'Measure Tables'!U109</f>
        <v>0.37917612056812583</v>
      </c>
      <c r="E55" s="334">
        <v>6</v>
      </c>
    </row>
    <row r="56" spans="1:5">
      <c r="A56" s="128" t="str">
        <f>'Measure Tables'!A110</f>
        <v>BNI - Efficient Product Rebates; Photoluminescent Exit Sign; COM-Lighting; Other Commercial</v>
      </c>
      <c r="B56" s="320">
        <f>'Measure Tables'!P110</f>
        <v>1.5506093582189306</v>
      </c>
      <c r="C56" s="320">
        <f>'Measure Tables'!T110</f>
        <v>2.1385633991850161</v>
      </c>
      <c r="D56" s="322">
        <f>'Measure Tables'!U110</f>
        <v>0.37917612056812583</v>
      </c>
      <c r="E56" s="334">
        <v>6</v>
      </c>
    </row>
    <row r="57" spans="1:5">
      <c r="A57" s="128" t="str">
        <f>'Measure Tables'!A111</f>
        <v>BNI - Efficient Product Rebates; Photoluminescent Exit Sign; COM-Lighting; Retail</v>
      </c>
      <c r="B57" s="320">
        <f>'Measure Tables'!P111</f>
        <v>1.5506093582189306</v>
      </c>
      <c r="C57" s="320">
        <f>'Measure Tables'!T111</f>
        <v>2.1385633991850161</v>
      </c>
      <c r="D57" s="322">
        <f>'Measure Tables'!U111</f>
        <v>0.37917612056812583</v>
      </c>
      <c r="E57" s="334">
        <v>6</v>
      </c>
    </row>
    <row r="58" spans="1:5">
      <c r="A58" s="128" t="str">
        <f>'Measure Tables'!A112</f>
        <v>BNI - Efficient Product Rebates; Photoluminescent Exit Sign; COM-Lighting; School</v>
      </c>
      <c r="B58" s="320">
        <f>'Measure Tables'!P112</f>
        <v>1.5506093582189306</v>
      </c>
      <c r="C58" s="320">
        <f>'Measure Tables'!T112</f>
        <v>2.1385633991850161</v>
      </c>
      <c r="D58" s="322">
        <f>'Measure Tables'!U112</f>
        <v>0.37917612056812583</v>
      </c>
      <c r="E58" s="334">
        <v>6</v>
      </c>
    </row>
    <row r="59" spans="1:5">
      <c r="A59" s="128" t="str">
        <f>'Measure Tables'!A103</f>
        <v xml:space="preserve">BNI - Efficient Product Rebates; LED Exit Sign-End of Life replacement; IND; Industrial </v>
      </c>
      <c r="B59" s="320">
        <f>'Measure Tables'!P103</f>
        <v>1.9532101681831293</v>
      </c>
      <c r="C59" s="320">
        <f>'Measure Tables'!T103</f>
        <v>2.693820822409025</v>
      </c>
      <c r="D59" s="322">
        <f>'Measure Tables'!U103</f>
        <v>0.37917612056812589</v>
      </c>
      <c r="E59" s="334">
        <v>6</v>
      </c>
    </row>
    <row r="60" spans="1:5">
      <c r="A60" s="128" t="str">
        <f>'Measure Tables'!A104</f>
        <v>BNI - Efficient Product Rebates; LED Exit Sign-End of Life replacement; COM-Lighting; Office</v>
      </c>
      <c r="B60" s="320">
        <f>'Measure Tables'!P104</f>
        <v>1.9532101681831293</v>
      </c>
      <c r="C60" s="320">
        <f>'Measure Tables'!T104</f>
        <v>2.693820822409025</v>
      </c>
      <c r="D60" s="322">
        <f>'Measure Tables'!U104</f>
        <v>0.37917612056812589</v>
      </c>
      <c r="E60" s="334">
        <v>6</v>
      </c>
    </row>
    <row r="61" spans="1:5">
      <c r="A61" s="128" t="str">
        <f>'Measure Tables'!A105</f>
        <v>BNI - Efficient Product Rebates; LED Exit Sign-End of Life replacement; COM-Lighting; Other Commercial</v>
      </c>
      <c r="B61" s="320">
        <f>'Measure Tables'!P105</f>
        <v>1.9532101681831293</v>
      </c>
      <c r="C61" s="320">
        <f>'Measure Tables'!T105</f>
        <v>2.693820822409025</v>
      </c>
      <c r="D61" s="322">
        <f>'Measure Tables'!U105</f>
        <v>0.37917612056812589</v>
      </c>
      <c r="E61" s="334">
        <v>6</v>
      </c>
    </row>
    <row r="62" spans="1:5">
      <c r="A62" s="128" t="str">
        <f>'Measure Tables'!A106</f>
        <v>BNI - Efficient Product Rebates; LED Exit Sign-End of Life replacement; COM-Lighting; Retail</v>
      </c>
      <c r="B62" s="320">
        <f>'Measure Tables'!P106</f>
        <v>1.9532101681831293</v>
      </c>
      <c r="C62" s="320">
        <f>'Measure Tables'!T106</f>
        <v>2.693820822409025</v>
      </c>
      <c r="D62" s="322">
        <f>'Measure Tables'!U106</f>
        <v>0.37917612056812589</v>
      </c>
      <c r="E62" s="334">
        <v>6</v>
      </c>
    </row>
    <row r="63" spans="1:5">
      <c r="A63" s="128" t="str">
        <f>'Measure Tables'!A107</f>
        <v>BNI - Efficient Product Rebates; LED Exit Sign-End of Life replacement; COM-Lighting; School</v>
      </c>
      <c r="B63" s="320">
        <f>'Measure Tables'!P107</f>
        <v>1.9532101681831293</v>
      </c>
      <c r="C63" s="320">
        <f>'Measure Tables'!T107</f>
        <v>2.693820822409025</v>
      </c>
      <c r="D63" s="322">
        <f>'Measure Tables'!U107</f>
        <v>0.37917612056812589</v>
      </c>
      <c r="E63" s="334">
        <v>6</v>
      </c>
    </row>
    <row r="64" spans="1:5">
      <c r="A64" s="128" t="str">
        <f>'Measure Tables'!A77</f>
        <v>BNI - Efficient Product Rebates; LED Lamps-End of Life; COM-Lighting; Office</v>
      </c>
      <c r="B64" s="320">
        <f>'Measure Tables'!P77</f>
        <v>1.2998787978402941</v>
      </c>
      <c r="C64" s="320">
        <f>'Measure Tables'!T77</f>
        <v>1.7926488045934101</v>
      </c>
      <c r="D64" s="322">
        <f>'Measure Tables'!U77</f>
        <v>0.3790891947555704</v>
      </c>
      <c r="E64" s="334">
        <v>6</v>
      </c>
    </row>
    <row r="65" spans="1:5">
      <c r="A65" s="128" t="str">
        <f>'Measure Tables'!A165</f>
        <v>BNI- Direct Installation; LED Lamps-End of Life-BES; COM-Lighting; Office</v>
      </c>
      <c r="B65" s="320">
        <f>'Measure Tables'!P165</f>
        <v>1.0606521709944663</v>
      </c>
      <c r="C65" s="320">
        <f>'Measure Tables'!T165</f>
        <v>1.4627339484125057</v>
      </c>
      <c r="D65" s="322">
        <f>'Measure Tables'!U165</f>
        <v>0.37908919475557001</v>
      </c>
      <c r="E65" s="334">
        <v>6</v>
      </c>
    </row>
    <row r="66" spans="1:5">
      <c r="A66" s="128" t="str">
        <f>'Measure Tables'!A94</f>
        <v>BNI - Efficient Product Rebates; LED Linear Replacement Lamps; COM-Lighting; Office</v>
      </c>
      <c r="B66" s="320">
        <f>'Measure Tables'!P94</f>
        <v>1.0856246371752427</v>
      </c>
      <c r="C66" s="320">
        <f>'Measure Tables'!T94</f>
        <v>1.4971732066888135</v>
      </c>
      <c r="D66" s="322">
        <f>'Measure Tables'!U94</f>
        <v>0.37908919475557018</v>
      </c>
      <c r="E66" s="334">
        <v>6</v>
      </c>
    </row>
    <row r="67" spans="1:5">
      <c r="A67" s="128" t="str">
        <f>'Measure Tables'!A72</f>
        <v>BNI - Efficient Product Rebates; LED Lamps-Retrofit (dual baseline); COM-Lighting; Office</v>
      </c>
      <c r="B67" s="320">
        <f>'Measure Tables'!P72</f>
        <v>5.824291342962141</v>
      </c>
      <c r="C67" s="320">
        <f>'Measure Tables'!T72</f>
        <v>8.0322172581874991</v>
      </c>
      <c r="D67" s="322">
        <f>'Measure Tables'!U72</f>
        <v>0.37908919475557046</v>
      </c>
      <c r="E67" s="334">
        <v>6</v>
      </c>
    </row>
    <row r="68" spans="1:5">
      <c r="A68" s="128" t="str">
        <f>'Measure Tables'!A162</f>
        <v>BNI- Direct Installation; LED Lamps-Retrofit (dual baseline)-BES; COM-Lighting; Office</v>
      </c>
      <c r="B68" s="320">
        <f>'Measure Tables'!P162</f>
        <v>2.8968011572770771</v>
      </c>
      <c r="C68" s="320">
        <f>'Measure Tables'!T162</f>
        <v>3.9949471753562489</v>
      </c>
      <c r="D68" s="322">
        <f>'Measure Tables'!U162</f>
        <v>0.37908919475557046</v>
      </c>
      <c r="E68" s="334">
        <v>6</v>
      </c>
    </row>
    <row r="69" spans="1:5">
      <c r="A69" s="128" t="str">
        <f>'Measure Tables'!A60</f>
        <v>BNI - Efficient Product Rebates; Fluorescent T5 and HPT8 Fixtures (4 FT) lamps-Retrofit (dual baseline); COM-Lighting; Other Commercial</v>
      </c>
      <c r="B69" s="320">
        <f>'Measure Tables'!P60</f>
        <v>0.29924685062284234</v>
      </c>
      <c r="C69" s="320">
        <f>'Measure Tables'!T60</f>
        <v>0.41131919506371323</v>
      </c>
      <c r="D69" s="322">
        <f>'Measure Tables'!U60</f>
        <v>0.37451469984598762</v>
      </c>
      <c r="E69" s="334">
        <v>6</v>
      </c>
    </row>
    <row r="70" spans="1:5">
      <c r="A70" s="128" t="str">
        <f>'Measure Tables'!A78</f>
        <v>BNI - Efficient Product Rebates; LED Lamps-End of Life; COM-Lighting; Other Commercial</v>
      </c>
      <c r="B70" s="320">
        <f>'Measure Tables'!P78</f>
        <v>2.0763478335999492</v>
      </c>
      <c r="C70" s="320">
        <f>'Measure Tables'!T78</f>
        <v>2.8539706192765006</v>
      </c>
      <c r="D70" s="322">
        <f>'Measure Tables'!U78</f>
        <v>0.37451469984598751</v>
      </c>
      <c r="E70" s="334">
        <v>6</v>
      </c>
    </row>
    <row r="71" spans="1:5">
      <c r="A71" s="128" t="str">
        <f>'Measure Tables'!A166</f>
        <v>BNI- Direct Installation; LED Lamps-End of Life-BES; COM-Lighting; Other Commercial</v>
      </c>
      <c r="B71" s="320">
        <f>'Measure Tables'!P166</f>
        <v>1.5313121176000779</v>
      </c>
      <c r="C71" s="320">
        <f>'Measure Tables'!T166</f>
        <v>2.1048110156935946</v>
      </c>
      <c r="D71" s="322">
        <f>'Measure Tables'!U166</f>
        <v>0.37451469984598751</v>
      </c>
      <c r="E71" s="334">
        <v>6</v>
      </c>
    </row>
    <row r="72" spans="1:5">
      <c r="A72" s="128" t="str">
        <f>'Measure Tables'!A163</f>
        <v>BNI- Direct Installation; LED Lamps-Retrofit (dual baseline)-BES; COM-Lighting; Other Commercial</v>
      </c>
      <c r="B72" s="320">
        <f>'Measure Tables'!P163</f>
        <v>3.3413999304377922</v>
      </c>
      <c r="C72" s="320">
        <f>'Measure Tables'!T163</f>
        <v>4.5928033224511067</v>
      </c>
      <c r="D72" s="322">
        <f>'Measure Tables'!U163</f>
        <v>0.3745146998459879</v>
      </c>
      <c r="E72" s="334">
        <v>6</v>
      </c>
    </row>
    <row r="73" spans="1:5">
      <c r="A73" s="128" t="str">
        <f>'Measure Tables'!A95</f>
        <v>BNI - Efficient Product Rebates; LED Linear Replacement Lamps; COM-Lighting; Other Commercial</v>
      </c>
      <c r="B73" s="320">
        <f>'Measure Tables'!P95</f>
        <v>1.0079304946894427</v>
      </c>
      <c r="C73" s="320">
        <f>'Measure Tables'!T95</f>
        <v>1.3854152813736773</v>
      </c>
      <c r="D73" s="322">
        <f>'Measure Tables'!U95</f>
        <v>0.37451469984598773</v>
      </c>
      <c r="E73" s="334">
        <v>6</v>
      </c>
    </row>
    <row r="74" spans="1:5">
      <c r="A74" s="128" t="str">
        <f>'Measure Tables'!A73</f>
        <v>BNI - Efficient Product Rebates; LED Lamps-Retrofit (dual baseline); COM-Lighting; Other Commercial</v>
      </c>
      <c r="B74" s="320">
        <f>'Measure Tables'!P73</f>
        <v>7.8213050975493505</v>
      </c>
      <c r="C74" s="320">
        <f>'Measure Tables'!T73</f>
        <v>10.750498828561939</v>
      </c>
      <c r="D74" s="322">
        <f>'Measure Tables'!U73</f>
        <v>0.37451469984598773</v>
      </c>
      <c r="E74" s="334">
        <v>6</v>
      </c>
    </row>
    <row r="75" spans="1:5">
      <c r="A75" s="128" t="str">
        <f>'Measure Tables'!A97</f>
        <v>BNI - Efficient Product Rebates; LED Linear Replacement Lamps; COM-Lighting; School</v>
      </c>
      <c r="B75" s="320">
        <f>'Measure Tables'!P97</f>
        <v>1.0733726588435786</v>
      </c>
      <c r="C75" s="320">
        <f>'Measure Tables'!T97</f>
        <v>1.4700845974202212</v>
      </c>
      <c r="D75" s="322">
        <f>'Measure Tables'!U97</f>
        <v>0.36959385476060935</v>
      </c>
      <c r="E75" s="334">
        <v>6</v>
      </c>
    </row>
    <row r="76" spans="1:5">
      <c r="A76" s="128" t="str">
        <f>'Measure Tables'!A75</f>
        <v>BNI - Efficient Product Rebates; LED Lamps-Retrofit (dual baseline); COM-Lighting; School</v>
      </c>
      <c r="B76" s="320">
        <f>'Measure Tables'!P75</f>
        <v>5.6272760722520125</v>
      </c>
      <c r="C76" s="320">
        <f>'Measure Tables'!T75</f>
        <v>7.7070827275977756</v>
      </c>
      <c r="D76" s="322">
        <f>'Measure Tables'!U75</f>
        <v>0.36959385476060941</v>
      </c>
      <c r="E76" s="334">
        <v>6</v>
      </c>
    </row>
    <row r="77" spans="1:5">
      <c r="A77" s="128" t="str">
        <f>'Measure Tables'!A80</f>
        <v>BNI - Efficient Product Rebates; LED Lamps-End of Life; COM-Lighting; School</v>
      </c>
      <c r="B77" s="320">
        <f>'Measure Tables'!P80</f>
        <v>1.2213476307320252</v>
      </c>
      <c r="C77" s="320">
        <f>'Measure Tables'!T80</f>
        <v>1.6727502095770113</v>
      </c>
      <c r="D77" s="322">
        <f>'Measure Tables'!U80</f>
        <v>0.36959385476060896</v>
      </c>
      <c r="E77" s="334">
        <v>6</v>
      </c>
    </row>
    <row r="78" spans="1:5">
      <c r="A78" s="128" t="str">
        <f>'Measure Tables'!A74</f>
        <v>BNI - Efficient Product Rebates; LED Lamps-Retrofit (dual baseline); COM-Lighting; Retail</v>
      </c>
      <c r="B78" s="320">
        <f>'Measure Tables'!P74</f>
        <v>7.749736902844651</v>
      </c>
      <c r="C78" s="320">
        <f>'Measure Tables'!T74</f>
        <v>10.585163155988003</v>
      </c>
      <c r="D78" s="322">
        <f>'Measure Tables'!U74</f>
        <v>0.36587387271206179</v>
      </c>
      <c r="E78" s="334">
        <v>6</v>
      </c>
    </row>
    <row r="79" spans="1:5">
      <c r="A79" s="128" t="str">
        <f>'Measure Tables'!A167</f>
        <v>BNI- Direct Installation; LED Lamps-End of Life-BES; COM-Lighting; Retail</v>
      </c>
      <c r="B79" s="320">
        <f>'Measure Tables'!P167</f>
        <v>1.5026266406850544</v>
      </c>
      <c r="C79" s="320">
        <f>'Measure Tables'!T167</f>
        <v>2.052398468952811</v>
      </c>
      <c r="D79" s="322">
        <f>'Measure Tables'!U167</f>
        <v>0.36587387271206179</v>
      </c>
      <c r="E79" s="334">
        <v>6</v>
      </c>
    </row>
    <row r="80" spans="1:5">
      <c r="A80" s="128" t="str">
        <f>'Measure Tables'!A164</f>
        <v>BNI- Direct Installation; LED Lamps-Retrofit (dual baseline)-BES; COM-Lighting; Retail</v>
      </c>
      <c r="B80" s="320">
        <f>'Measure Tables'!P164</f>
        <v>3.3726643573949788</v>
      </c>
      <c r="C80" s="320">
        <f>'Measure Tables'!T164</f>
        <v>4.6066341271930176</v>
      </c>
      <c r="D80" s="322">
        <f>'Measure Tables'!U164</f>
        <v>0.36587387271206195</v>
      </c>
      <c r="E80" s="334">
        <v>6</v>
      </c>
    </row>
    <row r="81" spans="1:5">
      <c r="A81" s="128" t="str">
        <f>'Measure Tables'!A96</f>
        <v>BNI - Efficient Product Rebates; LED Linear Replacement Lamps; COM-Lighting; Retail</v>
      </c>
      <c r="B81" s="320">
        <f>'Measure Tables'!P96</f>
        <v>1.0688304819823504</v>
      </c>
      <c r="C81" s="320">
        <f>'Measure Tables'!T96</f>
        <v>1.4598876296979326</v>
      </c>
      <c r="D81" s="322">
        <f>'Measure Tables'!U96</f>
        <v>0.36587387271206184</v>
      </c>
      <c r="E81" s="334">
        <v>6</v>
      </c>
    </row>
    <row r="82" spans="1:5">
      <c r="A82" s="128" t="str">
        <f>'Measure Tables'!A79</f>
        <v>BNI - Efficient Product Rebates; LED Lamps-End of Life; COM-Lighting; Retail</v>
      </c>
      <c r="B82" s="320">
        <f>'Measure Tables'!P79</f>
        <v>2.0078851166420968</v>
      </c>
      <c r="C82" s="320">
        <f>'Measure Tables'!T79</f>
        <v>2.7425178202288505</v>
      </c>
      <c r="D82" s="322">
        <f>'Measure Tables'!U79</f>
        <v>0.36587387271206173</v>
      </c>
      <c r="E82" s="334">
        <v>6</v>
      </c>
    </row>
    <row r="83" spans="1:5">
      <c r="A83" s="128" t="str">
        <f>'Measure Tables'!A159</f>
        <v>BNI- Direct Installation; Relamp/Reballast-Retrofit (dual baseline)-BES; COM-Lighting; Office</v>
      </c>
      <c r="B83" s="320">
        <f>'Measure Tables'!P159</f>
        <v>1.375406241299995</v>
      </c>
      <c r="C83" s="320">
        <f>'Measure Tables'!T159</f>
        <v>1.849896095668834</v>
      </c>
      <c r="D83" s="322">
        <f>'Measure Tables'!U159</f>
        <v>0.34498160624919411</v>
      </c>
      <c r="E83" s="334">
        <v>6</v>
      </c>
    </row>
    <row r="84" spans="1:5">
      <c r="A84" s="128" t="str">
        <f>'Measure Tables'!A62</f>
        <v>BNI - Efficient Product Rebates; Relamp/Reballast-Retrofit (dual baseline); COM-Lighting; Office</v>
      </c>
      <c r="B84" s="320">
        <f>'Measure Tables'!P62</f>
        <v>1.6299300750053118</v>
      </c>
      <c r="C84" s="320">
        <f>'Measure Tables'!T62</f>
        <v>2.1922259703545137</v>
      </c>
      <c r="D84" s="322">
        <f>'Measure Tables'!U62</f>
        <v>0.34498160624919411</v>
      </c>
      <c r="E84" s="334">
        <v>6</v>
      </c>
    </row>
    <row r="85" spans="1:5">
      <c r="A85" s="128" t="str">
        <f>'Measure Tables'!A89</f>
        <v>BNI - Efficient Product Rebates; LED Low Bay Fixture; COM-Lighting; Office</v>
      </c>
      <c r="B85" s="320">
        <f>'Measure Tables'!P89</f>
        <v>1.0065241748830438</v>
      </c>
      <c r="C85" s="320">
        <f>'Measure Tables'!T89</f>
        <v>1.353756501462841</v>
      </c>
      <c r="D85" s="322">
        <f>'Measure Tables'!U89</f>
        <v>0.34498160624919411</v>
      </c>
      <c r="E85" s="334">
        <v>6</v>
      </c>
    </row>
    <row r="86" spans="1:5">
      <c r="A86" s="128" t="str">
        <f>'Measure Tables'!A85</f>
        <v>BNI - Efficient Product Rebates; LED High Bay Fixture; COM-Lighting; Other Commercial</v>
      </c>
      <c r="B86" s="320">
        <f>'Measure Tables'!P85</f>
        <v>2.193607398918858</v>
      </c>
      <c r="C86" s="320">
        <f>'Measure Tables'!T85</f>
        <v>2.9414071261328707</v>
      </c>
      <c r="D86" s="322">
        <f>'Measure Tables'!U85</f>
        <v>0.34089952813916174</v>
      </c>
      <c r="E86" s="334">
        <v>6</v>
      </c>
    </row>
    <row r="87" spans="1:5">
      <c r="A87" s="128" t="str">
        <f>'Measure Tables'!A90</f>
        <v>BNI - Efficient Product Rebates; LED Low Bay Fixture; COM-Lighting; Other Commercial</v>
      </c>
      <c r="B87" s="320">
        <f>'Measure Tables'!P90</f>
        <v>0.94677425161172768</v>
      </c>
      <c r="C87" s="320">
        <f>'Measure Tables'!T90</f>
        <v>1.2695291472404735</v>
      </c>
      <c r="D87" s="322">
        <f>'Measure Tables'!U90</f>
        <v>0.34089952813916158</v>
      </c>
      <c r="E87" s="334">
        <v>6</v>
      </c>
    </row>
    <row r="88" spans="1:5">
      <c r="A88" s="128" t="str">
        <f>'Measure Tables'!A160</f>
        <v>BNI- Direct Installation; Relamp/Reballast-Retrofit (dual baseline)-BES; COM-Lighting; Other Commercial</v>
      </c>
      <c r="B88" s="320">
        <f>'Measure Tables'!P160</f>
        <v>1.3581932854062171</v>
      </c>
      <c r="C88" s="320">
        <f>'Measure Tables'!T160</f>
        <v>1.8212007355229742</v>
      </c>
      <c r="D88" s="322">
        <f>'Measure Tables'!U160</f>
        <v>0.34089952813916169</v>
      </c>
      <c r="E88" s="334">
        <v>6</v>
      </c>
    </row>
    <row r="89" spans="1:5">
      <c r="A89" s="128" t="str">
        <f>'Measure Tables'!A63</f>
        <v>BNI - Efficient Product Rebates; Relamp/Reballast-Retrofit (dual baseline); COM-Lighting; Other Commercial</v>
      </c>
      <c r="B89" s="320">
        <f>'Measure Tables'!P63</f>
        <v>1.6023561309206746</v>
      </c>
      <c r="C89" s="320">
        <f>'Measure Tables'!T63</f>
        <v>2.1485985798624254</v>
      </c>
      <c r="D89" s="322">
        <f>'Measure Tables'!U63</f>
        <v>0.34089952813916169</v>
      </c>
      <c r="E89" s="334">
        <v>6</v>
      </c>
    </row>
    <row r="90" spans="1:5">
      <c r="A90" s="128" t="str">
        <f>'Measure Tables'!A92</f>
        <v>BNI - Efficient Product Rebates; LED Low Bay Fixture; COM-Lighting; School</v>
      </c>
      <c r="B90" s="320">
        <f>'Measure Tables'!P92</f>
        <v>1.0001399770587669</v>
      </c>
      <c r="C90" s="320">
        <f>'Measure Tables'!T92</f>
        <v>1.3366933001047974</v>
      </c>
      <c r="D90" s="322">
        <f>'Measure Tables'!U92</f>
        <v>0.33650621989511281</v>
      </c>
      <c r="E90" s="334">
        <v>6</v>
      </c>
    </row>
    <row r="91" spans="1:5">
      <c r="A91" s="128" t="str">
        <f>'Measure Tables'!A65</f>
        <v>BNI - Efficient Product Rebates; Relamp/Reballast-Retrofit (dual baseline); COM-Lighting; School</v>
      </c>
      <c r="B91" s="320">
        <f>'Measure Tables'!P65</f>
        <v>1.6774613509309899</v>
      </c>
      <c r="C91" s="320">
        <f>'Measure Tables'!T65</f>
        <v>2.241937529152926</v>
      </c>
      <c r="D91" s="322">
        <f>'Measure Tables'!U65</f>
        <v>0.33650621989511242</v>
      </c>
      <c r="E91" s="334">
        <v>6</v>
      </c>
    </row>
    <row r="92" spans="1:5">
      <c r="A92" s="128" t="str">
        <f>'Measure Tables'!A87</f>
        <v>BNI - Efficient Product Rebates; LED High Bay Fixture; COM-Lighting; School</v>
      </c>
      <c r="B92" s="320">
        <f>'Measure Tables'!P87</f>
        <v>2.23529997230753</v>
      </c>
      <c r="C92" s="320">
        <f>'Measure Tables'!T87</f>
        <v>2.9874923163203868</v>
      </c>
      <c r="D92" s="322">
        <f>'Measure Tables'!U87</f>
        <v>0.33650621989511265</v>
      </c>
      <c r="E92" s="334">
        <v>6</v>
      </c>
    </row>
    <row r="93" spans="1:5">
      <c r="A93" s="128" t="str">
        <f>'Measure Tables'!A91</f>
        <v>BNI - Efficient Product Rebates; LED Low Bay Fixture; COM-Lighting; Retail</v>
      </c>
      <c r="B93" s="320">
        <f>'Measure Tables'!P91</f>
        <v>0.9979195519385059</v>
      </c>
      <c r="C93" s="320">
        <f>'Measure Tables'!T91</f>
        <v>1.330409928961434</v>
      </c>
      <c r="D93" s="322">
        <f>'Measure Tables'!U91</f>
        <v>0.33318354808967293</v>
      </c>
      <c r="E93" s="334">
        <v>6</v>
      </c>
    </row>
    <row r="94" spans="1:5">
      <c r="A94" s="128" t="str">
        <f>'Measure Tables'!A161</f>
        <v>BNI- Direct Installation; Relamp/Reballast-Retrofit (dual baseline)-BES; COM-Lighting; Retail</v>
      </c>
      <c r="B94" s="320">
        <f>'Measure Tables'!P161</f>
        <v>1.3951332562318068</v>
      </c>
      <c r="C94" s="320">
        <f>'Measure Tables'!T161</f>
        <v>1.8599687046010194</v>
      </c>
      <c r="D94" s="322">
        <f>'Measure Tables'!U161</f>
        <v>0.33318354808967315</v>
      </c>
      <c r="E94" s="334">
        <v>6</v>
      </c>
    </row>
    <row r="95" spans="1:5">
      <c r="A95" s="128" t="str">
        <f>'Measure Tables'!A86</f>
        <v>BNI - Efficient Product Rebates; LED High Bay Fixture; COM-Lighting; Retail</v>
      </c>
      <c r="B95" s="320">
        <f>'Measure Tables'!P86</f>
        <v>2.2537060182954263</v>
      </c>
      <c r="C95" s="320">
        <f>'Measure Tables'!T86</f>
        <v>3.0046037858221459</v>
      </c>
      <c r="D95" s="322">
        <f>'Measure Tables'!U86</f>
        <v>0.33318354808967304</v>
      </c>
      <c r="E95" s="334">
        <v>6</v>
      </c>
    </row>
    <row r="96" spans="1:5">
      <c r="A96" s="128" t="str">
        <f>'Measure Tables'!A64</f>
        <v>BNI - Efficient Product Rebates; Relamp/Reballast-Retrofit (dual baseline); COM-Lighting; Retail</v>
      </c>
      <c r="B96" s="320">
        <f>'Measure Tables'!P64</f>
        <v>1.6471058466668058</v>
      </c>
      <c r="C96" s="320">
        <f>'Measure Tables'!T64</f>
        <v>2.1958944167384975</v>
      </c>
      <c r="D96" s="322">
        <f>'Measure Tables'!U64</f>
        <v>0.33318354808967326</v>
      </c>
      <c r="E96" s="334">
        <v>6</v>
      </c>
    </row>
    <row r="97" spans="1:5">
      <c r="A97" s="128" t="str">
        <f>'Measure Tables'!A93</f>
        <v xml:space="preserve">BNI - Efficient Product Rebates; LED Linear Replacement Lamps; IND; Industrial </v>
      </c>
      <c r="B97" s="320">
        <f>'Measure Tables'!P93</f>
        <v>1.1271779991919366</v>
      </c>
      <c r="C97" s="320">
        <f>'Measure Tables'!T93</f>
        <v>1.5100074614278185</v>
      </c>
      <c r="D97" s="322">
        <f>'Measure Tables'!U93</f>
        <v>0.33963532158215359</v>
      </c>
      <c r="E97" s="334">
        <v>6</v>
      </c>
    </row>
    <row r="98" spans="1:5">
      <c r="A98" s="128" t="str">
        <f>'Measure Tables'!A76</f>
        <v xml:space="preserve">BNI - Efficient Product Rebates; LED Lamps-End of Life; IND; Industrial </v>
      </c>
      <c r="B98" s="320">
        <f>'Measure Tables'!P76</f>
        <v>2.1709727310646123</v>
      </c>
      <c r="C98" s="320">
        <f>'Measure Tables'!T76</f>
        <v>2.9083117527258282</v>
      </c>
      <c r="D98" s="322">
        <f>'Measure Tables'!U76</f>
        <v>0.33963532158215359</v>
      </c>
      <c r="E98" s="334">
        <v>6</v>
      </c>
    </row>
    <row r="99" spans="1:5">
      <c r="A99" s="128" t="str">
        <f>'Measure Tables'!A66</f>
        <v xml:space="preserve">BNI - Efficient Product Rebates; T8 Dimmable Stairwell Lighting; IND; Industrial </v>
      </c>
      <c r="B99" s="320">
        <f>'Measure Tables'!P66</f>
        <v>2.8364188293670183</v>
      </c>
      <c r="C99" s="320">
        <f>'Measure Tables'!T66</f>
        <v>3.7997668506207614</v>
      </c>
      <c r="D99" s="322">
        <f>'Measure Tables'!U66</f>
        <v>0.33963532158215365</v>
      </c>
      <c r="E99" s="334">
        <v>6</v>
      </c>
    </row>
    <row r="100" spans="1:5">
      <c r="A100" s="128" t="str">
        <f>'Measure Tables'!A71</f>
        <v xml:space="preserve">BNI - Efficient Product Rebates; LED Lamps-Retrofit (dual baseline); IND; Industrial </v>
      </c>
      <c r="B100" s="320">
        <f>'Measure Tables'!P71</f>
        <v>8.3662239641464513</v>
      </c>
      <c r="C100" s="320">
        <f>'Measure Tables'!T71</f>
        <v>11.207689130637652</v>
      </c>
      <c r="D100" s="322">
        <f>'Measure Tables'!U71</f>
        <v>0.3396353215821537</v>
      </c>
      <c r="E100" s="334">
        <v>6</v>
      </c>
    </row>
    <row r="101" spans="1:5">
      <c r="A101" s="128" t="str">
        <f>'Measure Tables'!A250</f>
        <v>Existing Residential; DHW Tank Wrap; RES-Water Heat; MURB</v>
      </c>
      <c r="B101" s="320">
        <f>'Measure Tables'!P250</f>
        <v>2.655618006286399</v>
      </c>
      <c r="C101" s="320">
        <f>'Measure Tables'!T250</f>
        <v>3.5856725716264233</v>
      </c>
      <c r="D101" s="322">
        <f>'Measure Tables'!U250</f>
        <v>0.35022151647503219</v>
      </c>
      <c r="E101" s="334">
        <v>6</v>
      </c>
    </row>
    <row r="102" spans="1:5">
      <c r="A102" s="128" t="str">
        <f>'Measure Tables'!A21</f>
        <v>BNI - Efficient Product Rebates; ENERGY STAR® Ice Making Head; COM-Refrigeration; Retail</v>
      </c>
      <c r="B102" s="320">
        <f>'Measure Tables'!P21</f>
        <v>2.0624154680227962</v>
      </c>
      <c r="C102" s="320">
        <f>'Measure Tables'!T21</f>
        <v>2.7549133492795885</v>
      </c>
      <c r="D102" s="322">
        <f>'Measure Tables'!U21</f>
        <v>0.33577031010181413</v>
      </c>
      <c r="E102" s="334">
        <v>6</v>
      </c>
    </row>
    <row r="103" spans="1:5">
      <c r="A103" s="128" t="str">
        <f>'Measure Tables'!A61</f>
        <v xml:space="preserve">BNI - Efficient Product Rebates; Relamp/Reballast-Retrofit (dual baseline); IND; Industrial </v>
      </c>
      <c r="B103" s="320">
        <f>'Measure Tables'!P61</f>
        <v>1.771424947812881</v>
      </c>
      <c r="C103" s="320">
        <f>'Measure Tables'!T61</f>
        <v>2.3200545938033854</v>
      </c>
      <c r="D103" s="322">
        <f>'Measure Tables'!U61</f>
        <v>0.30971091756829955</v>
      </c>
      <c r="E103" s="334">
        <v>6</v>
      </c>
    </row>
    <row r="104" spans="1:5">
      <c r="A104" s="128" t="str">
        <f>'Measure Tables'!A88</f>
        <v xml:space="preserve">BNI - Efficient Product Rebates; LED Low Bay Fixture; IND; Industrial </v>
      </c>
      <c r="B104" s="320">
        <f>'Measure Tables'!P88</f>
        <v>1.0544862815808405</v>
      </c>
      <c r="C104" s="320">
        <f>'Measure Tables'!T88</f>
        <v>1.3810721954124268</v>
      </c>
      <c r="D104" s="322">
        <f>'Measure Tables'!U88</f>
        <v>0.30971091756829949</v>
      </c>
      <c r="E104" s="334">
        <v>6</v>
      </c>
    </row>
    <row r="105" spans="1:5">
      <c r="A105" s="128" t="str">
        <f>'Measure Tables'!A84</f>
        <v xml:space="preserve">BNI - Efficient Product Rebates; LED High Bay Fixture; IND; Industrial </v>
      </c>
      <c r="B105" s="320">
        <f>'Measure Tables'!P84</f>
        <v>2.4184429043472764</v>
      </c>
      <c r="C105" s="320">
        <f>'Measure Tables'!T84</f>
        <v>3.1674610753392143</v>
      </c>
      <c r="D105" s="322">
        <f>'Measure Tables'!U84</f>
        <v>0.30971091756829938</v>
      </c>
      <c r="E105" s="334">
        <v>6</v>
      </c>
    </row>
    <row r="106" spans="1:5">
      <c r="A106" s="128" t="str">
        <f>'Measure Tables'!A99</f>
        <v>BNI - Efficient Product Rebates; LED Exterior Fixtures-End of Life replacement; COM-Lighting; Office</v>
      </c>
      <c r="B106" s="320">
        <f>'Measure Tables'!P99</f>
        <v>3.0789769198330741</v>
      </c>
      <c r="C106" s="320">
        <f>'Measure Tables'!T99</f>
        <v>4.0523728160258514</v>
      </c>
      <c r="D106" s="322">
        <f>'Measure Tables'!U99</f>
        <v>0.31614264138282328</v>
      </c>
      <c r="E106" s="334">
        <v>6</v>
      </c>
    </row>
    <row r="107" spans="1:5">
      <c r="A107" s="128" t="str">
        <f>'Measure Tables'!A100</f>
        <v>BNI - Efficient Product Rebates; LED Exterior Fixtures-End of Life replacement; COM-Lighting; Other Commercial</v>
      </c>
      <c r="B107" s="320">
        <f>'Measure Tables'!P100</f>
        <v>3.0789769198330741</v>
      </c>
      <c r="C107" s="320">
        <f>'Measure Tables'!T100</f>
        <v>4.0523728160258514</v>
      </c>
      <c r="D107" s="322">
        <f>'Measure Tables'!U100</f>
        <v>0.31614264138282328</v>
      </c>
      <c r="E107" s="334">
        <v>6</v>
      </c>
    </row>
    <row r="108" spans="1:5">
      <c r="A108" s="128" t="str">
        <f>'Measure Tables'!A101</f>
        <v>BNI - Efficient Product Rebates; LED Exterior Fixtures-End of Life replacement; COM-Lighting; Retail</v>
      </c>
      <c r="B108" s="320">
        <f>'Measure Tables'!P101</f>
        <v>3.0789769198330741</v>
      </c>
      <c r="C108" s="320">
        <f>'Measure Tables'!T101</f>
        <v>4.0523728160258514</v>
      </c>
      <c r="D108" s="322">
        <f>'Measure Tables'!U101</f>
        <v>0.31614264138282328</v>
      </c>
      <c r="E108" s="334">
        <v>6</v>
      </c>
    </row>
    <row r="109" spans="1:5">
      <c r="A109" s="128" t="str">
        <f>'Measure Tables'!A102</f>
        <v>BNI - Efficient Product Rebates; LED Exterior Fixtures-End of Life replacement; COM-Lighting; School</v>
      </c>
      <c r="B109" s="320">
        <f>'Measure Tables'!P102</f>
        <v>3.0789769198330741</v>
      </c>
      <c r="C109" s="320">
        <f>'Measure Tables'!T102</f>
        <v>4.0523728160258514</v>
      </c>
      <c r="D109" s="322">
        <f>'Measure Tables'!U102</f>
        <v>0.31614264138282328</v>
      </c>
      <c r="E109" s="334">
        <v>6</v>
      </c>
    </row>
    <row r="110" spans="1:5">
      <c r="A110" s="128" t="str">
        <f>'Measure Tables'!A98</f>
        <v xml:space="preserve">BNI - Efficient Product Rebates; LED Exterior Fixtures-End of Life replacement; IND; Industrial </v>
      </c>
      <c r="B110" s="320">
        <f>'Measure Tables'!P98</f>
        <v>3.0866008466480577</v>
      </c>
      <c r="C110" s="320">
        <f>'Measure Tables'!T98</f>
        <v>4.059996742840835</v>
      </c>
      <c r="D110" s="322">
        <f>'Measure Tables'!U98</f>
        <v>0.3153617667311443</v>
      </c>
      <c r="E110" s="334">
        <v>6</v>
      </c>
    </row>
    <row r="111" spans="1:5">
      <c r="A111" s="128" t="str">
        <f>'Measure Tables'!A7</f>
        <v>BNI - Efficient Product Rebates; Single-Tank Conveyor Dishwasher (Low Temp); COM-Other; Retail</v>
      </c>
      <c r="B111" s="320">
        <f>'Measure Tables'!P7</f>
        <v>10.538932977668187</v>
      </c>
      <c r="C111" s="320">
        <f>'Measure Tables'!T7</f>
        <v>13.629334754976332</v>
      </c>
      <c r="D111" s="322">
        <f>'Measure Tables'!U7</f>
        <v>0.29323668571160399</v>
      </c>
      <c r="E111" s="334">
        <v>5</v>
      </c>
    </row>
    <row r="112" spans="1:5">
      <c r="A112" s="128" t="str">
        <f>'Measure Tables'!A245</f>
        <v>Existing Residential; Low Flow (1.25 GPM) showerhead; RES-Water Heat; RES-SF</v>
      </c>
      <c r="B112" s="320">
        <f>'Measure Tables'!P245</f>
        <v>6.5787828301034139</v>
      </c>
      <c r="C112" s="320">
        <f>'Measure Tables'!T245</f>
        <v>8.459592267905542</v>
      </c>
      <c r="D112" s="322">
        <f>'Measure Tables'!U245</f>
        <v>0.28589018460920423</v>
      </c>
      <c r="E112" s="334">
        <v>5</v>
      </c>
    </row>
    <row r="113" spans="1:5">
      <c r="A113" s="128" t="str">
        <f>'Measure Tables'!A249</f>
        <v>Existing Residential; DHW Tank Wrap; RES-Water Heat; RES-SF</v>
      </c>
      <c r="B113" s="320">
        <f>'Measure Tables'!P249</f>
        <v>3.075111758789983</v>
      </c>
      <c r="C113" s="320">
        <f>'Measure Tables'!T249</f>
        <v>3.9869651175086163</v>
      </c>
      <c r="D113" s="322">
        <f>'Measure Tables'!U249</f>
        <v>0.29652690056293624</v>
      </c>
      <c r="E113" s="334">
        <v>5</v>
      </c>
    </row>
    <row r="114" spans="1:5">
      <c r="A114" s="128" t="str">
        <f>'Measure Tables'!A275</f>
        <v>New Residential; EnerGuide 83 New Home; RES-Package; RES-NC</v>
      </c>
      <c r="B114" s="320">
        <f>'Measure Tables'!P275</f>
        <v>2.3306794218558373</v>
      </c>
      <c r="C114" s="320">
        <f>'Measure Tables'!T275</f>
        <v>2.9201918189237119</v>
      </c>
      <c r="D114" s="322">
        <f>'Measure Tables'!U275</f>
        <v>0.25293585704655464</v>
      </c>
      <c r="E114" s="334">
        <v>5</v>
      </c>
    </row>
    <row r="115" spans="1:5">
      <c r="A115" s="128" t="str">
        <f>'Measure Tables'!A10</f>
        <v>BNI - Efficient Product Rebates; Single Tank Door Dishwasher with Booster (High Temp); COM-Other; Retail</v>
      </c>
      <c r="B115" s="320">
        <f>'Measure Tables'!P10</f>
        <v>6.7924516280248532</v>
      </c>
      <c r="C115" s="320">
        <f>'Measure Tables'!T10</f>
        <v>8.3688946017436816</v>
      </c>
      <c r="D115" s="322">
        <f>'Measure Tables'!U10</f>
        <v>0.23208747887355</v>
      </c>
      <c r="E115" s="334">
        <v>5</v>
      </c>
    </row>
    <row r="116" spans="1:5">
      <c r="A116" s="128" t="str">
        <f>'Measure Tables'!A242</f>
        <v>Existing Residential; 1W LED Nightlight; RES-Lighting; MURB</v>
      </c>
      <c r="B116" s="320">
        <f>'Measure Tables'!P242</f>
        <v>1.9045691724200355</v>
      </c>
      <c r="C116" s="320">
        <f>'Measure Tables'!T242</f>
        <v>2.3546815461784898</v>
      </c>
      <c r="D116" s="322">
        <f>'Measure Tables'!U242</f>
        <v>0.23633290944561505</v>
      </c>
      <c r="E116" s="334">
        <v>5</v>
      </c>
    </row>
    <row r="117" spans="1:5">
      <c r="A117" s="128" t="str">
        <f>'Measure Tables'!A239</f>
        <v>Existing Residential; 12 W LED; RES-Lighting; MURB</v>
      </c>
      <c r="B117" s="320">
        <f>'Measure Tables'!P239</f>
        <v>0.9256999859395254</v>
      </c>
      <c r="C117" s="320">
        <f>'Measure Tables'!T239</f>
        <v>1.1413063638867298</v>
      </c>
      <c r="D117" s="322">
        <f>'Measure Tables'!U239</f>
        <v>0.23291172218002998</v>
      </c>
      <c r="E117" s="334">
        <v>5</v>
      </c>
    </row>
    <row r="118" spans="1:5">
      <c r="A118" s="128" t="str">
        <f>'Measure Tables'!A22</f>
        <v>BNI - Efficient Product Rebates; ENERGY STAR® Remote Condensing Head/Split System Ice Maker; COM-Refrigeration; Retail</v>
      </c>
      <c r="B118" s="320">
        <f>'Measure Tables'!P22</f>
        <v>1.7756726987472056</v>
      </c>
      <c r="C118" s="320">
        <f>'Measure Tables'!T22</f>
        <v>2.1779057103021202</v>
      </c>
      <c r="D118" s="322">
        <f>'Measure Tables'!U22</f>
        <v>0.22652429799630475</v>
      </c>
      <c r="E118" s="334">
        <v>5</v>
      </c>
    </row>
    <row r="119" spans="1:5">
      <c r="A119" s="128" t="str">
        <f>'Measure Tables'!A12</f>
        <v>BNI - Efficient Product Rebates; Multi Tank Conveyor Dishwasher with Booster (High Temp); COM-Other; Retail</v>
      </c>
      <c r="B119" s="320">
        <f>'Measure Tables'!P12</f>
        <v>6.7453177733697247</v>
      </c>
      <c r="C119" s="320">
        <f>'Measure Tables'!T12</f>
        <v>8.1271077628109509</v>
      </c>
      <c r="D119" s="322">
        <f>'Measure Tables'!U12</f>
        <v>0.20485172617018638</v>
      </c>
      <c r="E119" s="334">
        <v>5</v>
      </c>
    </row>
    <row r="120" spans="1:5">
      <c r="A120" s="128" t="str">
        <f>'Measure Tables'!A241</f>
        <v>Existing Residential; 1W LED Nightlight; RES-Lighting; RES-SF</v>
      </c>
      <c r="B120" s="320">
        <f>'Measure Tables'!P241</f>
        <v>2.3872017348887282</v>
      </c>
      <c r="C120" s="320">
        <f>'Measure Tables'!T241</f>
        <v>2.8437816197796866</v>
      </c>
      <c r="D120" s="322">
        <f>'Measure Tables'!U241</f>
        <v>0.19126154200463513</v>
      </c>
      <c r="E120" s="334">
        <v>4</v>
      </c>
    </row>
    <row r="121" spans="1:5">
      <c r="A121" s="128" t="str">
        <f>'Measure Tables'!A276</f>
        <v>New Residential; EnerGuide 85 New Home; RES-Package; RES-NC</v>
      </c>
      <c r="B121" s="320">
        <f>'Measure Tables'!P276</f>
        <v>2.5741247064055583</v>
      </c>
      <c r="C121" s="320">
        <f>'Measure Tables'!T276</f>
        <v>3.0391878769479876</v>
      </c>
      <c r="D121" s="322">
        <f>'Measure Tables'!U276</f>
        <v>0.18066846931896768</v>
      </c>
      <c r="E121" s="334">
        <v>4</v>
      </c>
    </row>
    <row r="122" spans="1:5">
      <c r="A122" s="128" t="str">
        <f>'Measure Tables'!A277</f>
        <v>New Residential; EnerGuide 86 New Home; RES-Package; RES-NC</v>
      </c>
      <c r="B122" s="320">
        <f>'Measure Tables'!P277</f>
        <v>2.540948652571704</v>
      </c>
      <c r="C122" s="320">
        <f>'Measure Tables'!T277</f>
        <v>2.9426342932901495</v>
      </c>
      <c r="D122" s="322">
        <f>'Measure Tables'!U277</f>
        <v>0.1580849106540968</v>
      </c>
      <c r="E122" s="334">
        <v>4</v>
      </c>
    </row>
    <row r="123" spans="1:5">
      <c r="A123" s="128" t="str">
        <f>'Measure Tables'!A267</f>
        <v>Existing Residential; Building Envelope Retrofits (Insulation, Draft Proofing, EnergyStar Windows and Doors); RES-HVAC/Shell; RES-SF</v>
      </c>
      <c r="B123" s="320">
        <f>'Measure Tables'!P267</f>
        <v>1.2382841039804822</v>
      </c>
      <c r="C123" s="320">
        <f>'Measure Tables'!T267</f>
        <v>1.4353879090553678</v>
      </c>
      <c r="D123" s="322">
        <f>'Measure Tables'!U267</f>
        <v>0.1591749457505694</v>
      </c>
      <c r="E123" s="334">
        <v>4</v>
      </c>
    </row>
    <row r="124" spans="1:5">
      <c r="A124" s="128" t="str">
        <f>'Measure Tables'!A221</f>
        <v>Residential - Efficient Product Rebates; Indoor Motion Sensor; RES-Lighting; RES-SF</v>
      </c>
      <c r="B124" s="320">
        <f>'Measure Tables'!P221</f>
        <v>0.71977859346990913</v>
      </c>
      <c r="C124" s="320">
        <f>'Measure Tables'!T221</f>
        <v>0.8311118301893482</v>
      </c>
      <c r="D124" s="322">
        <f>'Measure Tables'!U221</f>
        <v>0.15467706004248297</v>
      </c>
      <c r="E124" s="334">
        <v>4</v>
      </c>
    </row>
    <row r="125" spans="1:5">
      <c r="A125" s="128" t="str">
        <f>'Measure Tables'!A278</f>
        <v>New Residential; EnerGuide 87 New Home; RES-Package; RES-NC</v>
      </c>
      <c r="B125" s="320">
        <f>'Measure Tables'!P278</f>
        <v>2.5159317070077356</v>
      </c>
      <c r="C125" s="320">
        <f>'Measure Tables'!T278</f>
        <v>2.8694256987937639</v>
      </c>
      <c r="D125" s="322">
        <f>'Measure Tables'!U278</f>
        <v>0.14050222062921097</v>
      </c>
      <c r="E125" s="334">
        <v>4</v>
      </c>
    </row>
    <row r="126" spans="1:5">
      <c r="A126" s="128" t="str">
        <f>'Measure Tables'!A279</f>
        <v>New Residential; EnerGuide 88 New Home; RES-Package; RES-NC</v>
      </c>
      <c r="B126" s="320">
        <f>'Measure Tables'!P279</f>
        <v>2.4959133908614541</v>
      </c>
      <c r="C126" s="320">
        <f>'Measure Tables'!T279</f>
        <v>2.8115663871772107</v>
      </c>
      <c r="D126" s="322">
        <f>'Measure Tables'!U279</f>
        <v>0.12646792852327712</v>
      </c>
      <c r="E126" s="334">
        <v>4</v>
      </c>
    </row>
    <row r="127" spans="1:5">
      <c r="A127" s="128" t="str">
        <f>'Measure Tables'!A280</f>
        <v>New Residential; EnerGuide 88+ New Home; RES-Package; RES-NC</v>
      </c>
      <c r="B127" s="320">
        <f>'Measure Tables'!P280</f>
        <v>2.4799301970777234</v>
      </c>
      <c r="C127" s="320">
        <f>'Measure Tables'!T280</f>
        <v>2.7650498651747619</v>
      </c>
      <c r="D127" s="322">
        <f>'Measure Tables'!U280</f>
        <v>0.1149708441120702</v>
      </c>
      <c r="E127" s="334">
        <v>4</v>
      </c>
    </row>
    <row r="128" spans="1:5">
      <c r="A128" s="128" t="str">
        <f>'Measure Tables'!A244</f>
        <v>Existing Residential; Low Flow Faucet Aerator, 1.5 GPM; RES-Water Heat; MURB</v>
      </c>
      <c r="B128" s="320">
        <f>'Measure Tables'!P244</f>
        <v>5.9499958164573696</v>
      </c>
      <c r="C128" s="320">
        <f>'Measure Tables'!T244</f>
        <v>6.5884401099189223</v>
      </c>
      <c r="D128" s="322">
        <f>'Measure Tables'!U244</f>
        <v>0.10730163737185326</v>
      </c>
      <c r="E128" s="334">
        <v>4</v>
      </c>
    </row>
    <row r="129" spans="1:5">
      <c r="A129" s="128" t="str">
        <f>'Measure Tables'!A5</f>
        <v>BNI - Efficient Product Rebates; Under Counter Commercial Dishwasher (Low Temp); COM-Other; Retail</v>
      </c>
      <c r="B129" s="320">
        <f>'Measure Tables'!P5</f>
        <v>16.269016925903237</v>
      </c>
      <c r="C129" s="320">
        <f>'Measure Tables'!T5</f>
        <v>17.838565065141111</v>
      </c>
      <c r="D129" s="322">
        <f>'Measure Tables'!U5</f>
        <v>9.6474676151997077E-2</v>
      </c>
      <c r="E129" s="334">
        <v>3</v>
      </c>
    </row>
    <row r="130" spans="1:5">
      <c r="A130" s="128" t="str">
        <f>'Measure Tables'!A11</f>
        <v>BNI - Efficient Product Rebates; Single Tank Conveyor Dishwasher with Booster (High Temp); COM-Other; Retail</v>
      </c>
      <c r="B130" s="320">
        <f>'Measure Tables'!P11</f>
        <v>10.538932977668187</v>
      </c>
      <c r="C130" s="320">
        <f>'Measure Tables'!T11</f>
        <v>11.549256635634311</v>
      </c>
      <c r="D130" s="322">
        <f>'Measure Tables'!U11</f>
        <v>9.5865839559562807E-2</v>
      </c>
      <c r="E130" s="334">
        <v>3</v>
      </c>
    </row>
    <row r="131" spans="1:5">
      <c r="A131" s="128" t="str">
        <f>'Measure Tables'!A9</f>
        <v>BNI - Efficient Product Rebates; Under Counter Dishwasher with Booster (High Temp); COM-Other; Retail</v>
      </c>
      <c r="B131" s="320">
        <f>'Measure Tables'!P9</f>
        <v>7.3181450135358475</v>
      </c>
      <c r="C131" s="320">
        <f>'Measure Tables'!T9</f>
        <v>7.8623065256251374</v>
      </c>
      <c r="D131" s="322">
        <f>'Measure Tables'!U9</f>
        <v>7.4357847662596663E-2</v>
      </c>
      <c r="E131" s="334">
        <v>3</v>
      </c>
    </row>
    <row r="132" spans="1:5">
      <c r="A132" s="128" t="str">
        <f>'Measure Tables'!A240</f>
        <v>Existing Residential; 5W Chandelier LED bulb; RES-Lighting; MURB</v>
      </c>
      <c r="B132" s="320">
        <f>'Measure Tables'!P240</f>
        <v>3.3439238867036716</v>
      </c>
      <c r="C132" s="320">
        <f>'Measure Tables'!T240</f>
        <v>3.5887018805380144</v>
      </c>
      <c r="D132" s="322">
        <f>'Measure Tables'!U240</f>
        <v>7.3200826970866495E-2</v>
      </c>
      <c r="E132" s="334">
        <v>3</v>
      </c>
    </row>
    <row r="133" spans="1:5">
      <c r="A133" s="128" t="str">
        <f>'Measure Tables'!A219</f>
        <v>Residential - Efficient Product Rebates; ENERGY STAR® LED Lamps; RES-Lighting; RES-SF</v>
      </c>
      <c r="B133" s="320">
        <f>'Measure Tables'!P219</f>
        <v>2.09267634198455</v>
      </c>
      <c r="C133" s="320">
        <f>'Measure Tables'!T219</f>
        <v>2.2349801743414259</v>
      </c>
      <c r="D133" s="322">
        <f>'Measure Tables'!U219</f>
        <v>6.8000879783409213E-2</v>
      </c>
      <c r="E133" s="334">
        <v>3</v>
      </c>
    </row>
    <row r="134" spans="1:5">
      <c r="A134" s="128" t="str">
        <f>'Measure Tables'!A208</f>
        <v>Custom Incentives; Whole Building 40% Over Baseline; COM-Other; New Construction - BNI</v>
      </c>
      <c r="B134" s="320">
        <f>'Measure Tables'!P208</f>
        <v>1.7458404034860093</v>
      </c>
      <c r="C134" s="320">
        <f>'Measure Tables'!T208</f>
        <v>1.8578973444331117</v>
      </c>
      <c r="D134" s="322">
        <f>'Measure Tables'!U208</f>
        <v>6.4185100037410375E-2</v>
      </c>
      <c r="E134" s="334">
        <v>3</v>
      </c>
    </row>
    <row r="135" spans="1:5">
      <c r="A135" s="128" t="str">
        <f>'Measure Tables'!A207</f>
        <v>Custom Incentives; Whole Building 20% Over Baseline; COM-Other; New Construction - BNI</v>
      </c>
      <c r="B135" s="320">
        <f>'Measure Tables'!P207</f>
        <v>1.7453816622858349</v>
      </c>
      <c r="C135" s="320">
        <f>'Measure Tables'!T207</f>
        <v>1.8574091588831128</v>
      </c>
      <c r="D135" s="322">
        <f>'Measure Tables'!U207</f>
        <v>6.4185100037410334E-2</v>
      </c>
      <c r="E135" s="334">
        <v>3</v>
      </c>
    </row>
    <row r="136" spans="1:5">
      <c r="A136" s="128" t="str">
        <f>'Measure Tables'!A237</f>
        <v>Existing Residential; 8 W LED; RES-Lighting; MURB</v>
      </c>
      <c r="B136" s="320">
        <f>'Measure Tables'!P237</f>
        <v>4.5357347211809875</v>
      </c>
      <c r="C136" s="320">
        <f>'Measure Tables'!T237</f>
        <v>4.8039043435936533</v>
      </c>
      <c r="D136" s="322">
        <f>'Measure Tables'!U237</f>
        <v>5.9123744861084231E-2</v>
      </c>
      <c r="E136" s="334">
        <v>3</v>
      </c>
    </row>
    <row r="137" spans="1:5">
      <c r="A137" s="128" t="str">
        <f>'Measure Tables'!A235</f>
        <v>Existing Residential; 10.5 W LED; RES-Lighting; RES-SF</v>
      </c>
      <c r="B137" s="320">
        <f>'Measure Tables'!P235</f>
        <v>4.9249420065746916</v>
      </c>
      <c r="C137" s="320">
        <f>'Measure Tables'!T235</f>
        <v>5.1802459205541247</v>
      </c>
      <c r="D137" s="322">
        <f>'Measure Tables'!U235</f>
        <v>5.1838968588585985E-2</v>
      </c>
      <c r="E137" s="334">
        <v>3</v>
      </c>
    </row>
    <row r="138" spans="1:5">
      <c r="A138" s="128" t="str">
        <f>'Measure Tables'!A222</f>
        <v>Residential - Efficient Product Rebates; Outdoor Motion Sensor; RES-Lighting; RES-SF</v>
      </c>
      <c r="B138" s="320">
        <f>'Measure Tables'!P222</f>
        <v>1.7456235428372289</v>
      </c>
      <c r="C138" s="320">
        <f>'Measure Tables'!T222</f>
        <v>1.8307716638827163</v>
      </c>
      <c r="D138" s="322">
        <f>'Measure Tables'!U222</f>
        <v>4.8778054921906532E-2</v>
      </c>
      <c r="E138" s="334">
        <v>3</v>
      </c>
    </row>
    <row r="139" spans="1:5">
      <c r="A139" s="128" t="str">
        <f>'Measure Tables'!A254</f>
        <v>Existing Residential; Certified Pellet Boiler or Furnace Supplemented by Baseboard Heat (Whole Home); RES-HVAC/Shell; RES-SF</v>
      </c>
      <c r="B139" s="320">
        <f>'Measure Tables'!P254</f>
        <v>2.9634681429216641</v>
      </c>
      <c r="C139" s="320">
        <f>'Measure Tables'!T254</f>
        <v>3.0889684457072999</v>
      </c>
      <c r="D139" s="322">
        <f>'Measure Tables'!U254</f>
        <v>4.2349131737892044E-2</v>
      </c>
      <c r="E139" s="334">
        <v>3</v>
      </c>
    </row>
    <row r="140" spans="1:5">
      <c r="A140" s="128" t="str">
        <f>'Measure Tables'!A252</f>
        <v>Existing Residential; Certified Wood Boiler or Furnace; RES-HVAC/Shell; RES-SF</v>
      </c>
      <c r="B140" s="320">
        <f>'Measure Tables'!P252</f>
        <v>1.6861324319946671</v>
      </c>
      <c r="C140" s="320">
        <f>'Measure Tables'!T252</f>
        <v>1.7573369347044523</v>
      </c>
      <c r="D140" s="322">
        <f>'Measure Tables'!U252</f>
        <v>4.2229484089545334E-2</v>
      </c>
      <c r="E140" s="334">
        <v>3</v>
      </c>
    </row>
    <row r="141" spans="1:5">
      <c r="A141" s="128" t="str">
        <f>'Measure Tables'!A238</f>
        <v>Existing Residential; 12 W LED; RES-Lighting; MURB</v>
      </c>
      <c r="B141" s="320">
        <f>'Measure Tables'!P238</f>
        <v>4.4514100456399515</v>
      </c>
      <c r="C141" s="320">
        <f>'Measure Tables'!T238</f>
        <v>4.6413208135546169</v>
      </c>
      <c r="D141" s="322">
        <f>'Measure Tables'!U238</f>
        <v>4.2663058664002079E-2</v>
      </c>
      <c r="E141" s="334">
        <v>3</v>
      </c>
    </row>
    <row r="142" spans="1:5">
      <c r="A142" s="128" t="str">
        <f>'Measure Tables'!A256</f>
        <v>Existing Residential; Ground Source Heat Pump; RES-HVAC/Shell; RES-SF</v>
      </c>
      <c r="B142" s="320">
        <f>'Measure Tables'!P256</f>
        <v>0.78691841864424383</v>
      </c>
      <c r="C142" s="320">
        <f>'Measure Tables'!T256</f>
        <v>0.81964834243440832</v>
      </c>
      <c r="D142" s="322">
        <f>'Measure Tables'!U256</f>
        <v>4.1592524732810048E-2</v>
      </c>
      <c r="E142" s="334">
        <v>3</v>
      </c>
    </row>
    <row r="143" spans="1:5">
      <c r="A143" s="128" t="str">
        <f>'Measure Tables'!A262</f>
        <v>Existing Residential; ENERGY STAR® Windows (300 ft2) (Replace Double Pane); RES-HVAC/Shell; RES-SF</v>
      </c>
      <c r="B143" s="320">
        <f>'Measure Tables'!P262</f>
        <v>0.51321243703744746</v>
      </c>
      <c r="C143" s="320">
        <f>'Measure Tables'!T262</f>
        <v>0.53139019667298593</v>
      </c>
      <c r="D143" s="322">
        <f>'Measure Tables'!U262</f>
        <v>3.5419561810447898E-2</v>
      </c>
      <c r="E143" s="334">
        <v>3</v>
      </c>
    </row>
    <row r="144" spans="1:5">
      <c r="A144" s="128" t="str">
        <f>'Measure Tables'!A236</f>
        <v>Existing Residential; 11 W LED; RES-Lighting; RES-SF</v>
      </c>
      <c r="B144" s="320">
        <f>'Measure Tables'!P236</f>
        <v>5.929683685261816</v>
      </c>
      <c r="C144" s="320">
        <f>'Measure Tables'!T236</f>
        <v>6.1216415336142784</v>
      </c>
      <c r="D144" s="322">
        <f>'Measure Tables'!U236</f>
        <v>3.2372358888143091E-2</v>
      </c>
      <c r="E144" s="334">
        <v>3</v>
      </c>
    </row>
    <row r="145" spans="1:5">
      <c r="A145" s="128" t="str">
        <f>'Measure Tables'!A258</f>
        <v>Existing Residential; Solar DHW; RES-Water Heat; RES-SF</v>
      </c>
      <c r="B145" s="320">
        <f>'Measure Tables'!P258</f>
        <v>0.28236775420255716</v>
      </c>
      <c r="C145" s="320">
        <f>'Measure Tables'!T258</f>
        <v>0.28877505701600492</v>
      </c>
      <c r="D145" s="322">
        <f>'Measure Tables'!U258</f>
        <v>2.269134034636074E-2</v>
      </c>
      <c r="E145" s="334">
        <v>3</v>
      </c>
    </row>
    <row r="146" spans="1:5">
      <c r="A146" s="128" t="str">
        <f>'Measure Tables'!A225</f>
        <v>Residential - Efficient Product Rebates; Heavy Duty Outdoor Timer; RES-Plug Load; RES-SF</v>
      </c>
      <c r="B146" s="320">
        <f>'Measure Tables'!P225</f>
        <v>2.9923076649100713</v>
      </c>
      <c r="C146" s="320">
        <f>'Measure Tables'!T225</f>
        <v>3.0527437917354892</v>
      </c>
      <c r="D146" s="322">
        <f>'Measure Tables'!U225</f>
        <v>2.0197163391363428E-2</v>
      </c>
      <c r="E146" s="334">
        <v>3</v>
      </c>
    </row>
    <row r="147" spans="1:5">
      <c r="A147" s="128" t="str">
        <f>'Measure Tables'!A261</f>
        <v>Existing Residential; ENERGY STAR® Windows (Replace Single Pane); RES-HVAC/Shell; RES-SF</v>
      </c>
      <c r="B147" s="320">
        <f>'Measure Tables'!P261</f>
        <v>1.5903850829535529</v>
      </c>
      <c r="C147" s="320">
        <f>'Measure Tables'!T261</f>
        <v>1.6078719801934174</v>
      </c>
      <c r="D147" s="322">
        <f>'Measure Tables'!U261</f>
        <v>1.0995385600190028E-2</v>
      </c>
      <c r="E147" s="334">
        <v>3</v>
      </c>
    </row>
    <row r="148" spans="1:5">
      <c r="A148" s="128" t="str">
        <f>'Measure Tables'!A257</f>
        <v>Existing Residential; ENERGY STAR® Air Source Heat Pump; RES-HVAC/Shell; RES-SF</v>
      </c>
      <c r="B148" s="320">
        <f>'Measure Tables'!P257</f>
        <v>0.81466151962264588</v>
      </c>
      <c r="C148" s="320">
        <f>'Measure Tables'!T257</f>
        <v>0.8228030734329228</v>
      </c>
      <c r="D148" s="322">
        <f>'Measure Tables'!U257</f>
        <v>9.9937871302036227E-3</v>
      </c>
      <c r="E148" s="334">
        <v>3</v>
      </c>
    </row>
    <row r="149" spans="1:5">
      <c r="A149" s="128" t="str">
        <f>'Measure Tables'!A253</f>
        <v>Existing Residential; Certified Pellet Stove; RES-HVAC/Shell; RES-SF</v>
      </c>
      <c r="B149" s="320">
        <f>'Measure Tables'!P253</f>
        <v>3.0480946169831964</v>
      </c>
      <c r="C149" s="320">
        <f>'Measure Tables'!T253</f>
        <v>3.0693712411746898</v>
      </c>
      <c r="D149" s="322">
        <f>'Measure Tables'!U253</f>
        <v>6.9803030630826209E-3</v>
      </c>
      <c r="E149" s="334">
        <v>3</v>
      </c>
    </row>
    <row r="150" spans="1:5">
      <c r="A150" s="128" t="str">
        <f>'Measure Tables'!A243</f>
        <v>Existing Residential; Low Flow Faucet Aerator, 1.5 GPM; RES-Water Heat; RES-SF</v>
      </c>
      <c r="B150" s="320">
        <f>'Measure Tables'!P243</f>
        <v>7.9783105416418145</v>
      </c>
      <c r="C150" s="320">
        <f>'Measure Tables'!T243</f>
        <v>8.0324693512452825</v>
      </c>
      <c r="D150" s="322">
        <f>'Measure Tables'!U243</f>
        <v>6.7882553982817166E-3</v>
      </c>
      <c r="E150" s="334">
        <v>3</v>
      </c>
    </row>
    <row r="151" spans="1:5">
      <c r="A151" s="128" t="str">
        <f>'Measure Tables'!A251</f>
        <v>Existing Residential; Certified Wood Stove; RES-HVAC/Shell; RES-SF</v>
      </c>
      <c r="B151" s="320">
        <f>'Measure Tables'!P251</f>
        <v>5.1191656268814825</v>
      </c>
      <c r="C151" s="320">
        <f>'Measure Tables'!T251</f>
        <v>5.149821078487725</v>
      </c>
      <c r="D151" s="322">
        <f>'Measure Tables'!U251</f>
        <v>5.9883687773777568E-3</v>
      </c>
      <c r="E151" s="334">
        <v>3</v>
      </c>
    </row>
    <row r="152" spans="1:5">
      <c r="A152" s="128" t="str">
        <f>'Measure Tables'!A217</f>
        <v>Residential - Efficient Product Rebates; Freezer Retirement; RES-Appliance; RES-SF</v>
      </c>
      <c r="B152" s="320">
        <f>'Measure Tables'!P217</f>
        <v>0.8563110356146606</v>
      </c>
      <c r="C152" s="320">
        <f>'Measure Tables'!T217</f>
        <v>0.85884423846320401</v>
      </c>
      <c r="D152" s="322">
        <f>'Measure Tables'!U217</f>
        <v>2.9582742054995001E-3</v>
      </c>
      <c r="E152" s="334">
        <v>3</v>
      </c>
    </row>
    <row r="153" spans="1:5">
      <c r="A153" s="128" t="str">
        <f>'Measure Tables'!A216</f>
        <v>Residential - Efficient Product Rebates; Refrigerator Retirement; RES-Appliance; RES-SF</v>
      </c>
      <c r="B153" s="320">
        <f>'Measure Tables'!P216</f>
        <v>1.1978944276305643</v>
      </c>
      <c r="C153" s="320">
        <f>'Measure Tables'!T216</f>
        <v>1.2009496381802254</v>
      </c>
      <c r="D153" s="322">
        <f>'Measure Tables'!U216</f>
        <v>2.5504839818850122E-3</v>
      </c>
      <c r="E153" s="334">
        <v>3</v>
      </c>
    </row>
    <row r="154" spans="1:5">
      <c r="A154" s="128" t="str">
        <f>'Measure Tables'!A255</f>
        <v>Existing Residential; Advanced Automatic Pellet Combo Boiler; RES-HVAC/Shell; RES-SF</v>
      </c>
      <c r="B154" s="320">
        <f>'Measure Tables'!P255</f>
        <v>4.3127925968715299</v>
      </c>
      <c r="C154" s="320">
        <f>'Measure Tables'!T255</f>
        <v>4.3189177798876672</v>
      </c>
      <c r="D154" s="322">
        <f>'Measure Tables'!U255</f>
        <v>1.4202359326484788E-3</v>
      </c>
      <c r="E154" s="334">
        <v>3</v>
      </c>
    </row>
    <row r="155" spans="1:5">
      <c r="A155" s="128" t="str">
        <f>'Measure Tables'!A265</f>
        <v>Existing Residential; ENERGY STAR® Refrigerator (Replacement); RES-Appliance; MURB</v>
      </c>
      <c r="B155" s="320">
        <f>'Measure Tables'!P265</f>
        <v>1.0253148455480356</v>
      </c>
      <c r="C155" s="320">
        <f>'Measure Tables'!T265</f>
        <v>1.0268125045877921</v>
      </c>
      <c r="D155" s="322">
        <f>'Measure Tables'!U265</f>
        <v>1.4606820980495011E-3</v>
      </c>
      <c r="E155" s="334">
        <v>3</v>
      </c>
    </row>
    <row r="156" spans="1:5">
      <c r="A156" s="128" t="str">
        <f>'Measure Tables'!A281</f>
        <v>New Residential; Solar DHW; RES-Water Heat; RES-NC</v>
      </c>
      <c r="B156" s="320">
        <f>'Measure Tables'!P281</f>
        <v>0.28236775420255716</v>
      </c>
      <c r="C156" s="320">
        <f>'Measure Tables'!T281</f>
        <v>0.28236775420255716</v>
      </c>
      <c r="D156" s="322">
        <f>'Measure Tables'!U281</f>
        <v>0</v>
      </c>
      <c r="E156" s="334">
        <v>2</v>
      </c>
    </row>
    <row r="157" spans="1:5">
      <c r="A157" s="128" t="str">
        <f>'Measure Tables'!A259</f>
        <v>Existing Residential; Solar Space and Water Heat (Supplement Electricity); RES-Package; RES-SF</v>
      </c>
      <c r="B157" s="320">
        <f>'Measure Tables'!P259</f>
        <v>0.36588995382318629</v>
      </c>
      <c r="C157" s="320">
        <f>'Measure Tables'!T259</f>
        <v>0.36588995382318629</v>
      </c>
      <c r="D157" s="322">
        <f>'Measure Tables'!U259</f>
        <v>0</v>
      </c>
      <c r="E157" s="334">
        <v>2</v>
      </c>
    </row>
    <row r="158" spans="1:5">
      <c r="A158" s="128" t="str">
        <f>'Measure Tables'!A263</f>
        <v>Existing Residential; ENERGY STAR® Door; RES-HVAC/Shell; RES-SF</v>
      </c>
      <c r="B158" s="320">
        <f>'Measure Tables'!P263</f>
        <v>0.38804570379615538</v>
      </c>
      <c r="C158" s="320">
        <f>'Measure Tables'!T263</f>
        <v>0.38804570379615538</v>
      </c>
      <c r="D158" s="322">
        <f>'Measure Tables'!U263</f>
        <v>0</v>
      </c>
      <c r="E158" s="334">
        <v>2</v>
      </c>
    </row>
    <row r="159" spans="1:5">
      <c r="A159" s="128" t="str">
        <f>'Measure Tables'!A282</f>
        <v>New Residential; Solar Space and Water Heat (Supplement Electricity); RES-Package; RES-NC</v>
      </c>
      <c r="B159" s="320">
        <f>'Measure Tables'!P282</f>
        <v>0.39649176198217667</v>
      </c>
      <c r="C159" s="320">
        <f>'Measure Tables'!T282</f>
        <v>0.39649176198217667</v>
      </c>
      <c r="D159" s="322">
        <f>'Measure Tables'!U282</f>
        <v>0</v>
      </c>
      <c r="E159" s="334">
        <v>2</v>
      </c>
    </row>
    <row r="160" spans="1:5">
      <c r="A160" s="128" t="str">
        <f>'Measure Tables'!A283</f>
        <v>New Residential; Solar Space Heating (Displacing Electricity); RES-HVAC/Shell; RES-NC</v>
      </c>
      <c r="B160" s="320">
        <f>'Measure Tables'!P283</f>
        <v>0.51084913461693626</v>
      </c>
      <c r="C160" s="320">
        <f>'Measure Tables'!T283</f>
        <v>0.51084913461693626</v>
      </c>
      <c r="D160" s="322">
        <f>'Measure Tables'!U283</f>
        <v>0</v>
      </c>
      <c r="E160" s="334">
        <v>2</v>
      </c>
    </row>
    <row r="161" spans="1:5">
      <c r="A161" s="128" t="str">
        <f>'Measure Tables'!A224</f>
        <v>Residential - Efficient Product Rebates; Smartstrip; RES-Plug Load; RES-SF</v>
      </c>
      <c r="B161" s="320">
        <f>'Measure Tables'!P224</f>
        <v>0.8992121039934502</v>
      </c>
      <c r="C161" s="320">
        <f>'Measure Tables'!T224</f>
        <v>0.8992121039934502</v>
      </c>
      <c r="D161" s="322">
        <f>'Measure Tables'!U224</f>
        <v>0</v>
      </c>
      <c r="E161" s="334">
        <v>2</v>
      </c>
    </row>
    <row r="162" spans="1:5">
      <c r="A162" s="128" t="str">
        <f>'Measure Tables'!A152</f>
        <v>BNI- Direct Installation; Night Covers for 3' Refrigerated Display Cases-BES; COM-Refrigeration; Retail</v>
      </c>
      <c r="B162" s="320">
        <f>'Measure Tables'!P152</f>
        <v>0.93550677935511495</v>
      </c>
      <c r="C162" s="320">
        <f>'Measure Tables'!T152</f>
        <v>0.93550677935511495</v>
      </c>
      <c r="D162" s="322">
        <f>'Measure Tables'!U152</f>
        <v>0</v>
      </c>
      <c r="E162" s="334">
        <v>2</v>
      </c>
    </row>
    <row r="163" spans="1:5">
      <c r="A163" s="128" t="str">
        <f>'Measure Tables'!A141</f>
        <v>BNI - Efficient Product Rebates; Dairy Scroll Compressor; COM-Other; Other Commercial</v>
      </c>
      <c r="B163" s="320">
        <f>'Measure Tables'!P141</f>
        <v>1.0090673960203322</v>
      </c>
      <c r="C163" s="320">
        <f>'Measure Tables'!T141</f>
        <v>1.0090673960203322</v>
      </c>
      <c r="D163" s="322">
        <f>'Measure Tables'!U141</f>
        <v>0</v>
      </c>
      <c r="E163" s="334">
        <v>2</v>
      </c>
    </row>
    <row r="164" spans="1:5">
      <c r="A164" s="128" t="str">
        <f>'Measure Tables'!A29</f>
        <v>BNI - Efficient Product Rebates; Night Covers for 3' Refrigerated Display Cases; COM-Refrigeration; Retail</v>
      </c>
      <c r="B164" s="320">
        <f>'Measure Tables'!P29</f>
        <v>1.1281328515982136</v>
      </c>
      <c r="C164" s="320">
        <f>'Measure Tables'!T29</f>
        <v>1.1281328515982136</v>
      </c>
      <c r="D164" s="322">
        <f>'Measure Tables'!U29</f>
        <v>0</v>
      </c>
      <c r="E164" s="334">
        <v>2</v>
      </c>
    </row>
    <row r="165" spans="1:5">
      <c r="A165" s="128" t="str">
        <f>'Measure Tables'!A151</f>
        <v>BNI- Direct Installation; Night Covers for 3' Refrigerated Display Cases-BES; COM-Refrigeration; Other Commercial</v>
      </c>
      <c r="B165" s="320">
        <f>'Measure Tables'!P151</f>
        <v>1.1347744094984293</v>
      </c>
      <c r="C165" s="320">
        <f>'Measure Tables'!T151</f>
        <v>1.1347744094984293</v>
      </c>
      <c r="D165" s="322">
        <f>'Measure Tables'!U151</f>
        <v>0</v>
      </c>
      <c r="E165" s="334">
        <v>2</v>
      </c>
    </row>
    <row r="166" spans="1:5">
      <c r="A166" s="128" t="str">
        <f>'Measure Tables'!A127</f>
        <v>BNI - Efficient Product Rebates; Variable Speed Drive Screw Compressors (10 - 40 hp); COM-Process; School</v>
      </c>
      <c r="B166" s="320">
        <f>'Measure Tables'!P127</f>
        <v>1.151030651464708</v>
      </c>
      <c r="C166" s="320">
        <f>'Measure Tables'!T127</f>
        <v>1.151030651464708</v>
      </c>
      <c r="D166" s="322">
        <f>'Measure Tables'!U127</f>
        <v>0</v>
      </c>
      <c r="E166" s="334">
        <v>2</v>
      </c>
    </row>
    <row r="167" spans="1:5">
      <c r="A167" s="128" t="str">
        <f>'Measure Tables'!A132</f>
        <v>BNI - Efficient Product Rebates; Air Tanks for Load / No-Load Screw Compressors (10 – 40 hp); COM-Process; School</v>
      </c>
      <c r="B167" s="320">
        <f>'Measure Tables'!P132</f>
        <v>1.1780038582976915</v>
      </c>
      <c r="C167" s="320">
        <f>'Measure Tables'!T132</f>
        <v>1.1780038582976915</v>
      </c>
      <c r="D167" s="322">
        <f>'Measure Tables'!U132</f>
        <v>0</v>
      </c>
      <c r="E167" s="334">
        <v>2</v>
      </c>
    </row>
    <row r="168" spans="1:5">
      <c r="A168" s="128" t="str">
        <f>'Measure Tables'!A136</f>
        <v>BNI - Efficient Product Rebates; Integrated Dual Enthalpy Economizer Controls; COM-HVAC; School</v>
      </c>
      <c r="B168" s="320">
        <f>'Measure Tables'!P136</f>
        <v>1.245308557766295</v>
      </c>
      <c r="C168" s="320">
        <f>'Measure Tables'!T136</f>
        <v>1.245308557766295</v>
      </c>
      <c r="D168" s="322">
        <f>'Measure Tables'!U136</f>
        <v>0</v>
      </c>
      <c r="E168" s="334">
        <v>2</v>
      </c>
    </row>
    <row r="169" spans="1:5">
      <c r="A169" s="128" t="str">
        <f>'Measure Tables'!A26</f>
        <v>BNI - Efficient Product Rebates; Variable Speed Drive for Kitchen exhaust fans (Demand Controlled Ventilation) ; COM-Motors; Retail</v>
      </c>
      <c r="B169" s="320">
        <f>'Measure Tables'!P26</f>
        <v>1.2901244005378381</v>
      </c>
      <c r="C169" s="320">
        <f>'Measure Tables'!T26</f>
        <v>1.2901244005378381</v>
      </c>
      <c r="D169" s="322">
        <f>'Measure Tables'!U26</f>
        <v>0</v>
      </c>
      <c r="E169" s="334">
        <v>2</v>
      </c>
    </row>
    <row r="170" spans="1:5">
      <c r="A170" s="128" t="str">
        <f>'Measure Tables'!A135</f>
        <v>BNI - Efficient Product Rebates; Integrated Dual Enthalpy Economizer Controls; COM-HVAC; Retail</v>
      </c>
      <c r="B170" s="320">
        <f>'Measure Tables'!P135</f>
        <v>1.3102080471983981</v>
      </c>
      <c r="C170" s="320">
        <f>'Measure Tables'!T135</f>
        <v>1.3102080471983981</v>
      </c>
      <c r="D170" s="322">
        <f>'Measure Tables'!U135</f>
        <v>0</v>
      </c>
      <c r="E170" s="334">
        <v>2</v>
      </c>
    </row>
    <row r="171" spans="1:5">
      <c r="A171" s="128" t="str">
        <f>'Measure Tables'!A16</f>
        <v>BNI - Efficient Product Rebates; Half Size Commercial Hot Food Holding Cabinet; COM-Other; Retail</v>
      </c>
      <c r="B171" s="320">
        <f>'Measure Tables'!P16</f>
        <v>1.3649026497120107</v>
      </c>
      <c r="C171" s="320">
        <f>'Measure Tables'!T16</f>
        <v>1.3649026497120107</v>
      </c>
      <c r="D171" s="322">
        <f>'Measure Tables'!U16</f>
        <v>0</v>
      </c>
      <c r="E171" s="334">
        <v>2</v>
      </c>
    </row>
    <row r="172" spans="1:5">
      <c r="A172" s="128" t="str">
        <f>'Measure Tables'!A28</f>
        <v>BNI - Efficient Product Rebates; Night Covers for 3' Refrigerated Display Cases; COM-Refrigeration; Other Commercial</v>
      </c>
      <c r="B172" s="320">
        <f>'Measure Tables'!P28</f>
        <v>1.4312470937332435</v>
      </c>
      <c r="C172" s="320">
        <f>'Measure Tables'!T28</f>
        <v>1.4312470937332435</v>
      </c>
      <c r="D172" s="322">
        <f>'Measure Tables'!U28</f>
        <v>0</v>
      </c>
      <c r="E172" s="334">
        <v>2</v>
      </c>
    </row>
    <row r="173" spans="1:5">
      <c r="A173" s="128" t="str">
        <f>'Measure Tables'!A223</f>
        <v>Residential - Efficient Product Rebates; Power bar with integrated timer; RES-Plug Load; RES-SF</v>
      </c>
      <c r="B173" s="320">
        <f>'Measure Tables'!P223</f>
        <v>1.4426026208298643</v>
      </c>
      <c r="C173" s="320">
        <f>'Measure Tables'!T223</f>
        <v>1.4426026208298643</v>
      </c>
      <c r="D173" s="322">
        <f>'Measure Tables'!U223</f>
        <v>0</v>
      </c>
      <c r="E173" s="334">
        <v>2</v>
      </c>
    </row>
    <row r="174" spans="1:5">
      <c r="A174" s="128" t="str">
        <f>'Measure Tables'!A33</f>
        <v>BNI - Efficient Product Rebates; Zero Energy Doors for Reach-In Coolers and Freezers; COM-Refrigeration; School</v>
      </c>
      <c r="B174" s="320">
        <f>'Measure Tables'!P33</f>
        <v>1.4747106383262882</v>
      </c>
      <c r="C174" s="320">
        <f>'Measure Tables'!T33</f>
        <v>1.4747106383262882</v>
      </c>
      <c r="D174" s="322">
        <f>'Measure Tables'!U33</f>
        <v>0</v>
      </c>
      <c r="E174" s="334">
        <v>2</v>
      </c>
    </row>
    <row r="175" spans="1:5">
      <c r="A175" s="128" t="str">
        <f>'Measure Tables'!A31</f>
        <v>BNI - Efficient Product Rebates; Zero Energy Doors for Reach-In Coolers and Freezers; COM-Refrigeration; Other Commercial</v>
      </c>
      <c r="B175" s="320">
        <f>'Measure Tables'!P31</f>
        <v>1.4751104860144455</v>
      </c>
      <c r="C175" s="320">
        <f>'Measure Tables'!T31</f>
        <v>1.4751104860144455</v>
      </c>
      <c r="D175" s="322">
        <f>'Measure Tables'!U31</f>
        <v>0</v>
      </c>
      <c r="E175" s="334">
        <v>2</v>
      </c>
    </row>
    <row r="176" spans="1:5">
      <c r="A176" s="128" t="str">
        <f>'Measure Tables'!A32</f>
        <v>BNI - Efficient Product Rebates; Zero Energy Doors for Reach-In Coolers and Freezers; COM-Refrigeration; Retail</v>
      </c>
      <c r="B176" s="320">
        <f>'Measure Tables'!P32</f>
        <v>1.4752893271712284</v>
      </c>
      <c r="C176" s="320">
        <f>'Measure Tables'!T32</f>
        <v>1.4752893271712284</v>
      </c>
      <c r="D176" s="322">
        <f>'Measure Tables'!U32</f>
        <v>0</v>
      </c>
      <c r="E176" s="334">
        <v>2</v>
      </c>
    </row>
    <row r="177" spans="1:5">
      <c r="A177" s="128" t="str">
        <f>'Measure Tables'!A30</f>
        <v>BNI - Efficient Product Rebates; Night Covers for 3' Refrigerated Display Cases; COM-Refrigeration; School</v>
      </c>
      <c r="B177" s="320">
        <f>'Measure Tables'!P30</f>
        <v>1.534935680523551</v>
      </c>
      <c r="C177" s="320">
        <f>'Measure Tables'!T30</f>
        <v>1.534935680523551</v>
      </c>
      <c r="D177" s="322">
        <f>'Measure Tables'!U30</f>
        <v>0</v>
      </c>
      <c r="E177" s="334">
        <v>2</v>
      </c>
    </row>
    <row r="178" spans="1:5">
      <c r="A178" s="128" t="str">
        <f>'Measure Tables'!A157</f>
        <v>BNI- Direct Installation; Electronically Commutated (Brushless) DC Motors for Refrigeration Applications-BES; COM-Refrigeration; Other Commercial</v>
      </c>
      <c r="B178" s="320">
        <f>'Measure Tables'!P157</f>
        <v>1.6099068531967375</v>
      </c>
      <c r="C178" s="320">
        <f>'Measure Tables'!T157</f>
        <v>1.6099068531967375</v>
      </c>
      <c r="D178" s="322">
        <f>'Measure Tables'!U157</f>
        <v>0</v>
      </c>
      <c r="E178" s="334">
        <v>2</v>
      </c>
    </row>
    <row r="179" spans="1:5">
      <c r="A179" s="128" t="str">
        <f>'Measure Tables'!A158</f>
        <v>BNI- Direct Installation; Electronically Commutated (Brushless) DC Motors for Refrigeration Applications-BES; COM-Refrigeration; Retail</v>
      </c>
      <c r="B179" s="320">
        <f>'Measure Tables'!P158</f>
        <v>1.6100981132282295</v>
      </c>
      <c r="C179" s="320">
        <f>'Measure Tables'!T158</f>
        <v>1.6100981132282295</v>
      </c>
      <c r="D179" s="322">
        <f>'Measure Tables'!U158</f>
        <v>0</v>
      </c>
      <c r="E179" s="334">
        <v>2</v>
      </c>
    </row>
    <row r="180" spans="1:5">
      <c r="A180" s="128" t="str">
        <f>'Measure Tables'!A15</f>
        <v>BNI - Efficient Product Rebates; Three Quarter Size Commercial Hot Food Holding Cabinet; COM-Other; Retail</v>
      </c>
      <c r="B180" s="320">
        <f>'Measure Tables'!P15</f>
        <v>1.6763440609482247</v>
      </c>
      <c r="C180" s="320">
        <f>'Measure Tables'!T15</f>
        <v>1.6763440609482247</v>
      </c>
      <c r="D180" s="322">
        <f>'Measure Tables'!U15</f>
        <v>0</v>
      </c>
      <c r="E180" s="334">
        <v>2</v>
      </c>
    </row>
    <row r="181" spans="1:5">
      <c r="A181" s="128" t="str">
        <f>'Measure Tables'!A260</f>
        <v>Existing Residential; Solar Space Heating (Displacing Electricity); RES-HVAC/Shell; RES-SF</v>
      </c>
      <c r="B181" s="320">
        <f>'Measure Tables'!P260</f>
        <v>1.6773715219431966</v>
      </c>
      <c r="C181" s="320">
        <f>'Measure Tables'!T260</f>
        <v>1.6773715219431966</v>
      </c>
      <c r="D181" s="322">
        <f>'Measure Tables'!U260</f>
        <v>0</v>
      </c>
      <c r="E181" s="334">
        <v>2</v>
      </c>
    </row>
    <row r="182" spans="1:5">
      <c r="A182" s="128" t="str">
        <f>'Measure Tables'!A25</f>
        <v>BNI - Efficient Product Rebates; Variable Speed Drive for Kitchen exhaust fans (Demand Controlled Ventilation) ; COM-Motors; Other Commercial</v>
      </c>
      <c r="B182" s="320">
        <f>'Measure Tables'!P25</f>
        <v>1.7608697714325492</v>
      </c>
      <c r="C182" s="320">
        <f>'Measure Tables'!T25</f>
        <v>1.7608697714325492</v>
      </c>
      <c r="D182" s="322">
        <f>'Measure Tables'!U25</f>
        <v>0</v>
      </c>
      <c r="E182" s="334">
        <v>2</v>
      </c>
    </row>
    <row r="183" spans="1:5">
      <c r="A183" s="128" t="str">
        <f>'Measure Tables'!A13</f>
        <v>BNI - Efficient Product Rebates; Standard Capacity Commercial Electric Fryers; COM-Other; Retail</v>
      </c>
      <c r="B183" s="320">
        <f>'Measure Tables'!P13</f>
        <v>1.7927669415713954</v>
      </c>
      <c r="C183" s="320">
        <f>'Measure Tables'!T13</f>
        <v>1.7927669415713954</v>
      </c>
      <c r="D183" s="322">
        <f>'Measure Tables'!U13</f>
        <v>0</v>
      </c>
      <c r="E183" s="334">
        <v>2</v>
      </c>
    </row>
    <row r="184" spans="1:5">
      <c r="A184" s="128" t="str">
        <f>'Measure Tables'!A137</f>
        <v>BNI - Efficient Product Rebates; HVAC Hotel Occupancy Sensor; COM-HVAC; Other Commercial</v>
      </c>
      <c r="B184" s="320">
        <f>'Measure Tables'!P137</f>
        <v>1.830351923813238</v>
      </c>
      <c r="C184" s="320">
        <f>'Measure Tables'!T137</f>
        <v>1.830351923813238</v>
      </c>
      <c r="D184" s="322">
        <f>'Measure Tables'!U137</f>
        <v>0</v>
      </c>
      <c r="E184" s="334">
        <v>2</v>
      </c>
    </row>
    <row r="185" spans="1:5">
      <c r="A185" s="128" t="str">
        <f>'Measure Tables'!A155</f>
        <v>BNI- Direct Installation; Evaporator Fan Motor Controls for Walk-In Freezers and Coolers-BES; COM-Refrigeration; Other Commercial</v>
      </c>
      <c r="B185" s="320">
        <f>'Measure Tables'!P155</f>
        <v>1.8366019145325971</v>
      </c>
      <c r="C185" s="320">
        <f>'Measure Tables'!T155</f>
        <v>1.8366019145325971</v>
      </c>
      <c r="D185" s="322">
        <f>'Measure Tables'!U155</f>
        <v>0</v>
      </c>
      <c r="E185" s="334">
        <v>2</v>
      </c>
    </row>
    <row r="186" spans="1:5">
      <c r="A186" s="128" t="str">
        <f>'Measure Tables'!A156</f>
        <v>BNI- Direct Installation; Evaporator Fan Motor Controls for Walk-In Freezers and Coolers-BES; COM-Refrigeration; Retail</v>
      </c>
      <c r="B186" s="320">
        <f>'Measure Tables'!P156</f>
        <v>1.8475975422532376</v>
      </c>
      <c r="C186" s="320">
        <f>'Measure Tables'!T156</f>
        <v>1.8475975422532376</v>
      </c>
      <c r="D186" s="322">
        <f>'Measure Tables'!U156</f>
        <v>0</v>
      </c>
      <c r="E186" s="334">
        <v>2</v>
      </c>
    </row>
    <row r="187" spans="1:5">
      <c r="A187" s="128" t="str">
        <f>'Measure Tables'!A55</f>
        <v>BNI - Efficient Product Rebates; Electronically Commutated (Brushless) DC Motors for Refrigeration Applications; COM-Refrigeration; School</v>
      </c>
      <c r="B187" s="320">
        <f>'Measure Tables'!P55</f>
        <v>2.0257016944545763</v>
      </c>
      <c r="C187" s="320">
        <f>'Measure Tables'!T55</f>
        <v>2.0257016944545763</v>
      </c>
      <c r="D187" s="322">
        <f>'Measure Tables'!U55</f>
        <v>0</v>
      </c>
      <c r="E187" s="334">
        <v>2</v>
      </c>
    </row>
    <row r="188" spans="1:5">
      <c r="A188" s="128" t="str">
        <f>'Measure Tables'!A53</f>
        <v>BNI - Efficient Product Rebates; Electronically Commutated (Brushless) DC Motors for Refrigeration Applications; COM-Refrigeration; Other Commercial</v>
      </c>
      <c r="B188" s="320">
        <f>'Measure Tables'!P53</f>
        <v>2.0262398916795568</v>
      </c>
      <c r="C188" s="320">
        <f>'Measure Tables'!T53</f>
        <v>2.0262398916795568</v>
      </c>
      <c r="D188" s="322">
        <f>'Measure Tables'!U53</f>
        <v>0</v>
      </c>
      <c r="E188" s="334">
        <v>2</v>
      </c>
    </row>
    <row r="189" spans="1:5">
      <c r="A189" s="128" t="str">
        <f>'Measure Tables'!A54</f>
        <v>BNI - Efficient Product Rebates; Electronically Commutated (Brushless) DC Motors for Refrigeration Applications; COM-Refrigeration; Retail</v>
      </c>
      <c r="B189" s="320">
        <f>'Measure Tables'!P54</f>
        <v>2.0264806128770121</v>
      </c>
      <c r="C189" s="320">
        <f>'Measure Tables'!T54</f>
        <v>2.0264806128770121</v>
      </c>
      <c r="D189" s="322">
        <f>'Measure Tables'!U54</f>
        <v>0</v>
      </c>
      <c r="E189" s="334">
        <v>2</v>
      </c>
    </row>
    <row r="190" spans="1:5">
      <c r="A190" s="128" t="str">
        <f>'Measure Tables'!A39</f>
        <v>BNI - Efficient Product Rebates; Evaporator Fan Motor Controls for Walk-In Freezers and Coolers; COM-Refrigeration; School</v>
      </c>
      <c r="B190" s="320">
        <f>'Measure Tables'!P39</f>
        <v>2.0360414253993575</v>
      </c>
      <c r="C190" s="320">
        <f>'Measure Tables'!T39</f>
        <v>2.0360414253993575</v>
      </c>
      <c r="D190" s="322">
        <f>'Measure Tables'!U39</f>
        <v>0</v>
      </c>
      <c r="E190" s="334">
        <v>2</v>
      </c>
    </row>
    <row r="191" spans="1:5">
      <c r="A191" s="128" t="str">
        <f>'Measure Tables'!A52</f>
        <v xml:space="preserve">BNI - Efficient Product Rebates; Electronically Commutated (Brushless) DC Motors for Refrigeration Applications; IND; Industrial </v>
      </c>
      <c r="B191" s="320">
        <f>'Measure Tables'!P52</f>
        <v>2.0723321209396599</v>
      </c>
      <c r="C191" s="320">
        <f>'Measure Tables'!T52</f>
        <v>2.0723321209396599</v>
      </c>
      <c r="D191" s="322">
        <f>'Measure Tables'!U52</f>
        <v>0</v>
      </c>
      <c r="E191" s="334">
        <v>2</v>
      </c>
    </row>
    <row r="192" spans="1:5">
      <c r="A192" s="128" t="str">
        <f>'Measure Tables'!A37</f>
        <v>BNI - Efficient Product Rebates; Evaporator Fan Motor Controls for Walk-In Freezers and Coolers; COM-Refrigeration; Other Commercial</v>
      </c>
      <c r="B192" s="320">
        <f>'Measure Tables'!P37</f>
        <v>2.07662411709769</v>
      </c>
      <c r="C192" s="320">
        <f>'Measure Tables'!T37</f>
        <v>2.07662411709769</v>
      </c>
      <c r="D192" s="322">
        <f>'Measure Tables'!U37</f>
        <v>0</v>
      </c>
      <c r="E192" s="334">
        <v>2</v>
      </c>
    </row>
    <row r="193" spans="1:5">
      <c r="A193" s="128" t="str">
        <f>'Measure Tables'!A38</f>
        <v>BNI - Efficient Product Rebates; Evaporator Fan Motor Controls for Walk-In Freezers and Coolers; COM-Refrigeration; Retail</v>
      </c>
      <c r="B193" s="320">
        <f>'Measure Tables'!P38</f>
        <v>2.0881995663230017</v>
      </c>
      <c r="C193" s="320">
        <f>'Measure Tables'!T38</f>
        <v>2.0881995663230017</v>
      </c>
      <c r="D193" s="322">
        <f>'Measure Tables'!U38</f>
        <v>0</v>
      </c>
      <c r="E193" s="334">
        <v>2</v>
      </c>
    </row>
    <row r="194" spans="1:5">
      <c r="A194" s="128" t="str">
        <f>'Measure Tables'!A124</f>
        <v>BNI - Efficient Product Rebates; Cycling Refrigerated Air Dryers (≤ 300 CFM capacity); COM-Process; School</v>
      </c>
      <c r="B194" s="320">
        <f>'Measure Tables'!P124</f>
        <v>2.3202023267243828</v>
      </c>
      <c r="C194" s="320">
        <f>'Measure Tables'!T124</f>
        <v>2.3202023267243828</v>
      </c>
      <c r="D194" s="322">
        <f>'Measure Tables'!U124</f>
        <v>0</v>
      </c>
      <c r="E194" s="334">
        <v>2</v>
      </c>
    </row>
    <row r="195" spans="1:5">
      <c r="A195" s="128" t="str">
        <f>'Measure Tables'!A226</f>
        <v>Residential - Efficient Product Rebates; Advanced Power Strip (load sensing or remote control/wireless APS); RES-Plug Load; RES-SF</v>
      </c>
      <c r="B195" s="320">
        <f>'Measure Tables'!P226</f>
        <v>2.4329316386805018</v>
      </c>
      <c r="C195" s="320">
        <f>'Measure Tables'!T226</f>
        <v>2.4329316386805018</v>
      </c>
      <c r="D195" s="322">
        <f>'Measure Tables'!U226</f>
        <v>0</v>
      </c>
      <c r="E195" s="334">
        <v>2</v>
      </c>
    </row>
    <row r="196" spans="1:5">
      <c r="A196" s="128" t="str">
        <f>'Measure Tables'!A51</f>
        <v>BNI - Efficient Product Rebates; Strip Curtains for 3' Open Refrigerated Display Cases; COM-Refrigeration; School</v>
      </c>
      <c r="B196" s="320">
        <f>'Measure Tables'!P51</f>
        <v>2.4754565682000402</v>
      </c>
      <c r="C196" s="320">
        <f>'Measure Tables'!T51</f>
        <v>2.4754565682000402</v>
      </c>
      <c r="D196" s="322">
        <f>'Measure Tables'!U51</f>
        <v>0</v>
      </c>
      <c r="E196" s="334">
        <v>2</v>
      </c>
    </row>
    <row r="197" spans="1:5">
      <c r="A197" s="128" t="str">
        <f>'Measure Tables'!A49</f>
        <v>BNI - Efficient Product Rebates; Strip Curtains for 3' Open Refrigerated Display Cases; COM-Refrigeration; Other Commercial</v>
      </c>
      <c r="B197" s="320">
        <f>'Measure Tables'!P49</f>
        <v>2.4759805897681701</v>
      </c>
      <c r="C197" s="320">
        <f>'Measure Tables'!T49</f>
        <v>2.4759805897681701</v>
      </c>
      <c r="D197" s="322">
        <f>'Measure Tables'!U49</f>
        <v>0</v>
      </c>
      <c r="E197" s="334">
        <v>2</v>
      </c>
    </row>
    <row r="198" spans="1:5">
      <c r="A198" s="128" t="str">
        <f>'Measure Tables'!A50</f>
        <v>BNI - Efficient Product Rebates; Strip Curtains for 3' Open Refrigerated Display Cases; COM-Refrigeration; Retail</v>
      </c>
      <c r="B198" s="320">
        <f>'Measure Tables'!P50</f>
        <v>2.4762149705741598</v>
      </c>
      <c r="C198" s="320">
        <f>'Measure Tables'!T50</f>
        <v>2.4762149705741598</v>
      </c>
      <c r="D198" s="322">
        <f>'Measure Tables'!U50</f>
        <v>0</v>
      </c>
      <c r="E198" s="334">
        <v>2</v>
      </c>
    </row>
    <row r="199" spans="1:5">
      <c r="A199" s="128" t="str">
        <f>'Measure Tables'!A133</f>
        <v>BNI - Efficient Product Rebates; Integrated Dual Enthalpy Economizer Controls; COM-HVAC; Office</v>
      </c>
      <c r="B199" s="320">
        <f>'Measure Tables'!P133</f>
        <v>2.5601364763393386</v>
      </c>
      <c r="C199" s="320">
        <f>'Measure Tables'!T133</f>
        <v>2.5601364763393386</v>
      </c>
      <c r="D199" s="322">
        <f>'Measure Tables'!U133</f>
        <v>0</v>
      </c>
      <c r="E199" s="334">
        <v>2</v>
      </c>
    </row>
    <row r="200" spans="1:5">
      <c r="A200" s="128" t="str">
        <f>'Measure Tables'!A134</f>
        <v>BNI - Efficient Product Rebates; Integrated Dual Enthalpy Economizer Controls; COM-HVAC; Other Commercial</v>
      </c>
      <c r="B200" s="320">
        <f>'Measure Tables'!P134</f>
        <v>2.5601364763393386</v>
      </c>
      <c r="C200" s="320">
        <f>'Measure Tables'!T134</f>
        <v>2.5601364763393386</v>
      </c>
      <c r="D200" s="322">
        <f>'Measure Tables'!U134</f>
        <v>0</v>
      </c>
      <c r="E200" s="334">
        <v>2</v>
      </c>
    </row>
    <row r="201" spans="1:5">
      <c r="A201" s="128" t="str">
        <f>'Measure Tables'!A125</f>
        <v xml:space="preserve">BNI - Efficient Product Rebates; Variable Speed Drive Screw Compressors (10 - 40 hp); IND; Industrial </v>
      </c>
      <c r="B201" s="320">
        <f>'Measure Tables'!P125</f>
        <v>2.6018255218086841</v>
      </c>
      <c r="C201" s="320">
        <f>'Measure Tables'!T125</f>
        <v>2.6018255218086841</v>
      </c>
      <c r="D201" s="322">
        <f>'Measure Tables'!U125</f>
        <v>0</v>
      </c>
      <c r="E201" s="334">
        <v>2</v>
      </c>
    </row>
    <row r="202" spans="1:5">
      <c r="A202" s="128" t="str">
        <f>'Measure Tables'!A130</f>
        <v xml:space="preserve">BNI - Efficient Product Rebates; Air Tanks for Load / No-Load Screw Compressors (10 – 40 hp); IND; Industrial </v>
      </c>
      <c r="B202" s="320">
        <f>'Measure Tables'!P130</f>
        <v>2.6796968390640368</v>
      </c>
      <c r="C202" s="320">
        <f>'Measure Tables'!T130</f>
        <v>2.6796968390640368</v>
      </c>
      <c r="D202" s="322">
        <f>'Measure Tables'!U130</f>
        <v>0</v>
      </c>
      <c r="E202" s="334">
        <v>2</v>
      </c>
    </row>
    <row r="203" spans="1:5">
      <c r="A203" s="128" t="str">
        <f>'Measure Tables'!A24</f>
        <v>BNI - Efficient Product Rebates; ENERGY STAR® Commercial Electric Convection Oven; COM-Other; Retail</v>
      </c>
      <c r="B203" s="320">
        <f>'Measure Tables'!P24</f>
        <v>2.7070647359823434</v>
      </c>
      <c r="C203" s="320">
        <f>'Measure Tables'!T24</f>
        <v>2.7070647359823434</v>
      </c>
      <c r="D203" s="322">
        <f>'Measure Tables'!U24</f>
        <v>0</v>
      </c>
      <c r="E203" s="334">
        <v>2</v>
      </c>
    </row>
    <row r="204" spans="1:5">
      <c r="A204" s="128" t="str">
        <f>'Measure Tables'!A42</f>
        <v>BNI - Efficient Product Rebates; Intelligent (Electronic) Defrost Control For Freezer Display Cases; COM-Refrigeration; School</v>
      </c>
      <c r="B204" s="320">
        <f>'Measure Tables'!P42</f>
        <v>3.0127154335898254</v>
      </c>
      <c r="C204" s="320">
        <f>'Measure Tables'!T42</f>
        <v>3.0127154335898254</v>
      </c>
      <c r="D204" s="322">
        <f>'Measure Tables'!U42</f>
        <v>0</v>
      </c>
      <c r="E204" s="334">
        <v>2</v>
      </c>
    </row>
    <row r="205" spans="1:5">
      <c r="A205" s="128" t="str">
        <f>'Measure Tables'!A17</f>
        <v>BNI - Efficient Product Rebates; Commercial Electric Griddle; COM-Other; Retail</v>
      </c>
      <c r="B205" s="320">
        <f>'Measure Tables'!P17</f>
        <v>3.0512364306843627</v>
      </c>
      <c r="C205" s="320">
        <f>'Measure Tables'!T17</f>
        <v>3.0512364306843627</v>
      </c>
      <c r="D205" s="322">
        <f>'Measure Tables'!U17</f>
        <v>0</v>
      </c>
      <c r="E205" s="334">
        <v>2</v>
      </c>
    </row>
    <row r="206" spans="1:5">
      <c r="A206" s="128" t="str">
        <f>'Measure Tables'!A40</f>
        <v>BNI - Efficient Product Rebates; Intelligent (Electronic) Defrost Control For Freezer Display Cases; COM-Refrigeration; Other Commercial</v>
      </c>
      <c r="B206" s="320">
        <f>'Measure Tables'!P40</f>
        <v>3.0733786531836542</v>
      </c>
      <c r="C206" s="320">
        <f>'Measure Tables'!T40</f>
        <v>3.0733786531836542</v>
      </c>
      <c r="D206" s="322">
        <f>'Measure Tables'!U40</f>
        <v>0</v>
      </c>
      <c r="E206" s="334">
        <v>2</v>
      </c>
    </row>
    <row r="207" spans="1:5">
      <c r="A207" s="128" t="str">
        <f>'Measure Tables'!A41</f>
        <v>BNI - Efficient Product Rebates; Intelligent (Electronic) Defrost Control For Freezer Display Cases; COM-Refrigeration; Retail</v>
      </c>
      <c r="B207" s="320">
        <f>'Measure Tables'!P41</f>
        <v>3.1018022895685688</v>
      </c>
      <c r="C207" s="320">
        <f>'Measure Tables'!T41</f>
        <v>3.1018022895685688</v>
      </c>
      <c r="D207" s="322">
        <f>'Measure Tables'!U41</f>
        <v>0</v>
      </c>
      <c r="E207" s="334">
        <v>2</v>
      </c>
    </row>
    <row r="208" spans="1:5">
      <c r="A208" s="128" t="str">
        <f>'Measure Tables'!A46</f>
        <v>BNI - Efficient Product Rebates; Refrigerated Vending Machine Controller; COM-Refrigeration; Office</v>
      </c>
      <c r="B208" s="320">
        <f>'Measure Tables'!P46</f>
        <v>3.1077078969344125</v>
      </c>
      <c r="C208" s="320">
        <f>'Measure Tables'!T46</f>
        <v>3.1077078969344125</v>
      </c>
      <c r="D208" s="322">
        <f>'Measure Tables'!U46</f>
        <v>0</v>
      </c>
      <c r="E208" s="334">
        <v>2</v>
      </c>
    </row>
    <row r="209" spans="1:12">
      <c r="A209" s="128" t="str">
        <f>'Measure Tables'!A47</f>
        <v>BNI - Efficient Product Rebates; Refrigerated Vending Machine Controller; COM-Refrigeration; Other Commercial</v>
      </c>
      <c r="B209" s="320">
        <f>'Measure Tables'!P47</f>
        <v>3.1077078969344125</v>
      </c>
      <c r="C209" s="320">
        <f>'Measure Tables'!T47</f>
        <v>3.1077078969344125</v>
      </c>
      <c r="D209" s="322">
        <f>'Measure Tables'!U47</f>
        <v>0</v>
      </c>
      <c r="E209" s="334">
        <v>2</v>
      </c>
    </row>
    <row r="210" spans="1:12">
      <c r="A210" s="128" t="str">
        <f>'Measure Tables'!A48</f>
        <v>BNI - Efficient Product Rebates; Refrigerated Vending Machine Controller; COM-Refrigeration; Retail</v>
      </c>
      <c r="B210" s="320">
        <f>'Measure Tables'!P48</f>
        <v>3.1349491348782341</v>
      </c>
      <c r="C210" s="320">
        <f>'Measure Tables'!T48</f>
        <v>3.1349491348782341</v>
      </c>
      <c r="D210" s="322">
        <f>'Measure Tables'!U48</f>
        <v>0</v>
      </c>
      <c r="E210" s="334">
        <v>2</v>
      </c>
      <c r="L210" s="384"/>
    </row>
    <row r="211" spans="1:12">
      <c r="A211" s="128" t="str">
        <f>'Measure Tables'!A45</f>
        <v>BNI - Efficient Product Rebates; Intelligent (Electronic) Defrost Control For Walk-In Freezers; COM-Refrigeration; School</v>
      </c>
      <c r="B211" s="320">
        <f>'Measure Tables'!P45</f>
        <v>3.1952602029275119</v>
      </c>
      <c r="C211" s="320">
        <f>'Measure Tables'!T45</f>
        <v>3.1952602029275119</v>
      </c>
      <c r="D211" s="322">
        <f>'Measure Tables'!U45</f>
        <v>0</v>
      </c>
      <c r="E211" s="334">
        <v>2</v>
      </c>
    </row>
    <row r="212" spans="1:12">
      <c r="A212" s="128" t="str">
        <f>'Measure Tables'!A43</f>
        <v>BNI - Efficient Product Rebates; Intelligent (Electronic) Defrost Control For Walk-In Freezers; COM-Refrigeration; Other Commercial</v>
      </c>
      <c r="B212" s="320">
        <f>'Measure Tables'!P43</f>
        <v>3.2595990944100852</v>
      </c>
      <c r="C212" s="320">
        <f>'Measure Tables'!T43</f>
        <v>3.2595990944100852</v>
      </c>
      <c r="D212" s="322">
        <f>'Measure Tables'!U43</f>
        <v>0</v>
      </c>
      <c r="E212" s="334">
        <v>2</v>
      </c>
    </row>
    <row r="213" spans="1:12">
      <c r="A213" s="128" t="str">
        <f>'Measure Tables'!A44</f>
        <v>BNI - Efficient Product Rebates; Intelligent (Electronic) Defrost Control For Walk-In Freezers; COM-Refrigeration; Retail</v>
      </c>
      <c r="B213" s="320">
        <f>'Measure Tables'!P44</f>
        <v>3.2897449598810176</v>
      </c>
      <c r="C213" s="320">
        <f>'Measure Tables'!T44</f>
        <v>3.2897449598810176</v>
      </c>
      <c r="D213" s="322">
        <f>'Measure Tables'!U44</f>
        <v>0</v>
      </c>
      <c r="E213" s="334">
        <v>2</v>
      </c>
    </row>
    <row r="214" spans="1:12">
      <c r="A214" s="128" t="str">
        <f>'Measure Tables'!A142</f>
        <v>BNI - Efficient Product Rebates; Heat Reclaimer Unit; COM-Other; Other Commercial</v>
      </c>
      <c r="B214" s="320">
        <f>'Measure Tables'!P142</f>
        <v>3.4925087101467152</v>
      </c>
      <c r="C214" s="320">
        <f>'Measure Tables'!T142</f>
        <v>3.4925087101467152</v>
      </c>
      <c r="D214" s="322">
        <f>'Measure Tables'!U142</f>
        <v>0</v>
      </c>
      <c r="E214" s="334">
        <v>2</v>
      </c>
    </row>
    <row r="215" spans="1:12">
      <c r="A215" s="128" t="str">
        <f>'Measure Tables'!A153</f>
        <v>BNI- Direct Installation; Humidity-Based Door Heater Controls for Reach-In Coolers and Freezers-BES; COM-Refrigeration; Other Commercial</v>
      </c>
      <c r="B215" s="320">
        <f>'Measure Tables'!P153</f>
        <v>3.6758168826803108</v>
      </c>
      <c r="C215" s="320">
        <f>'Measure Tables'!T153</f>
        <v>3.6758168826803108</v>
      </c>
      <c r="D215" s="322">
        <f>'Measure Tables'!U153</f>
        <v>0</v>
      </c>
      <c r="E215" s="334">
        <v>2</v>
      </c>
    </row>
    <row r="216" spans="1:12">
      <c r="A216" s="128" t="str">
        <f>'Measure Tables'!A154</f>
        <v>BNI- Direct Installation; Humidity-Based Door Heater Controls for Reach-In Coolers and Freezers-BES; COM-Refrigeration; Retail</v>
      </c>
      <c r="B216" s="320">
        <f>'Measure Tables'!P154</f>
        <v>3.7098120698280472</v>
      </c>
      <c r="C216" s="320">
        <f>'Measure Tables'!T154</f>
        <v>3.7098120698280472</v>
      </c>
      <c r="D216" s="322">
        <f>'Measure Tables'!U154</f>
        <v>0</v>
      </c>
      <c r="E216" s="334">
        <v>2</v>
      </c>
    </row>
    <row r="217" spans="1:12">
      <c r="A217" s="128" t="str">
        <f>'Measure Tables'!A140</f>
        <v>BNI - Efficient Product Rebates; Double Heat Pad; COM-Other; Other Commercial</v>
      </c>
      <c r="B217" s="320">
        <f>'Measure Tables'!P140</f>
        <v>3.8631457542605285</v>
      </c>
      <c r="C217" s="320">
        <f>'Measure Tables'!T140</f>
        <v>3.8631457542605285</v>
      </c>
      <c r="D217" s="322">
        <f>'Measure Tables'!U140</f>
        <v>0</v>
      </c>
      <c r="E217" s="334">
        <v>2</v>
      </c>
    </row>
    <row r="218" spans="1:12">
      <c r="A218" s="128" t="str">
        <f>'Measure Tables'!A58</f>
        <v>BNI - Efficient Product Rebates; Variable Frequency Drives; COM-Motors; Retail</v>
      </c>
      <c r="B218" s="320">
        <f>'Measure Tables'!P58</f>
        <v>3.8938860915995486</v>
      </c>
      <c r="C218" s="320">
        <f>'Measure Tables'!T58</f>
        <v>3.8938860915995486</v>
      </c>
      <c r="D218" s="322">
        <f>'Measure Tables'!U58</f>
        <v>0</v>
      </c>
      <c r="E218" s="334">
        <v>2</v>
      </c>
    </row>
    <row r="219" spans="1:12">
      <c r="A219" s="128" t="str">
        <f>'Measure Tables'!A126</f>
        <v>BNI - Efficient Product Rebates; Variable Speed Drive Screw Compressors (10 - 40 hp); COM-Process; Other Commercial</v>
      </c>
      <c r="B219" s="320">
        <f>'Measure Tables'!P126</f>
        <v>3.9503412300920369</v>
      </c>
      <c r="C219" s="320">
        <f>'Measure Tables'!T126</f>
        <v>3.9503412300920369</v>
      </c>
      <c r="D219" s="322">
        <f>'Measure Tables'!U126</f>
        <v>0</v>
      </c>
      <c r="E219" s="334">
        <v>2</v>
      </c>
    </row>
    <row r="220" spans="1:12">
      <c r="A220" s="128" t="str">
        <f>'Measure Tables'!A59</f>
        <v>BNI - Efficient Product Rebates; Variable Frequency Drives; COM-Motors; School</v>
      </c>
      <c r="B220" s="320">
        <f>'Measure Tables'!P59</f>
        <v>4.0017748784032516</v>
      </c>
      <c r="C220" s="320">
        <f>'Measure Tables'!T59</f>
        <v>4.0017748784032516</v>
      </c>
      <c r="D220" s="322">
        <f>'Measure Tables'!U59</f>
        <v>0</v>
      </c>
      <c r="E220" s="334">
        <v>2</v>
      </c>
    </row>
    <row r="221" spans="1:12">
      <c r="A221" s="128" t="str">
        <f>'Measure Tables'!A138</f>
        <v>BNI - Efficient Product Rebates; Zero-Energy Livestock Waterers; COM-Other; Other Commercial</v>
      </c>
      <c r="B221" s="320">
        <f>'Measure Tables'!P138</f>
        <v>4.0356654146487489</v>
      </c>
      <c r="C221" s="320">
        <f>'Measure Tables'!T138</f>
        <v>4.0356654146487489</v>
      </c>
      <c r="D221" s="322">
        <f>'Measure Tables'!U138</f>
        <v>0</v>
      </c>
      <c r="E221" s="334">
        <v>2</v>
      </c>
    </row>
    <row r="222" spans="1:12">
      <c r="A222" s="128" t="str">
        <f>'Measure Tables'!A131</f>
        <v>BNI - Efficient Product Rebates; Air Tanks for Load / No-Load Screw Compressors (10 – 40 hp); COM-Process; Other Commercial</v>
      </c>
      <c r="B222" s="320">
        <f>'Measure Tables'!P131</f>
        <v>4.0927165520587838</v>
      </c>
      <c r="C222" s="320">
        <f>'Measure Tables'!T131</f>
        <v>4.0927165520587838</v>
      </c>
      <c r="D222" s="322">
        <f>'Measure Tables'!U131</f>
        <v>0</v>
      </c>
      <c r="E222" s="334">
        <v>2</v>
      </c>
    </row>
    <row r="223" spans="1:12">
      <c r="A223" s="128" t="str">
        <f>'Measure Tables'!A56</f>
        <v>BNI - Efficient Product Rebates; Variable Frequency Drives; COM-Motors; Office</v>
      </c>
      <c r="B223" s="320">
        <f>'Measure Tables'!P56</f>
        <v>4.1686892583393647</v>
      </c>
      <c r="C223" s="320">
        <f>'Measure Tables'!T56</f>
        <v>4.1686892583393647</v>
      </c>
      <c r="D223" s="322">
        <f>'Measure Tables'!U56</f>
        <v>0</v>
      </c>
      <c r="E223" s="334">
        <v>2</v>
      </c>
    </row>
    <row r="224" spans="1:12">
      <c r="A224" s="128" t="str">
        <f>'Measure Tables'!A128</f>
        <v>BNI - Efficient Product Rebates; Air-Entraining Air Nozzles (up to 14CFM at 100 psi); COM-Process; School</v>
      </c>
      <c r="B224" s="320">
        <f>'Measure Tables'!P128</f>
        <v>4.1879484619140834</v>
      </c>
      <c r="C224" s="320">
        <f>'Measure Tables'!T128</f>
        <v>4.1879484619140834</v>
      </c>
      <c r="D224" s="322">
        <f>'Measure Tables'!U128</f>
        <v>0</v>
      </c>
      <c r="E224" s="334">
        <v>2</v>
      </c>
    </row>
    <row r="225" spans="1:5">
      <c r="A225" s="128" t="str">
        <f>'Measure Tables'!A57</f>
        <v>BNI - Efficient Product Rebates; Variable Frequency Drives; COM-Motors; Other Commercial</v>
      </c>
      <c r="B225" s="320">
        <f>'Measure Tables'!P57</f>
        <v>4.2776112798980721</v>
      </c>
      <c r="C225" s="320">
        <f>'Measure Tables'!T57</f>
        <v>4.2776112798980721</v>
      </c>
      <c r="D225" s="322">
        <f>'Measure Tables'!U57</f>
        <v>0</v>
      </c>
      <c r="E225" s="334">
        <v>2</v>
      </c>
    </row>
    <row r="226" spans="1:5">
      <c r="A226" s="128" t="str">
        <f>'Measure Tables'!A129</f>
        <v>BNI - Efficient Product Rebates; No-Loss Drains (Timed drains are not eligible); COM-Process; School</v>
      </c>
      <c r="B226" s="320">
        <f>'Measure Tables'!P129</f>
        <v>4.7743137872511001</v>
      </c>
      <c r="C226" s="320">
        <f>'Measure Tables'!T129</f>
        <v>4.7743137872511001</v>
      </c>
      <c r="D226" s="322">
        <f>'Measure Tables'!U129</f>
        <v>0</v>
      </c>
      <c r="E226" s="334">
        <v>2</v>
      </c>
    </row>
    <row r="227" spans="1:5">
      <c r="A227" s="128" t="str">
        <f>'Measure Tables'!A266</f>
        <v>Existing Residential; Advanced Power Strip (load sensing or remote control/wireless APS); RES-Plug Load; MURB</v>
      </c>
      <c r="B227" s="320">
        <f>'Measure Tables'!P266</f>
        <v>4.8146892356973705</v>
      </c>
      <c r="C227" s="320">
        <f>'Measure Tables'!T266</f>
        <v>4.8146892356973705</v>
      </c>
      <c r="D227" s="322">
        <f>'Measure Tables'!U266</f>
        <v>0</v>
      </c>
      <c r="E227" s="334">
        <v>2</v>
      </c>
    </row>
    <row r="228" spans="1:5">
      <c r="A228" s="128" t="str">
        <f>'Measure Tables'!A14</f>
        <v>BNI - Efficient Product Rebates; Full Size Commercial Hot Food Holding Cabinet; COM-Other; Retail</v>
      </c>
      <c r="B228" s="320">
        <f>'Measure Tables'!P14</f>
        <v>4.8590592586241375</v>
      </c>
      <c r="C228" s="320">
        <f>'Measure Tables'!T14</f>
        <v>4.8590592586241375</v>
      </c>
      <c r="D228" s="322">
        <f>'Measure Tables'!U14</f>
        <v>0</v>
      </c>
      <c r="E228" s="334">
        <v>2</v>
      </c>
    </row>
    <row r="229" spans="1:5">
      <c r="A229" s="128" t="str">
        <f>'Measure Tables'!A122</f>
        <v xml:space="preserve">BNI - Efficient Product Rebates; Cycling Refrigerated Air Dryers (≤ 300 CFM capacity); IND; Industrial </v>
      </c>
      <c r="B229" s="320">
        <f>'Measure Tables'!P122</f>
        <v>4.8612234502198906</v>
      </c>
      <c r="C229" s="320">
        <f>'Measure Tables'!T122</f>
        <v>4.8612234502198906</v>
      </c>
      <c r="D229" s="322">
        <f>'Measure Tables'!U122</f>
        <v>0</v>
      </c>
      <c r="E229" s="334">
        <v>2</v>
      </c>
    </row>
    <row r="230" spans="1:5">
      <c r="A230" s="128" t="str">
        <f>'Measure Tables'!A264</f>
        <v>Existing Residential; Embertec Power Strip; RES-Plug Load; RES-SF</v>
      </c>
      <c r="B230" s="320">
        <f>'Measure Tables'!P264</f>
        <v>4.8871523172826956</v>
      </c>
      <c r="C230" s="320">
        <f>'Measure Tables'!T264</f>
        <v>4.8871523172826956</v>
      </c>
      <c r="D230" s="322">
        <f>'Measure Tables'!U264</f>
        <v>0</v>
      </c>
      <c r="E230" s="334">
        <v>2</v>
      </c>
    </row>
    <row r="231" spans="1:5">
      <c r="A231" s="128" t="str">
        <f>'Measure Tables'!A227</f>
        <v>Residential - Efficient Product Rebates; Dehumidifier (Retirement); RES-Appliance; RES-SF</v>
      </c>
      <c r="B231" s="320">
        <f>'Measure Tables'!P227</f>
        <v>5.1193233089433292</v>
      </c>
      <c r="C231" s="320">
        <f>'Measure Tables'!T227</f>
        <v>5.1193233089433292</v>
      </c>
      <c r="D231" s="322">
        <f>'Measure Tables'!U227</f>
        <v>0</v>
      </c>
      <c r="E231" s="334">
        <v>2</v>
      </c>
    </row>
    <row r="232" spans="1:5">
      <c r="A232" s="128" t="str">
        <f>'Measure Tables'!A139</f>
        <v>BNI - Efficient Product Rebates; Single Heat Pad; COM-Other; Other Commercial</v>
      </c>
      <c r="B232" s="320">
        <f>'Measure Tables'!P139</f>
        <v>5.1828336538090118</v>
      </c>
      <c r="C232" s="320">
        <f>'Measure Tables'!T139</f>
        <v>5.1828336538090118</v>
      </c>
      <c r="D232" s="322">
        <f>'Measure Tables'!U139</f>
        <v>0</v>
      </c>
      <c r="E232" s="334">
        <v>2</v>
      </c>
    </row>
    <row r="233" spans="1:5">
      <c r="A233" s="128" t="str">
        <f>'Measure Tables'!A36</f>
        <v>BNI - Efficient Product Rebates; Humidity-Based Door Heater Controls for Reach-In Coolers and Freezers; COM-Refrigeration; School</v>
      </c>
      <c r="B233" s="320">
        <f>'Measure Tables'!P36</f>
        <v>5.357646650448336</v>
      </c>
      <c r="C233" s="320">
        <f>'Measure Tables'!T36</f>
        <v>5.357646650448336</v>
      </c>
      <c r="D233" s="322">
        <f>'Measure Tables'!U36</f>
        <v>0</v>
      </c>
      <c r="E233" s="334">
        <v>2</v>
      </c>
    </row>
    <row r="234" spans="1:5">
      <c r="A234" s="128" t="str">
        <f>'Measure Tables'!A34</f>
        <v>BNI - Efficient Product Rebates; Humidity-Based Door Heater Controls for Reach-In Coolers and Freezers; COM-Refrigeration; Other Commercial</v>
      </c>
      <c r="B234" s="320">
        <f>'Measure Tables'!P34</f>
        <v>5.4655267680454402</v>
      </c>
      <c r="C234" s="320">
        <f>'Measure Tables'!T34</f>
        <v>5.4655267680454402</v>
      </c>
      <c r="D234" s="322">
        <f>'Measure Tables'!U34</f>
        <v>0</v>
      </c>
      <c r="E234" s="334">
        <v>2</v>
      </c>
    </row>
    <row r="235" spans="1:5">
      <c r="A235" s="128" t="str">
        <f>'Measure Tables'!A35</f>
        <v>BNI - Efficient Product Rebates; Humidity-Based Door Heater Controls for Reach-In Coolers and Freezers; COM-Refrigeration; Retail</v>
      </c>
      <c r="B235" s="320">
        <f>'Measure Tables'!P35</f>
        <v>5.5160737923588998</v>
      </c>
      <c r="C235" s="320">
        <f>'Measure Tables'!T35</f>
        <v>5.5160737923588998</v>
      </c>
      <c r="D235" s="322">
        <f>'Measure Tables'!U35</f>
        <v>0</v>
      </c>
      <c r="E235" s="334">
        <v>2</v>
      </c>
    </row>
    <row r="236" spans="1:5">
      <c r="A236" s="128" t="str">
        <f>'Measure Tables'!A123</f>
        <v>BNI - Efficient Product Rebates; Cycling Refrigerated Air Dryers (≤ 300 CFM capacity); COM-Process; Other Commercial</v>
      </c>
      <c r="B236" s="320">
        <f>'Measure Tables'!P123</f>
        <v>6.7038661939833348</v>
      </c>
      <c r="C236" s="320">
        <f>'Measure Tables'!T123</f>
        <v>6.7038661939833348</v>
      </c>
      <c r="D236" s="322">
        <f>'Measure Tables'!U123</f>
        <v>0</v>
      </c>
      <c r="E236" s="334">
        <v>2</v>
      </c>
    </row>
    <row r="237" spans="1:5">
      <c r="A237" s="128" t="str">
        <f>'Measure Tables'!A143</f>
        <v>BNI - Efficient Product Rebates; VSD for Milk Vacuum Pump; COM-Other; Other Commercial</v>
      </c>
      <c r="B237" s="320">
        <f>'Measure Tables'!P143</f>
        <v>7.2373324462945643</v>
      </c>
      <c r="C237" s="320">
        <f>'Measure Tables'!T143</f>
        <v>7.2373324462945643</v>
      </c>
      <c r="D237" s="322">
        <f>'Measure Tables'!U143</f>
        <v>0</v>
      </c>
      <c r="E237" s="334">
        <v>2</v>
      </c>
    </row>
    <row r="238" spans="1:5">
      <c r="A238" s="128" t="str">
        <f>'Measure Tables'!A27</f>
        <v>BNI - Efficient Product Rebates; ENERGY STAR®, CEE Tier 2 or CEE Tier 3 Commercial Clothes Washer; COM-Other; Other Commercial</v>
      </c>
      <c r="B238" s="320">
        <f>'Measure Tables'!P27</f>
        <v>1.3353428138318306</v>
      </c>
      <c r="C238" s="320">
        <f>'Measure Tables'!T27</f>
        <v>1.2073781782098469</v>
      </c>
      <c r="D238" s="322">
        <f>'Measure Tables'!U27</f>
        <v>-9.5829051758464165E-2</v>
      </c>
      <c r="E238" s="334">
        <v>1</v>
      </c>
    </row>
  </sheetData>
  <sortState ref="A1:E238">
    <sortCondition descending="1" ref="D1:D238"/>
  </sortState>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M41"/>
  <sheetViews>
    <sheetView topLeftCell="A13" workbookViewId="0">
      <selection activeCell="Q17" sqref="Q17"/>
    </sheetView>
  </sheetViews>
  <sheetFormatPr defaultRowHeight="15"/>
  <cols>
    <col min="1" max="1" width="43.85546875" customWidth="1"/>
    <col min="2" max="2" width="12.7109375" customWidth="1"/>
    <col min="3" max="3" width="20.28515625" bestFit="1" customWidth="1"/>
    <col min="4" max="4" width="12.5703125" customWidth="1"/>
    <col min="5" max="5" width="12.28515625" customWidth="1"/>
    <col min="6" max="6" width="15.85546875" customWidth="1"/>
    <col min="7" max="7" width="12.28515625" customWidth="1"/>
    <col min="8" max="8" width="11.7109375" customWidth="1"/>
    <col min="9" max="9" width="12.42578125" customWidth="1"/>
    <col min="11" max="11" width="14.28515625" customWidth="1"/>
  </cols>
  <sheetData>
    <row r="1" spans="1:7" ht="28.9" customHeight="1">
      <c r="A1" s="533" t="s">
        <v>229</v>
      </c>
      <c r="B1" s="533"/>
      <c r="C1" s="533"/>
    </row>
    <row r="2" spans="1:7">
      <c r="A2" t="s">
        <v>230</v>
      </c>
      <c r="B2" s="109">
        <v>2.61</v>
      </c>
      <c r="C2" t="s">
        <v>236</v>
      </c>
    </row>
    <row r="3" spans="1:7">
      <c r="A3" t="s">
        <v>231</v>
      </c>
      <c r="B3" s="109">
        <v>3.74</v>
      </c>
      <c r="C3" t="s">
        <v>236</v>
      </c>
    </row>
    <row r="4" spans="1:7">
      <c r="A4" t="s">
        <v>232</v>
      </c>
      <c r="B4" s="109">
        <v>0.43</v>
      </c>
      <c r="C4" t="s">
        <v>236</v>
      </c>
    </row>
    <row r="5" spans="1:7">
      <c r="A5" t="s">
        <v>233</v>
      </c>
      <c r="B5" s="109">
        <v>0.57999999999999996</v>
      </c>
      <c r="C5" t="s">
        <v>236</v>
      </c>
    </row>
    <row r="6" spans="1:7">
      <c r="A6" t="s">
        <v>234</v>
      </c>
      <c r="B6" s="109">
        <v>0.34</v>
      </c>
      <c r="C6" t="s">
        <v>236</v>
      </c>
    </row>
    <row r="7" spans="1:7">
      <c r="A7" s="110" t="s">
        <v>235</v>
      </c>
      <c r="B7" s="111">
        <v>8.43</v>
      </c>
      <c r="C7" s="110" t="s">
        <v>236</v>
      </c>
    </row>
    <row r="8" spans="1:7">
      <c r="A8" s="114" t="s">
        <v>237</v>
      </c>
      <c r="B8" s="115">
        <f>SUM(B2:B7)</f>
        <v>16.13</v>
      </c>
      <c r="C8" s="116" t="s">
        <v>236</v>
      </c>
      <c r="E8" s="535" t="s">
        <v>504</v>
      </c>
      <c r="F8" s="535"/>
      <c r="G8" s="535"/>
    </row>
    <row r="10" spans="1:7" ht="29.45" customHeight="1">
      <c r="A10" s="533" t="s">
        <v>238</v>
      </c>
      <c r="B10" s="533"/>
      <c r="C10" s="533"/>
      <c r="D10" s="533"/>
      <c r="E10" s="533"/>
    </row>
    <row r="11" spans="1:7" ht="45">
      <c r="B11" s="117" t="s">
        <v>251</v>
      </c>
      <c r="C11" t="s">
        <v>240</v>
      </c>
    </row>
    <row r="12" spans="1:7">
      <c r="A12" t="s">
        <v>239</v>
      </c>
      <c r="B12" s="109">
        <v>125</v>
      </c>
      <c r="C12" s="109">
        <v>77</v>
      </c>
      <c r="D12" t="s">
        <v>243</v>
      </c>
      <c r="E12" t="s">
        <v>241</v>
      </c>
    </row>
    <row r="13" spans="1:7">
      <c r="A13" t="s">
        <v>242</v>
      </c>
      <c r="B13" s="109">
        <v>31</v>
      </c>
      <c r="C13" s="109">
        <v>40</v>
      </c>
      <c r="D13" t="s">
        <v>243</v>
      </c>
      <c r="E13" t="s">
        <v>241</v>
      </c>
    </row>
    <row r="14" spans="1:7">
      <c r="A14" t="s">
        <v>244</v>
      </c>
      <c r="B14" s="109">
        <v>3</v>
      </c>
      <c r="C14" s="109"/>
      <c r="D14" t="s">
        <v>245</v>
      </c>
      <c r="E14" t="s">
        <v>246</v>
      </c>
    </row>
    <row r="15" spans="1:7">
      <c r="A15" t="s">
        <v>247</v>
      </c>
      <c r="B15" s="109">
        <v>1998</v>
      </c>
      <c r="C15" s="109">
        <v>72</v>
      </c>
      <c r="D15" t="s">
        <v>249</v>
      </c>
      <c r="E15" t="s">
        <v>248</v>
      </c>
    </row>
    <row r="16" spans="1:7">
      <c r="A16" t="s">
        <v>250</v>
      </c>
      <c r="B16" s="109">
        <v>149</v>
      </c>
      <c r="C16" s="109"/>
      <c r="D16" t="s">
        <v>243</v>
      </c>
      <c r="E16" t="s">
        <v>241</v>
      </c>
    </row>
    <row r="17" spans="1:13">
      <c r="A17" s="113" t="s">
        <v>252</v>
      </c>
      <c r="B17" s="118">
        <v>124</v>
      </c>
      <c r="C17" s="118"/>
      <c r="D17" s="113" t="s">
        <v>243</v>
      </c>
      <c r="E17" s="113" t="s">
        <v>241</v>
      </c>
    </row>
    <row r="18" spans="1:13">
      <c r="A18" s="110" t="s">
        <v>253</v>
      </c>
      <c r="B18" s="534" t="s">
        <v>254</v>
      </c>
      <c r="C18" s="534"/>
      <c r="D18" s="534"/>
      <c r="E18" s="534"/>
      <c r="F18" s="535" t="s">
        <v>505</v>
      </c>
      <c r="G18" s="535"/>
      <c r="H18" s="535"/>
    </row>
    <row r="19" spans="1:13">
      <c r="A19" s="120" t="s">
        <v>255</v>
      </c>
      <c r="B19" s="121">
        <f>B12+B13+B16+B17</f>
        <v>429</v>
      </c>
      <c r="C19" s="122"/>
      <c r="D19" s="120" t="s">
        <v>243</v>
      </c>
      <c r="E19" s="119"/>
    </row>
    <row r="21" spans="1:13">
      <c r="B21" s="126">
        <f>B19+B8</f>
        <v>445.13</v>
      </c>
    </row>
    <row r="24" spans="1:13" ht="30">
      <c r="A24" s="114" t="s">
        <v>256</v>
      </c>
      <c r="B24" s="125" t="s">
        <v>275</v>
      </c>
      <c r="C24" s="125" t="s">
        <v>276</v>
      </c>
      <c r="D24" s="125" t="s">
        <v>277</v>
      </c>
      <c r="E24" s="125" t="s">
        <v>280</v>
      </c>
      <c r="F24" s="125" t="s">
        <v>278</v>
      </c>
      <c r="G24" s="125" t="s">
        <v>279</v>
      </c>
      <c r="H24" s="114" t="s">
        <v>103</v>
      </c>
      <c r="I24" s="133" t="s">
        <v>281</v>
      </c>
      <c r="J24" s="128"/>
      <c r="K24" s="125" t="s">
        <v>282</v>
      </c>
      <c r="L24" s="128"/>
      <c r="M24" s="128"/>
    </row>
    <row r="25" spans="1:13">
      <c r="A25" t="s">
        <v>259</v>
      </c>
      <c r="B25" s="109">
        <v>10.130000000000001</v>
      </c>
      <c r="C25" s="109">
        <v>4.88</v>
      </c>
      <c r="D25" s="109">
        <v>0.32</v>
      </c>
      <c r="E25" s="109">
        <v>135.83000000000001</v>
      </c>
      <c r="F25" s="109">
        <v>0</v>
      </c>
      <c r="G25" s="109">
        <v>0</v>
      </c>
      <c r="H25" s="109">
        <f>SUM(B25:G25)</f>
        <v>151.16000000000003</v>
      </c>
      <c r="I25" s="134">
        <f>B25+C25+E25+F25+G25</f>
        <v>150.84</v>
      </c>
      <c r="K25" s="112">
        <f>I25+I28+I33+I39</f>
        <v>576.19000000000005</v>
      </c>
    </row>
    <row r="26" spans="1:13">
      <c r="A26" s="129" t="s">
        <v>260</v>
      </c>
      <c r="B26" s="130">
        <v>0</v>
      </c>
      <c r="C26" s="130">
        <v>0</v>
      </c>
      <c r="D26" s="130">
        <v>0</v>
      </c>
      <c r="E26" s="130">
        <v>1.44</v>
      </c>
      <c r="F26" s="130">
        <v>0</v>
      </c>
      <c r="G26" s="130">
        <v>0</v>
      </c>
      <c r="H26" s="130">
        <f t="shared" ref="H26:H40" si="0">SUM(B26:G26)</f>
        <v>1.44</v>
      </c>
      <c r="I26" s="134">
        <f t="shared" ref="I26:I40" si="1">B26+C26+E26+F26+G26</f>
        <v>1.44</v>
      </c>
    </row>
    <row r="27" spans="1:13">
      <c r="A27" t="s">
        <v>261</v>
      </c>
      <c r="B27" s="109">
        <v>3.92</v>
      </c>
      <c r="C27" s="109">
        <v>2.83</v>
      </c>
      <c r="D27" s="109">
        <v>0.13</v>
      </c>
      <c r="E27" s="109">
        <v>62.65</v>
      </c>
      <c r="F27" s="109">
        <v>7.54</v>
      </c>
      <c r="G27" s="109">
        <v>0</v>
      </c>
      <c r="H27" s="109">
        <f t="shared" si="0"/>
        <v>77.070000000000007</v>
      </c>
      <c r="I27" s="134">
        <f t="shared" si="1"/>
        <v>76.940000000000012</v>
      </c>
    </row>
    <row r="28" spans="1:13">
      <c r="A28" s="129" t="s">
        <v>262</v>
      </c>
      <c r="B28" s="130">
        <v>0.16</v>
      </c>
      <c r="C28" s="130">
        <v>0</v>
      </c>
      <c r="D28" s="130">
        <v>0.01</v>
      </c>
      <c r="E28" s="130">
        <v>2.5099999999999998</v>
      </c>
      <c r="F28" s="130">
        <v>0</v>
      </c>
      <c r="G28" s="130">
        <v>0</v>
      </c>
      <c r="H28" s="130">
        <f t="shared" si="0"/>
        <v>2.6799999999999997</v>
      </c>
      <c r="I28" s="134">
        <f t="shared" si="1"/>
        <v>2.67</v>
      </c>
    </row>
    <row r="29" spans="1:13">
      <c r="A29" t="s">
        <v>263</v>
      </c>
      <c r="B29" s="109">
        <v>5.05</v>
      </c>
      <c r="C29" s="109">
        <v>0</v>
      </c>
      <c r="D29" s="109">
        <v>0.16</v>
      </c>
      <c r="E29" s="109">
        <v>80.69</v>
      </c>
      <c r="F29" s="109">
        <v>9.42</v>
      </c>
      <c r="G29" s="109">
        <v>0</v>
      </c>
      <c r="H29" s="109">
        <f t="shared" si="0"/>
        <v>95.32</v>
      </c>
      <c r="I29" s="134">
        <f t="shared" si="1"/>
        <v>95.16</v>
      </c>
    </row>
    <row r="30" spans="1:13" ht="15.75" thickBot="1">
      <c r="A30" s="129" t="s">
        <v>264</v>
      </c>
      <c r="B30" s="130">
        <v>1.83</v>
      </c>
      <c r="C30" s="130">
        <v>0</v>
      </c>
      <c r="D30" s="130">
        <v>0.06</v>
      </c>
      <c r="E30" s="130">
        <v>29.17</v>
      </c>
      <c r="F30" s="130">
        <v>3.41</v>
      </c>
      <c r="G30" s="130">
        <v>0</v>
      </c>
      <c r="H30" s="130">
        <f t="shared" si="0"/>
        <v>34.47</v>
      </c>
      <c r="I30" s="134">
        <f t="shared" si="1"/>
        <v>34.409999999999997</v>
      </c>
    </row>
    <row r="31" spans="1:13" ht="15.75" thickBot="1">
      <c r="A31" t="s">
        <v>265</v>
      </c>
      <c r="B31" s="109">
        <v>48.63</v>
      </c>
      <c r="C31" s="109">
        <v>0</v>
      </c>
      <c r="D31" s="109">
        <v>1.56</v>
      </c>
      <c r="E31" s="109">
        <v>678.52</v>
      </c>
      <c r="F31" s="109">
        <v>102.4</v>
      </c>
      <c r="G31" s="109">
        <v>0</v>
      </c>
      <c r="H31" s="229">
        <f t="shared" si="0"/>
        <v>831.11</v>
      </c>
      <c r="I31" s="230">
        <f t="shared" si="1"/>
        <v>829.55</v>
      </c>
    </row>
    <row r="32" spans="1:13">
      <c r="A32" s="129" t="s">
        <v>266</v>
      </c>
      <c r="B32" s="130">
        <v>0</v>
      </c>
      <c r="C32" s="130">
        <v>0</v>
      </c>
      <c r="D32" s="130">
        <v>0</v>
      </c>
      <c r="E32" s="130">
        <v>82.56</v>
      </c>
      <c r="F32" s="130">
        <v>0</v>
      </c>
      <c r="G32" s="130">
        <v>0</v>
      </c>
      <c r="H32" s="130">
        <f t="shared" si="0"/>
        <v>82.56</v>
      </c>
      <c r="I32" s="134">
        <f t="shared" si="1"/>
        <v>82.56</v>
      </c>
    </row>
    <row r="33" spans="1:9">
      <c r="A33" t="s">
        <v>267</v>
      </c>
      <c r="B33" s="109">
        <v>25.15</v>
      </c>
      <c r="C33" s="109">
        <v>11.54</v>
      </c>
      <c r="D33" s="109">
        <v>0.8</v>
      </c>
      <c r="E33" s="109">
        <v>378.05</v>
      </c>
      <c r="F33" s="109">
        <v>0</v>
      </c>
      <c r="G33" s="109">
        <v>0</v>
      </c>
      <c r="H33" s="109">
        <f t="shared" si="0"/>
        <v>415.54</v>
      </c>
      <c r="I33" s="134">
        <f t="shared" si="1"/>
        <v>414.74</v>
      </c>
    </row>
    <row r="34" spans="1:9">
      <c r="A34" s="129" t="s">
        <v>268</v>
      </c>
      <c r="B34" s="130">
        <v>0</v>
      </c>
      <c r="C34" s="130">
        <v>0</v>
      </c>
      <c r="D34" s="130">
        <v>0</v>
      </c>
      <c r="E34" s="130">
        <v>96.61</v>
      </c>
      <c r="F34" s="130">
        <v>0</v>
      </c>
      <c r="G34" s="130">
        <v>49</v>
      </c>
      <c r="H34" s="130">
        <f t="shared" si="0"/>
        <v>145.61000000000001</v>
      </c>
      <c r="I34" s="134">
        <f t="shared" si="1"/>
        <v>145.61000000000001</v>
      </c>
    </row>
    <row r="35" spans="1:9">
      <c r="A35" t="s">
        <v>269</v>
      </c>
      <c r="B35" s="109">
        <v>0.47</v>
      </c>
      <c r="C35" s="109">
        <v>0</v>
      </c>
      <c r="D35" s="109">
        <v>0.01</v>
      </c>
      <c r="E35" s="109">
        <v>7.44</v>
      </c>
      <c r="F35" s="109">
        <v>0.87</v>
      </c>
      <c r="G35" s="109">
        <v>0</v>
      </c>
      <c r="H35" s="109">
        <f t="shared" si="0"/>
        <v>8.7899999999999991</v>
      </c>
      <c r="I35" s="134">
        <f t="shared" si="1"/>
        <v>8.7799999999999994</v>
      </c>
    </row>
    <row r="36" spans="1:9">
      <c r="A36" s="129" t="s">
        <v>270</v>
      </c>
      <c r="B36" s="130">
        <v>0</v>
      </c>
      <c r="C36" s="130">
        <v>0</v>
      </c>
      <c r="D36" s="130">
        <v>0</v>
      </c>
      <c r="E36" s="130">
        <v>0.03</v>
      </c>
      <c r="F36" s="130">
        <v>0</v>
      </c>
      <c r="G36" s="130">
        <v>0</v>
      </c>
      <c r="H36" s="130">
        <f t="shared" si="0"/>
        <v>0.03</v>
      </c>
      <c r="I36" s="134">
        <f t="shared" si="1"/>
        <v>0.03</v>
      </c>
    </row>
    <row r="37" spans="1:9">
      <c r="A37" t="s">
        <v>271</v>
      </c>
      <c r="B37" s="109">
        <v>0.19</v>
      </c>
      <c r="C37" s="109">
        <v>0</v>
      </c>
      <c r="D37" s="109">
        <v>0.01</v>
      </c>
      <c r="E37" s="109">
        <v>3.01</v>
      </c>
      <c r="F37" s="109">
        <v>0.37</v>
      </c>
      <c r="G37" s="109">
        <v>0</v>
      </c>
      <c r="H37" s="109">
        <f t="shared" si="0"/>
        <v>3.58</v>
      </c>
      <c r="I37" s="134">
        <f t="shared" si="1"/>
        <v>3.57</v>
      </c>
    </row>
    <row r="38" spans="1:9">
      <c r="A38" s="129" t="s">
        <v>272</v>
      </c>
      <c r="B38" s="130">
        <v>3.99</v>
      </c>
      <c r="C38" s="130">
        <v>0</v>
      </c>
      <c r="D38" s="130">
        <v>0.13</v>
      </c>
      <c r="E38" s="130">
        <v>51.49</v>
      </c>
      <c r="F38" s="130">
        <v>0</v>
      </c>
      <c r="G38" s="130">
        <v>0</v>
      </c>
      <c r="H38" s="130">
        <f t="shared" si="0"/>
        <v>55.61</v>
      </c>
      <c r="I38" s="134">
        <f t="shared" si="1"/>
        <v>55.480000000000004</v>
      </c>
    </row>
    <row r="39" spans="1:9">
      <c r="A39" t="s">
        <v>273</v>
      </c>
      <c r="B39" s="109">
        <v>0.68</v>
      </c>
      <c r="C39" s="109">
        <v>0.54</v>
      </c>
      <c r="D39" s="109">
        <v>0.02</v>
      </c>
      <c r="E39" s="109">
        <v>6.72</v>
      </c>
      <c r="F39" s="109">
        <v>0</v>
      </c>
      <c r="G39" s="109">
        <v>0</v>
      </c>
      <c r="H39" s="109">
        <f t="shared" si="0"/>
        <v>7.96</v>
      </c>
      <c r="I39" s="134">
        <f t="shared" si="1"/>
        <v>7.9399999999999995</v>
      </c>
    </row>
    <row r="40" spans="1:9">
      <c r="A40" s="129" t="s">
        <v>274</v>
      </c>
      <c r="B40" s="130">
        <v>25</v>
      </c>
      <c r="C40" s="130">
        <v>11.22</v>
      </c>
      <c r="D40" s="130">
        <v>0.79</v>
      </c>
      <c r="E40" s="130">
        <v>381.28</v>
      </c>
      <c r="F40" s="130">
        <v>0</v>
      </c>
      <c r="G40" s="130">
        <v>0</v>
      </c>
      <c r="H40" s="130">
        <f t="shared" si="0"/>
        <v>418.28999999999996</v>
      </c>
      <c r="I40" s="134">
        <f t="shared" si="1"/>
        <v>417.5</v>
      </c>
    </row>
    <row r="41" spans="1:9">
      <c r="A41" s="114" t="s">
        <v>189</v>
      </c>
      <c r="B41" s="127">
        <f t="shared" ref="B41:G41" si="2">SUM(B25:B40)</f>
        <v>125.2</v>
      </c>
      <c r="C41" s="127">
        <f t="shared" si="2"/>
        <v>31.009999999999998</v>
      </c>
      <c r="D41" s="115">
        <f t="shared" si="2"/>
        <v>3.9999999999999996</v>
      </c>
      <c r="E41" s="115">
        <f t="shared" si="2"/>
        <v>1997.9999999999998</v>
      </c>
      <c r="F41" s="115">
        <f t="shared" si="2"/>
        <v>124.01000000000002</v>
      </c>
      <c r="G41" s="115">
        <f t="shared" si="2"/>
        <v>49</v>
      </c>
      <c r="H41" s="127"/>
      <c r="I41" s="135"/>
    </row>
  </sheetData>
  <mergeCells count="5">
    <mergeCell ref="A1:C1"/>
    <mergeCell ref="B18:E18"/>
    <mergeCell ref="A10:E10"/>
    <mergeCell ref="E8:G8"/>
    <mergeCell ref="F18:H18"/>
  </mergeCells>
  <pageMargins left="0.7" right="0.7" top="0.75" bottom="0.75" header="0.3" footer="0.3"/>
  <pageSetup scale="70"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M64"/>
  <sheetViews>
    <sheetView topLeftCell="D43" zoomScale="120" zoomScaleNormal="120" workbookViewId="0">
      <selection activeCell="I57" sqref="I57"/>
    </sheetView>
  </sheetViews>
  <sheetFormatPr defaultRowHeight="15"/>
  <cols>
    <col min="1" max="1" width="4" customWidth="1"/>
    <col min="2" max="2" width="74" bestFit="1" customWidth="1"/>
    <col min="3" max="3" width="19.7109375" bestFit="1" customWidth="1"/>
    <col min="4" max="4" width="18" bestFit="1" customWidth="1"/>
    <col min="5" max="5" width="17" customWidth="1"/>
    <col min="6" max="6" width="15.42578125" customWidth="1"/>
    <col min="7" max="7" width="16.140625" customWidth="1"/>
    <col min="8" max="8" width="17" customWidth="1"/>
    <col min="9" max="9" width="15.28515625" customWidth="1"/>
    <col min="10" max="10" width="10.7109375" customWidth="1"/>
    <col min="11" max="11" width="10.140625" customWidth="1"/>
  </cols>
  <sheetData>
    <row r="1" spans="2:11">
      <c r="C1" s="536" t="s">
        <v>301</v>
      </c>
      <c r="D1" s="536"/>
    </row>
    <row r="2" spans="2:11">
      <c r="B2" s="154" t="s">
        <v>290</v>
      </c>
      <c r="C2" s="155" t="s">
        <v>295</v>
      </c>
      <c r="D2" s="156" t="s">
        <v>294</v>
      </c>
      <c r="E2" s="210" t="s">
        <v>322</v>
      </c>
      <c r="F2" s="157" t="s">
        <v>302</v>
      </c>
      <c r="G2" s="157" t="s">
        <v>291</v>
      </c>
    </row>
    <row r="3" spans="2:11">
      <c r="C3" s="109"/>
      <c r="E3" t="s">
        <v>304</v>
      </c>
    </row>
    <row r="4" spans="2:11" s="128" customFormat="1" ht="6" customHeight="1" thickBot="1">
      <c r="B4" s="166"/>
      <c r="C4" s="158"/>
      <c r="D4" s="158"/>
      <c r="E4" s="167"/>
      <c r="F4" s="168"/>
    </row>
    <row r="5" spans="2:11">
      <c r="B5" s="161" t="s">
        <v>296</v>
      </c>
      <c r="C5" s="162">
        <f>(15.1*1.017)*H18</f>
        <v>19.349441999999996</v>
      </c>
      <c r="D5" s="170"/>
      <c r="E5" s="159"/>
      <c r="F5" s="163">
        <v>42491</v>
      </c>
      <c r="G5" s="152" t="s">
        <v>309</v>
      </c>
    </row>
    <row r="6" spans="2:11" ht="15.75" thickBot="1">
      <c r="B6" s="164" t="s">
        <v>292</v>
      </c>
      <c r="C6" s="165"/>
      <c r="D6" s="171">
        <v>20.27</v>
      </c>
      <c r="E6" s="212">
        <f>(D6-C5)/C5</f>
        <v>4.7575428790143072E-2</v>
      </c>
      <c r="F6" s="163">
        <v>42856</v>
      </c>
      <c r="G6" s="152" t="s">
        <v>303</v>
      </c>
    </row>
    <row r="7" spans="2:11" s="128" customFormat="1" ht="15.75" thickBot="1">
      <c r="B7" s="160"/>
      <c r="C7" s="159"/>
      <c r="D7" s="159"/>
      <c r="E7" s="159"/>
      <c r="F7" s="169"/>
      <c r="G7" s="168"/>
    </row>
    <row r="8" spans="2:11">
      <c r="B8" s="161" t="s">
        <v>297</v>
      </c>
      <c r="C8" s="162">
        <f>(20.8*1.017)*H18</f>
        <v>26.653535999999995</v>
      </c>
      <c r="D8" s="170"/>
      <c r="E8" s="159"/>
      <c r="F8" s="163">
        <v>42491</v>
      </c>
      <c r="G8" s="152" t="s">
        <v>309</v>
      </c>
    </row>
    <row r="9" spans="2:11" ht="15.75" thickBot="1">
      <c r="B9" s="164" t="s">
        <v>293</v>
      </c>
      <c r="C9" s="165"/>
      <c r="D9" s="171">
        <v>28.93</v>
      </c>
      <c r="E9" s="212">
        <f>(D9-C8)/C8</f>
        <v>8.540945561594547E-2</v>
      </c>
      <c r="F9" s="163">
        <v>42856</v>
      </c>
      <c r="G9" s="152" t="s">
        <v>303</v>
      </c>
    </row>
    <row r="10" spans="2:11">
      <c r="C10" s="109"/>
      <c r="D10" s="109"/>
    </row>
    <row r="11" spans="2:11">
      <c r="C11" s="210" t="s">
        <v>336</v>
      </c>
      <c r="D11" s="210"/>
      <c r="E11" s="210"/>
      <c r="F11" s="210"/>
    </row>
    <row r="12" spans="2:11" ht="15.75" thickBot="1">
      <c r="C12" s="172"/>
      <c r="D12" s="172"/>
      <c r="E12" s="172"/>
      <c r="F12" s="172"/>
    </row>
    <row r="13" spans="2:11">
      <c r="B13" s="161" t="s">
        <v>381</v>
      </c>
      <c r="C13" s="250">
        <f>11*H18</f>
        <v>13.86</v>
      </c>
      <c r="D13" s="251"/>
      <c r="E13" s="252"/>
      <c r="F13" s="172"/>
    </row>
    <row r="14" spans="2:11" ht="15.75" thickBot="1">
      <c r="B14" s="164" t="s">
        <v>382</v>
      </c>
      <c r="C14" s="253"/>
      <c r="D14" s="254">
        <v>10.85</v>
      </c>
      <c r="E14" s="255" t="s">
        <v>383</v>
      </c>
      <c r="F14" s="172"/>
    </row>
    <row r="15" spans="2:11" ht="15.75" thickBot="1">
      <c r="C15" s="172"/>
      <c r="D15" s="172"/>
      <c r="E15" s="172"/>
      <c r="F15" s="172"/>
      <c r="J15" s="288">
        <v>1.2609999999999999</v>
      </c>
      <c r="K15" t="s">
        <v>417</v>
      </c>
    </row>
    <row r="16" spans="2:11" ht="15.75" thickBot="1">
      <c r="J16">
        <v>1.236</v>
      </c>
      <c r="K16" t="s">
        <v>416</v>
      </c>
    </row>
    <row r="17" spans="2:12" ht="15.75" thickBot="1">
      <c r="H17" s="174" t="s">
        <v>298</v>
      </c>
      <c r="I17" s="185"/>
      <c r="J17">
        <v>1.286</v>
      </c>
      <c r="K17" t="s">
        <v>413</v>
      </c>
    </row>
    <row r="18" spans="2:12" ht="15.75" thickBot="1">
      <c r="H18" s="153">
        <v>1.26</v>
      </c>
      <c r="I18" s="186" t="s">
        <v>299</v>
      </c>
      <c r="J18">
        <v>1.282</v>
      </c>
      <c r="K18" t="s">
        <v>412</v>
      </c>
    </row>
    <row r="19" spans="2:12">
      <c r="C19" s="536" t="s">
        <v>308</v>
      </c>
      <c r="D19" s="536"/>
      <c r="H19" s="152" t="s">
        <v>300</v>
      </c>
    </row>
    <row r="20" spans="2:12">
      <c r="B20" s="154" t="s">
        <v>305</v>
      </c>
      <c r="C20" s="155" t="s">
        <v>295</v>
      </c>
      <c r="D20" s="156" t="s">
        <v>294</v>
      </c>
    </row>
    <row r="21" spans="2:12" ht="15.75" thickBot="1">
      <c r="B21" s="172"/>
      <c r="C21" s="172" t="s">
        <v>310</v>
      </c>
      <c r="D21" s="173">
        <v>42972</v>
      </c>
      <c r="E21" s="211" t="s">
        <v>321</v>
      </c>
    </row>
    <row r="22" spans="2:12">
      <c r="B22" s="174" t="s">
        <v>306</v>
      </c>
      <c r="C22" s="176">
        <f>(2.342*0.264172)*H18</f>
        <v>0.77955043824000014</v>
      </c>
      <c r="D22" s="178">
        <f>((105.9+108.1)/2)/100</f>
        <v>1.07</v>
      </c>
      <c r="E22" s="187">
        <f>(D22-C22)/C22</f>
        <v>0.37258597713799146</v>
      </c>
      <c r="F22" s="152" t="s">
        <v>311</v>
      </c>
    </row>
    <row r="23" spans="2:12" ht="15.75" thickBot="1">
      <c r="B23" s="175" t="s">
        <v>307</v>
      </c>
      <c r="C23" s="177">
        <f>(2.546*0.264172)*H18</f>
        <v>0.84745320912</v>
      </c>
      <c r="D23" s="179">
        <f>((97.2+99.4)/2)/100</f>
        <v>0.9830000000000001</v>
      </c>
      <c r="E23" s="187">
        <f>(D23-C23)/C23</f>
        <v>0.15994604707527466</v>
      </c>
      <c r="F23" s="152" t="s">
        <v>312</v>
      </c>
    </row>
    <row r="24" spans="2:12">
      <c r="B24" s="113"/>
      <c r="C24" s="213"/>
      <c r="D24" s="160"/>
      <c r="E24" s="214"/>
      <c r="F24" s="152"/>
    </row>
    <row r="25" spans="2:12">
      <c r="B25" s="113"/>
      <c r="C25" s="215" t="s">
        <v>337</v>
      </c>
      <c r="D25" s="216"/>
      <c r="E25" s="187"/>
      <c r="F25" s="152"/>
    </row>
    <row r="26" spans="2:12">
      <c r="B26" s="113"/>
      <c r="C26" s="213"/>
      <c r="D26" s="160"/>
      <c r="E26" s="214"/>
      <c r="F26" s="152"/>
    </row>
    <row r="27" spans="2:12">
      <c r="B27" s="113"/>
      <c r="C27" s="213"/>
      <c r="D27" s="160"/>
      <c r="E27" s="214"/>
      <c r="F27" s="152"/>
    </row>
    <row r="28" spans="2:12">
      <c r="B28" s="113"/>
      <c r="C28" s="213"/>
      <c r="D28" s="160"/>
      <c r="E28" s="214"/>
      <c r="F28" s="152"/>
    </row>
    <row r="30" spans="2:12" ht="15.75" thickBot="1">
      <c r="D30" s="181" t="s">
        <v>313</v>
      </c>
      <c r="E30" s="181" t="s">
        <v>407</v>
      </c>
      <c r="I30" s="128"/>
    </row>
    <row r="31" spans="2:12">
      <c r="B31" s="265" t="s">
        <v>403</v>
      </c>
      <c r="C31" s="266"/>
      <c r="D31" s="267" t="s">
        <v>295</v>
      </c>
      <c r="E31" s="268" t="s">
        <v>294</v>
      </c>
      <c r="F31" s="539" t="s">
        <v>403</v>
      </c>
      <c r="G31" s="539"/>
      <c r="H31" s="539"/>
      <c r="I31" s="189" t="s">
        <v>411</v>
      </c>
      <c r="J31" s="280">
        <f>E33/D33</f>
        <v>0.443283004258614</v>
      </c>
      <c r="L31" s="112">
        <f>(D33-E33)/E33</f>
        <v>1.2558951965065501</v>
      </c>
    </row>
    <row r="32" spans="2:12">
      <c r="B32" s="269"/>
      <c r="C32" s="160"/>
      <c r="D32" s="270"/>
      <c r="E32" s="271"/>
      <c r="F32" s="272"/>
      <c r="G32" s="272"/>
      <c r="H32" s="272"/>
      <c r="I32" s="113"/>
      <c r="J32" s="196"/>
    </row>
    <row r="33" spans="1:13" ht="15.75" thickBot="1">
      <c r="A33" s="128"/>
      <c r="B33" s="273" t="s">
        <v>404</v>
      </c>
      <c r="C33" s="274" t="s">
        <v>410</v>
      </c>
      <c r="D33" s="275">
        <f>410000*H18</f>
        <v>516600</v>
      </c>
      <c r="E33" s="275">
        <v>229000</v>
      </c>
      <c r="F33" s="275" t="s">
        <v>409</v>
      </c>
      <c r="G33" s="276" t="s">
        <v>408</v>
      </c>
      <c r="H33" s="276"/>
      <c r="I33" s="274"/>
      <c r="J33" s="277"/>
    </row>
    <row r="34" spans="1:13">
      <c r="B34" s="263"/>
      <c r="D34" s="180"/>
      <c r="E34" s="180">
        <v>465219</v>
      </c>
      <c r="F34" t="s">
        <v>398</v>
      </c>
      <c r="G34" s="152" t="s">
        <v>400</v>
      </c>
      <c r="J34" s="180"/>
    </row>
    <row r="35" spans="1:13" ht="15.75" thickBot="1">
      <c r="B35" s="262"/>
      <c r="D35" s="180"/>
      <c r="E35" s="180">
        <v>522083</v>
      </c>
      <c r="F35" t="s">
        <v>399</v>
      </c>
      <c r="G35" s="152" t="s">
        <v>400</v>
      </c>
      <c r="J35" s="180"/>
      <c r="M35" s="152"/>
    </row>
    <row r="36" spans="1:13" ht="15.75" thickBot="1">
      <c r="B36" s="152" t="s">
        <v>405</v>
      </c>
      <c r="C36" t="s">
        <v>406</v>
      </c>
      <c r="D36" s="264">
        <f>335000*H18</f>
        <v>422100</v>
      </c>
      <c r="E36" s="180">
        <v>306944</v>
      </c>
      <c r="F36" t="s">
        <v>401</v>
      </c>
      <c r="G36" s="152" t="s">
        <v>402</v>
      </c>
      <c r="J36" s="180"/>
    </row>
    <row r="37" spans="1:13">
      <c r="C37" s="180"/>
      <c r="H37" s="180"/>
    </row>
    <row r="38" spans="1:13">
      <c r="C38" s="180"/>
      <c r="H38" s="180"/>
    </row>
    <row r="39" spans="1:13">
      <c r="C39" s="180"/>
      <c r="H39" s="180"/>
    </row>
    <row r="40" spans="1:13">
      <c r="C40" s="180"/>
      <c r="H40" s="180"/>
    </row>
    <row r="41" spans="1:13">
      <c r="C41" s="180"/>
      <c r="H41" s="180"/>
    </row>
    <row r="42" spans="1:13">
      <c r="C42" s="180"/>
      <c r="H42" s="180"/>
    </row>
    <row r="43" spans="1:13">
      <c r="C43" s="180"/>
      <c r="H43" s="180"/>
    </row>
    <row r="44" spans="1:13">
      <c r="H44" s="180"/>
    </row>
    <row r="45" spans="1:13">
      <c r="H45" s="180"/>
    </row>
    <row r="46" spans="1:13" ht="15.75" thickBot="1">
      <c r="H46" s="180"/>
    </row>
    <row r="47" spans="1:13">
      <c r="B47" s="537" t="s">
        <v>275</v>
      </c>
      <c r="C47" s="538"/>
      <c r="D47" s="538"/>
      <c r="E47" s="538"/>
      <c r="F47" s="538"/>
      <c r="G47" s="189"/>
      <c r="H47" s="189"/>
      <c r="I47" s="189"/>
      <c r="J47" s="189"/>
      <c r="K47" s="189"/>
      <c r="L47" s="185"/>
    </row>
    <row r="48" spans="1:13">
      <c r="B48" s="190" t="s">
        <v>318</v>
      </c>
      <c r="C48" s="182" t="s">
        <v>319</v>
      </c>
      <c r="D48" s="182" t="s">
        <v>314</v>
      </c>
      <c r="E48" s="183" t="s">
        <v>316</v>
      </c>
      <c r="F48" s="184" t="s">
        <v>320</v>
      </c>
      <c r="G48" s="183" t="s">
        <v>317</v>
      </c>
      <c r="H48" s="183" t="s">
        <v>315</v>
      </c>
      <c r="I48" s="113"/>
      <c r="J48" s="188" t="s">
        <v>330</v>
      </c>
      <c r="K48" s="188" t="s">
        <v>331</v>
      </c>
      <c r="L48" s="191" t="s">
        <v>332</v>
      </c>
    </row>
    <row r="49" spans="2:12">
      <c r="B49" s="192" t="s">
        <v>326</v>
      </c>
      <c r="C49" s="193">
        <v>3232</v>
      </c>
      <c r="D49" s="193">
        <v>2389</v>
      </c>
      <c r="E49" s="193">
        <v>2850</v>
      </c>
      <c r="F49" s="194">
        <v>3568</v>
      </c>
      <c r="G49" s="194">
        <v>2982</v>
      </c>
      <c r="H49" s="194">
        <v>3430</v>
      </c>
      <c r="I49" s="113"/>
      <c r="J49" s="195">
        <f>SUM(C49:E49)</f>
        <v>8471</v>
      </c>
      <c r="K49" s="195">
        <f>SUM(F49:H49)</f>
        <v>9980</v>
      </c>
      <c r="L49" s="196"/>
    </row>
    <row r="50" spans="2:12" ht="16.5" customHeight="1">
      <c r="B50" s="192" t="s">
        <v>327</v>
      </c>
      <c r="C50" s="193">
        <v>593</v>
      </c>
      <c r="D50" s="193">
        <v>844</v>
      </c>
      <c r="E50" s="193">
        <v>829</v>
      </c>
      <c r="F50" s="194">
        <v>355</v>
      </c>
      <c r="G50" s="194">
        <v>245</v>
      </c>
      <c r="H50" s="194">
        <v>389</v>
      </c>
      <c r="I50" s="113"/>
      <c r="J50" s="195">
        <f>SUM(C50:E50)</f>
        <v>2266</v>
      </c>
      <c r="K50" s="195">
        <f>SUM(F50:H50)</f>
        <v>989</v>
      </c>
      <c r="L50" s="196"/>
    </row>
    <row r="51" spans="2:12" ht="3.75" customHeight="1">
      <c r="B51" s="192"/>
      <c r="C51" s="197"/>
      <c r="D51" s="197"/>
      <c r="E51" s="197"/>
      <c r="F51" s="197"/>
      <c r="G51" s="197"/>
      <c r="H51" s="197"/>
      <c r="I51" s="113"/>
      <c r="J51" s="113"/>
      <c r="K51" s="113"/>
      <c r="L51" s="196"/>
    </row>
    <row r="52" spans="2:12">
      <c r="B52" s="192" t="s">
        <v>328</v>
      </c>
      <c r="C52" s="198">
        <v>7201</v>
      </c>
      <c r="D52" s="198">
        <v>5553</v>
      </c>
      <c r="E52" s="198">
        <v>6424</v>
      </c>
      <c r="F52" s="199">
        <v>7960</v>
      </c>
      <c r="G52" s="199">
        <v>6931</v>
      </c>
      <c r="H52" s="199">
        <v>7665</v>
      </c>
      <c r="I52" s="113"/>
      <c r="J52" s="200">
        <f>SUM(J49:J51)</f>
        <v>10737</v>
      </c>
      <c r="K52" s="200">
        <f>SUM(K49:K51)</f>
        <v>10969</v>
      </c>
      <c r="L52" s="201">
        <f>(K52-J52)/J52</f>
        <v>2.1607525379528734E-2</v>
      </c>
    </row>
    <row r="53" spans="2:12">
      <c r="B53" s="192" t="s">
        <v>329</v>
      </c>
      <c r="C53" s="198">
        <v>588</v>
      </c>
      <c r="D53" s="198">
        <v>904</v>
      </c>
      <c r="E53" s="198">
        <v>924</v>
      </c>
      <c r="F53" s="199">
        <v>281</v>
      </c>
      <c r="G53" s="199">
        <v>144</v>
      </c>
      <c r="H53" s="199">
        <v>328</v>
      </c>
      <c r="I53" s="113"/>
      <c r="J53" s="113"/>
      <c r="K53" s="113"/>
      <c r="L53" s="196"/>
    </row>
    <row r="54" spans="2:12" ht="5.25" customHeight="1">
      <c r="B54" s="202"/>
      <c r="C54" s="197"/>
      <c r="D54" s="113"/>
      <c r="E54" s="113"/>
      <c r="F54" s="113"/>
      <c r="G54" s="113"/>
      <c r="H54" s="113"/>
      <c r="I54" s="113"/>
      <c r="J54" s="113"/>
      <c r="K54" s="113"/>
      <c r="L54" s="196"/>
    </row>
    <row r="55" spans="2:12">
      <c r="B55" s="202" t="s">
        <v>323</v>
      </c>
      <c r="C55" s="197"/>
      <c r="D55" s="203">
        <f>(C49+D49+E49)/3</f>
        <v>2823.6666666666665</v>
      </c>
      <c r="E55" s="204"/>
      <c r="F55" s="204"/>
      <c r="G55" s="205">
        <f>(F49+G49+H49)/3</f>
        <v>3326.6666666666665</v>
      </c>
      <c r="H55" s="113"/>
      <c r="I55" s="200">
        <f>G55-D55</f>
        <v>503</v>
      </c>
      <c r="J55" s="113"/>
      <c r="K55" s="113"/>
      <c r="L55" s="196"/>
    </row>
    <row r="56" spans="2:12">
      <c r="B56" s="202" t="s">
        <v>324</v>
      </c>
      <c r="C56" s="204"/>
      <c r="D56" s="203">
        <f>(C50+D50+E50)/3</f>
        <v>755.33333333333337</v>
      </c>
      <c r="E56" s="204"/>
      <c r="F56" s="204"/>
      <c r="G56" s="205">
        <f>(F50+G50+H50)/3</f>
        <v>329.66666666666669</v>
      </c>
      <c r="H56" s="113"/>
      <c r="I56" s="195">
        <f>D56-G56</f>
        <v>425.66666666666669</v>
      </c>
      <c r="J56" s="113"/>
      <c r="K56" s="113"/>
      <c r="L56" s="196"/>
    </row>
    <row r="57" spans="2:12">
      <c r="B57" s="202"/>
      <c r="C57" s="204"/>
      <c r="D57" s="204"/>
      <c r="E57" s="204"/>
      <c r="F57" s="204"/>
      <c r="G57" s="204"/>
      <c r="H57" s="113"/>
      <c r="I57" s="113"/>
      <c r="J57" s="113"/>
      <c r="K57" s="113"/>
      <c r="L57" s="196"/>
    </row>
    <row r="58" spans="2:12">
      <c r="B58" s="202" t="s">
        <v>325</v>
      </c>
      <c r="C58" s="204"/>
      <c r="D58" s="203">
        <f>SUM(D55:D57)</f>
        <v>3579</v>
      </c>
      <c r="E58" s="204"/>
      <c r="F58" s="204"/>
      <c r="G58" s="205">
        <f>SUM(G55:G57)</f>
        <v>3656.333333333333</v>
      </c>
      <c r="H58" s="113"/>
      <c r="I58" s="113"/>
      <c r="J58" s="113"/>
      <c r="K58" s="113"/>
      <c r="L58" s="201">
        <f>(G58-D58)/D58</f>
        <v>2.1607525379528647E-2</v>
      </c>
    </row>
    <row r="59" spans="2:12">
      <c r="B59" s="202"/>
      <c r="C59" s="204"/>
      <c r="D59" s="113"/>
      <c r="E59" s="113"/>
      <c r="F59" s="113"/>
      <c r="G59" s="113"/>
      <c r="H59" s="113"/>
      <c r="I59" s="113"/>
      <c r="J59" s="113"/>
      <c r="K59" s="113"/>
      <c r="L59" s="196"/>
    </row>
    <row r="60" spans="2:12">
      <c r="B60" s="206"/>
      <c r="C60" s="217" t="s">
        <v>335</v>
      </c>
      <c r="D60" s="216"/>
      <c r="E60" s="216"/>
      <c r="F60" s="216"/>
      <c r="J60" s="113"/>
      <c r="K60" s="113"/>
      <c r="L60" s="196"/>
    </row>
    <row r="61" spans="2:12">
      <c r="B61" s="207" t="s">
        <v>333</v>
      </c>
      <c r="C61" s="195"/>
      <c r="D61" s="204"/>
      <c r="E61" s="208"/>
      <c r="F61" s="204"/>
      <c r="G61" s="204"/>
      <c r="H61" s="204"/>
      <c r="I61" s="113"/>
      <c r="J61" s="113"/>
      <c r="K61" s="113"/>
      <c r="L61" s="196"/>
    </row>
    <row r="62" spans="2:12">
      <c r="B62" s="206" t="s">
        <v>334</v>
      </c>
      <c r="C62" s="113"/>
      <c r="D62" s="113"/>
      <c r="E62" s="113"/>
      <c r="F62" s="113"/>
      <c r="G62" s="113"/>
      <c r="H62" s="113"/>
      <c r="I62" s="113"/>
      <c r="J62" s="113"/>
      <c r="K62" s="113"/>
      <c r="L62" s="196"/>
    </row>
    <row r="63" spans="2:12">
      <c r="B63" s="202" t="s">
        <v>338</v>
      </c>
      <c r="C63" s="113"/>
      <c r="D63" s="113"/>
      <c r="E63" s="113"/>
      <c r="F63" s="113"/>
      <c r="G63" s="113"/>
      <c r="H63" s="113"/>
      <c r="I63" s="113"/>
      <c r="J63" s="113"/>
      <c r="K63" s="113"/>
      <c r="L63" s="196"/>
    </row>
    <row r="64" spans="2:12" ht="15.75" thickBot="1">
      <c r="B64" s="175"/>
      <c r="C64" s="209"/>
      <c r="D64" s="209"/>
      <c r="E64" s="209"/>
      <c r="F64" s="209"/>
      <c r="G64" s="209"/>
      <c r="H64" s="209"/>
      <c r="I64" s="209"/>
      <c r="J64" s="209"/>
      <c r="K64" s="209"/>
      <c r="L64" s="186"/>
    </row>
  </sheetData>
  <mergeCells count="4">
    <mergeCell ref="C1:D1"/>
    <mergeCell ref="C19:D19"/>
    <mergeCell ref="B47:F47"/>
    <mergeCell ref="F31:H31"/>
  </mergeCells>
  <hyperlinks>
    <hyperlink ref="H19" display="https://www.google.com/search?q=exchange+rate+US+to+CAn&amp;rlz=1C1GGRV_enUS757US757&amp;oq=exchange+rate+US+to+CAn&amp;aqs=chrome..69i57j0l5.7647j0j8&amp;sourceid=chrome&amp;ie=UTF-8"/>
    <hyperlink ref="G9" display="http://www5.statcan.gc.ca/cansim/a26?lang=eng&amp;retrLang=eng&amp;id=2820151&amp;&amp;pattern=&amp;stByVal=1&amp;p1=1&amp;p2=37&amp;tabMode=dataTable&amp;csid="/>
    <hyperlink ref="G6" display="http://www5.statcan.gc.ca/cansim/a26?lang=eng&amp;retrLang=eng&amp;id=2820151&amp;&amp;pattern=&amp;stByVal=1&amp;p1=1&amp;p2=37&amp;tabMode=dataTable&amp;csid="/>
    <hyperlink ref="G5" display="https://www.bls.gov/OES/current/oes_ma.htm#49-0000"/>
    <hyperlink ref="G8" display="https://www.bls.gov/OES/current/oes_ma.htm#49-0000"/>
    <hyperlink ref="F22" display="http://www.mass.gov/eea/energy-utilities-clean-tech/home-auto-fuel-price-info/gasoline-and-diesel-fuel-prices.html"/>
    <hyperlink ref="F23" display="https://nsuarb.novascotia.ca/mandates/gasoline-diesel-pricing/gasoline-prices-zone-map"/>
    <hyperlink ref="G33" display="http://creastats.crea.ca/nsar/mls05_median.html"/>
    <hyperlink ref="G34" display="https://www03.cmhc-schl.gc.ca/hmiportal/en/#Profile/12/2/Nova%20Scotia"/>
    <hyperlink ref="G35" display="https://www03.cmhc-schl.gc.ca/hmiportal/en/#Profile/12/2/Nova%20Scotia"/>
    <hyperlink ref="G36" display="https://docs.rlpnetwork.com/rlp.ca/hps/HPS_Q1_2017_Price_Composite_EN.pdf"/>
    <hyperlink ref="B36" display="Average Home Prices and Value in Massachusetts"/>
    <hyperlink ref="B33" display="June 2017 Median Price"/>
  </hyperlink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BD239"/>
  <sheetViews>
    <sheetView workbookViewId="0">
      <selection sqref="A1:E1"/>
    </sheetView>
  </sheetViews>
  <sheetFormatPr defaultColWidth="9.140625" defaultRowHeight="15"/>
  <cols>
    <col min="1" max="1" width="111" style="128" customWidth="1"/>
    <col min="2" max="2" width="9.140625" style="128"/>
    <col min="3" max="3" width="15.28515625" style="128" customWidth="1"/>
    <col min="4" max="4" width="16.28515625" style="128" customWidth="1"/>
    <col min="5" max="5" width="16.28515625" style="334" customWidth="1"/>
    <col min="6" max="54" width="9.140625" style="128"/>
    <col min="55" max="55" width="21.28515625" style="128" bestFit="1" customWidth="1"/>
    <col min="56" max="16384" width="9.140625" style="128"/>
  </cols>
  <sheetData>
    <row r="2" spans="1:56">
      <c r="A2" s="339" t="str">
        <f>'Measure Tables'!A281</f>
        <v>New Residential; Solar DHW; RES-Water Heat; RES-NC</v>
      </c>
      <c r="B2" s="340">
        <f>'Measure Tables'!P281</f>
        <v>0.28236775420255716</v>
      </c>
      <c r="C2" s="340">
        <f>'Measure Tables'!T281</f>
        <v>0.28236775420255716</v>
      </c>
      <c r="D2" s="341">
        <f>'Measure Tables'!U281</f>
        <v>0</v>
      </c>
      <c r="E2" s="334">
        <v>2</v>
      </c>
    </row>
    <row r="3" spans="1:56">
      <c r="A3" s="339" t="str">
        <f>'Measure Tables'!A258</f>
        <v>Existing Residential; Solar DHW; RES-Water Heat; RES-SF</v>
      </c>
      <c r="B3" s="340">
        <f>'Measure Tables'!P258</f>
        <v>0.28236775420255716</v>
      </c>
      <c r="C3" s="340">
        <f>'Measure Tables'!T258</f>
        <v>0.28877505701600492</v>
      </c>
      <c r="D3" s="341">
        <f>'Measure Tables'!U258</f>
        <v>2.269134034636074E-2</v>
      </c>
      <c r="E3" s="334">
        <v>3</v>
      </c>
      <c r="N3" s="128" t="s">
        <v>406</v>
      </c>
      <c r="O3" s="322">
        <f>AVERAGE(D2:D239)</f>
        <v>0.32897442028297574</v>
      </c>
      <c r="BC3" s="128" t="s">
        <v>441</v>
      </c>
    </row>
    <row r="4" spans="1:56">
      <c r="A4" s="339" t="str">
        <f>'Measure Tables'!A259</f>
        <v>Existing Residential; Solar Space and Water Heat (Supplement Electricity); RES-Package; RES-SF</v>
      </c>
      <c r="B4" s="340">
        <f>'Measure Tables'!P259</f>
        <v>0.36588995382318629</v>
      </c>
      <c r="C4" s="340">
        <f>'Measure Tables'!T259</f>
        <v>0.36588995382318629</v>
      </c>
      <c r="D4" s="341">
        <f>'Measure Tables'!U259</f>
        <v>0</v>
      </c>
      <c r="E4" s="334">
        <v>2</v>
      </c>
      <c r="N4" s="128" t="s">
        <v>407</v>
      </c>
      <c r="O4" s="322">
        <f>MEDIAN(D2:D239)</f>
        <v>0.19805663408741075</v>
      </c>
      <c r="V4" s="128" t="s">
        <v>438</v>
      </c>
      <c r="W4" s="128">
        <f>COUNTIF(D2:D239,0)</f>
        <v>82</v>
      </c>
      <c r="X4" s="128">
        <f>W4/SUM(W4:W5)</f>
        <v>0.34453781512605042</v>
      </c>
      <c r="BB4" s="128">
        <v>1</v>
      </c>
      <c r="BC4" s="128" t="str">
        <f>"&gt; -10% and &lt; 0%"</f>
        <v>&gt; -10% and &lt; 0%</v>
      </c>
      <c r="BD4" s="128">
        <f>COUNTIF($E$2:$E$239,BB4)</f>
        <v>1</v>
      </c>
    </row>
    <row r="5" spans="1:56">
      <c r="A5" s="339" t="str">
        <f>'Measure Tables'!A263</f>
        <v>Existing Residential; ENERGY STAR® Door; RES-HVAC/Shell; RES-SF</v>
      </c>
      <c r="B5" s="340">
        <f>'Measure Tables'!P263</f>
        <v>0.38804570379615538</v>
      </c>
      <c r="C5" s="340">
        <f>'Measure Tables'!T263</f>
        <v>0.38804570379615538</v>
      </c>
      <c r="D5" s="341">
        <f>'Measure Tables'!U263</f>
        <v>0</v>
      </c>
      <c r="E5" s="334">
        <v>2</v>
      </c>
      <c r="V5" s="128" t="s">
        <v>437</v>
      </c>
      <c r="W5" s="323">
        <f>COUNT(D2:D239)-W4</f>
        <v>156</v>
      </c>
      <c r="BB5" s="128">
        <v>2</v>
      </c>
      <c r="BC5" s="321" t="str">
        <f>"0%"</f>
        <v>0%</v>
      </c>
      <c r="BD5" s="128">
        <f t="shared" ref="BD5:BD15" si="0">COUNTIF($E$2:$E$239,BB5)</f>
        <v>82</v>
      </c>
    </row>
    <row r="6" spans="1:56">
      <c r="A6" s="339" t="str">
        <f>'Measure Tables'!A282</f>
        <v>New Residential; Solar Space and Water Heat (Supplement Electricity); RES-Package; RES-NC</v>
      </c>
      <c r="B6" s="340">
        <f>'Measure Tables'!P282</f>
        <v>0.39649176198217667</v>
      </c>
      <c r="C6" s="340">
        <f>'Measure Tables'!T282</f>
        <v>0.39649176198217667</v>
      </c>
      <c r="D6" s="341">
        <f>'Measure Tables'!U282</f>
        <v>0</v>
      </c>
      <c r="E6" s="334">
        <v>2</v>
      </c>
      <c r="BB6" s="128">
        <v>3</v>
      </c>
      <c r="BC6" s="128" t="str">
        <f>"&gt; 0% and 10%"</f>
        <v>&gt; 0% and 10%</v>
      </c>
      <c r="BD6" s="128">
        <f t="shared" si="0"/>
        <v>27</v>
      </c>
    </row>
    <row r="7" spans="1:56">
      <c r="A7" s="339" t="str">
        <f>'Measure Tables'!A60</f>
        <v>BNI - Efficient Product Rebates; Fluorescent T5 and HPT8 Fixtures (4 FT) lamps-Retrofit (dual baseline); COM-Lighting; Other Commercial</v>
      </c>
      <c r="B7" s="340">
        <f>'Measure Tables'!P60</f>
        <v>0.29924685062284234</v>
      </c>
      <c r="C7" s="340">
        <f>'Measure Tables'!T60</f>
        <v>0.41131919506371323</v>
      </c>
      <c r="D7" s="341">
        <f>'Measure Tables'!U60</f>
        <v>0.37451469984598762</v>
      </c>
      <c r="E7" s="334">
        <v>6</v>
      </c>
      <c r="BB7" s="128">
        <v>4</v>
      </c>
      <c r="BC7" s="128" t="str">
        <f>"&gt; 10% and 20%"</f>
        <v>&gt; 10% and 20%</v>
      </c>
      <c r="BD7" s="128">
        <f t="shared" si="0"/>
        <v>8</v>
      </c>
    </row>
    <row r="8" spans="1:56">
      <c r="A8" s="339" t="str">
        <f>'Measure Tables'!A283</f>
        <v>New Residential; Solar Space Heating (Displacing Electricity); RES-HVAC/Shell; RES-NC</v>
      </c>
      <c r="B8" s="340">
        <f>'Measure Tables'!P283</f>
        <v>0.51084913461693626</v>
      </c>
      <c r="C8" s="340">
        <f>'Measure Tables'!T283</f>
        <v>0.51084913461693626</v>
      </c>
      <c r="D8" s="341">
        <f>'Measure Tables'!U283</f>
        <v>0</v>
      </c>
      <c r="E8" s="334">
        <v>2</v>
      </c>
      <c r="BB8" s="128">
        <v>5</v>
      </c>
      <c r="BC8" s="128" t="str">
        <f>"&gt; 20% and 30%"</f>
        <v>&gt; 20% and 30%</v>
      </c>
      <c r="BD8" s="128">
        <f t="shared" si="0"/>
        <v>17</v>
      </c>
    </row>
    <row r="9" spans="1:56">
      <c r="A9" s="339" t="str">
        <f>'Measure Tables'!A262</f>
        <v>Existing Residential; ENERGY STAR® Windows (300 ft2) (Replace Double Pane); RES-HVAC/Shell; RES-SF</v>
      </c>
      <c r="B9" s="340">
        <f>'Measure Tables'!P262</f>
        <v>0.51321243703744746</v>
      </c>
      <c r="C9" s="340">
        <f>'Measure Tables'!T262</f>
        <v>0.53139019667298593</v>
      </c>
      <c r="D9" s="341">
        <f>'Measure Tables'!U262</f>
        <v>3.5419561810447898E-2</v>
      </c>
      <c r="E9" s="334">
        <v>3</v>
      </c>
      <c r="BB9" s="128">
        <v>6</v>
      </c>
      <c r="BC9" s="128" t="str">
        <f>"&gt; 30% and 40%"</f>
        <v>&gt; 30% and 40%</v>
      </c>
      <c r="BD9" s="128">
        <f t="shared" si="0"/>
        <v>64</v>
      </c>
    </row>
    <row r="10" spans="1:56">
      <c r="A10" s="339" t="str">
        <f>'Measure Tables'!A256</f>
        <v>Existing Residential; Ground Source Heat Pump; RES-HVAC/Shell; RES-SF</v>
      </c>
      <c r="B10" s="340">
        <f>'Measure Tables'!P256</f>
        <v>0.78691841864424383</v>
      </c>
      <c r="C10" s="340">
        <f>'Measure Tables'!T256</f>
        <v>0.81964834243440832</v>
      </c>
      <c r="D10" s="341">
        <f>'Measure Tables'!U256</f>
        <v>4.1592524732810048E-2</v>
      </c>
      <c r="E10" s="334">
        <v>3</v>
      </c>
      <c r="BB10" s="128">
        <v>7</v>
      </c>
      <c r="BC10" s="128" t="str">
        <f>"&gt; 40% and 50%"</f>
        <v>&gt; 40% and 50%</v>
      </c>
      <c r="BD10" s="128">
        <f t="shared" si="0"/>
        <v>8</v>
      </c>
    </row>
    <row r="11" spans="1:56">
      <c r="A11" s="339" t="str">
        <f>'Measure Tables'!A257</f>
        <v>Existing Residential; ENERGY STAR® Air Source Heat Pump; RES-HVAC/Shell; RES-SF</v>
      </c>
      <c r="B11" s="340">
        <f>'Measure Tables'!P257</f>
        <v>0.81466151962264588</v>
      </c>
      <c r="C11" s="340">
        <f>'Measure Tables'!T257</f>
        <v>0.8228030734329228</v>
      </c>
      <c r="D11" s="341">
        <f>'Measure Tables'!U257</f>
        <v>9.9937871302036227E-3</v>
      </c>
      <c r="E11" s="334">
        <v>3</v>
      </c>
      <c r="BB11" s="128">
        <v>8</v>
      </c>
      <c r="BC11" s="128" t="str">
        <f>"&gt; 50% and 60%"</f>
        <v>&gt; 50% and 60%</v>
      </c>
      <c r="BD11" s="128">
        <f t="shared" si="0"/>
        <v>3</v>
      </c>
    </row>
    <row r="12" spans="1:56">
      <c r="A12" s="339" t="str">
        <f>'Measure Tables'!A221</f>
        <v>Residential - Efficient Product Rebates; Indoor Motion Sensor; RES-Lighting; RES-SF</v>
      </c>
      <c r="B12" s="340">
        <f>'Measure Tables'!P221</f>
        <v>0.71977859346990913</v>
      </c>
      <c r="C12" s="340">
        <f>'Measure Tables'!T221</f>
        <v>0.8311118301893482</v>
      </c>
      <c r="D12" s="341">
        <f>'Measure Tables'!U221</f>
        <v>0.15467706004248297</v>
      </c>
      <c r="E12" s="334">
        <v>4</v>
      </c>
      <c r="BB12" s="128">
        <v>9</v>
      </c>
      <c r="BC12" s="128" t="str">
        <f>"&gt; 60% and 70%"</f>
        <v>&gt; 60% and 70%</v>
      </c>
      <c r="BD12" s="128">
        <f t="shared" si="0"/>
        <v>5</v>
      </c>
    </row>
    <row r="13" spans="1:56">
      <c r="A13" s="339" t="str">
        <f>'Measure Tables'!A217</f>
        <v>Residential - Efficient Product Rebates; Freezer Retirement; RES-Appliance; RES-SF</v>
      </c>
      <c r="B13" s="340">
        <f>'Measure Tables'!P217</f>
        <v>0.8563110356146606</v>
      </c>
      <c r="C13" s="340">
        <f>'Measure Tables'!T217</f>
        <v>0.85884423846320401</v>
      </c>
      <c r="D13" s="341">
        <f>'Measure Tables'!U217</f>
        <v>2.9582742054995001E-3</v>
      </c>
      <c r="E13" s="334">
        <v>3</v>
      </c>
      <c r="BB13" s="128">
        <v>10</v>
      </c>
      <c r="BC13" s="128" t="str">
        <f>"&gt; 100% and 120%"</f>
        <v>&gt; 100% and 120%</v>
      </c>
      <c r="BD13" s="128">
        <f t="shared" si="0"/>
        <v>17</v>
      </c>
    </row>
    <row r="14" spans="1:56">
      <c r="A14" s="339" t="str">
        <f>'Measure Tables'!A224</f>
        <v>Residential - Efficient Product Rebates; Smartstrip; RES-Plug Load; RES-SF</v>
      </c>
      <c r="B14" s="340">
        <f>'Measure Tables'!P224</f>
        <v>0.8992121039934502</v>
      </c>
      <c r="C14" s="340">
        <f>'Measure Tables'!T224</f>
        <v>0.8992121039934502</v>
      </c>
      <c r="D14" s="341">
        <f>'Measure Tables'!U224</f>
        <v>0</v>
      </c>
      <c r="E14" s="334">
        <v>2</v>
      </c>
      <c r="BB14" s="128">
        <v>11</v>
      </c>
      <c r="BC14" s="128" t="str">
        <f>"&gt; 175% and 225%"</f>
        <v>&gt; 175% and 225%</v>
      </c>
      <c r="BD14" s="128">
        <f t="shared" si="0"/>
        <v>2</v>
      </c>
    </row>
    <row r="15" spans="1:56">
      <c r="A15" s="339" t="str">
        <f>'Measure Tables'!A152</f>
        <v>BNI- Direct Installation; Night Covers for 3' Refrigerated Display Cases-BES; COM-Refrigeration; Retail</v>
      </c>
      <c r="B15" s="340">
        <f>'Measure Tables'!P152</f>
        <v>0.93550677935511495</v>
      </c>
      <c r="C15" s="340">
        <f>'Measure Tables'!T152</f>
        <v>0.93550677935511495</v>
      </c>
      <c r="D15" s="341">
        <f>'Measure Tables'!U152</f>
        <v>0</v>
      </c>
      <c r="E15" s="334">
        <v>2</v>
      </c>
      <c r="BB15" s="128">
        <v>12</v>
      </c>
      <c r="BC15" s="128" t="str">
        <f>"&gt; 275%"</f>
        <v>&gt; 275%</v>
      </c>
      <c r="BD15" s="128">
        <f t="shared" si="0"/>
        <v>4</v>
      </c>
    </row>
    <row r="16" spans="1:56">
      <c r="A16" s="339" t="str">
        <f>'Measure Tables'!A220</f>
        <v>Residential - Efficient Product Rebates; Hardwired Dimmer Switch; RES-Lighting; RES-SF</v>
      </c>
      <c r="B16" s="340">
        <f>'Measure Tables'!P220</f>
        <v>0.69987426308041001</v>
      </c>
      <c r="C16" s="340">
        <f>'Measure Tables'!T220</f>
        <v>0.99238228622399771</v>
      </c>
      <c r="D16" s="341">
        <f>'Measure Tables'!U220</f>
        <v>0.41794367727732951</v>
      </c>
      <c r="E16" s="334">
        <v>6</v>
      </c>
    </row>
    <row r="17" spans="1:5">
      <c r="A17" s="128" t="str">
        <f>'Measure Tables'!A141</f>
        <v>BNI - Efficient Product Rebates; Dairy Scroll Compressor; COM-Other; Other Commercial</v>
      </c>
      <c r="B17" s="320">
        <f>'Measure Tables'!P141</f>
        <v>1.0090673960203322</v>
      </c>
      <c r="C17" s="320">
        <f>'Measure Tables'!T141</f>
        <v>1.0090673960203322</v>
      </c>
      <c r="D17" s="322">
        <f>'Measure Tables'!U141</f>
        <v>0</v>
      </c>
      <c r="E17" s="334">
        <v>2</v>
      </c>
    </row>
    <row r="18" spans="1:5">
      <c r="A18" s="128" t="str">
        <f>'Measure Tables'!A121</f>
        <v>BNI - Efficient Product Rebates; Daylighting Controls; COM-Lighting; School</v>
      </c>
      <c r="B18" s="320">
        <f>'Measure Tables'!P121</f>
        <v>0.70787300999316372</v>
      </c>
      <c r="C18" s="320">
        <f>'Measure Tables'!T121</f>
        <v>1.0398407182099974</v>
      </c>
      <c r="D18" s="322">
        <f>'Measure Tables'!U121</f>
        <v>0.46896505945330452</v>
      </c>
      <c r="E18" s="334">
        <v>7</v>
      </c>
    </row>
    <row r="19" spans="1:5">
      <c r="A19" s="128" t="str">
        <f>'Measure Tables'!A265</f>
        <v>Existing Residential; ENERGY STAR® Refrigerator (Replacement); RES-Appliance; MURB</v>
      </c>
      <c r="B19" s="320">
        <f>'Measure Tables'!P265</f>
        <v>1.0253148455480356</v>
      </c>
      <c r="C19" s="320">
        <f>'Measure Tables'!T265</f>
        <v>1.0268125045877921</v>
      </c>
      <c r="D19" s="322">
        <f>'Measure Tables'!U265</f>
        <v>1.4606820980495011E-3</v>
      </c>
      <c r="E19" s="334">
        <v>3</v>
      </c>
    </row>
    <row r="20" spans="1:5">
      <c r="A20" s="128" t="str">
        <f>'Measure Tables'!A119</f>
        <v>BNI - Efficient Product Rebates; Daylighting Controls; COM-Lighting; Other Commercial</v>
      </c>
      <c r="B20" s="320">
        <f>'Measure Tables'!P119</f>
        <v>0.76159265709188106</v>
      </c>
      <c r="C20" s="320">
        <f>'Measure Tables'!T119</f>
        <v>1.0697781956475849</v>
      </c>
      <c r="D20" s="322">
        <f>'Measure Tables'!U119</f>
        <v>0.40465928299847476</v>
      </c>
      <c r="E20" s="334">
        <v>6</v>
      </c>
    </row>
    <row r="21" spans="1:5">
      <c r="A21" s="128" t="str">
        <f>'Measure Tables'!A120</f>
        <v>BNI - Efficient Product Rebates; Daylighting Controls; COM-Lighting; Retail</v>
      </c>
      <c r="B21" s="320">
        <f>'Measure Tables'!P120</f>
        <v>0.78073299849862121</v>
      </c>
      <c r="C21" s="320">
        <f>'Measure Tables'!T120</f>
        <v>1.0922420741480285</v>
      </c>
      <c r="D21" s="322">
        <f>'Measure Tables'!U120</f>
        <v>0.39899565696396971</v>
      </c>
      <c r="E21" s="334">
        <v>6</v>
      </c>
    </row>
    <row r="22" spans="1:5">
      <c r="A22" s="128" t="str">
        <f>'Measure Tables'!A118</f>
        <v>BNI - Efficient Product Rebates; Daylighting Controls; COM-Lighting; Office</v>
      </c>
      <c r="B22" s="320">
        <f>'Measure Tables'!P118</f>
        <v>0.80665609373588898</v>
      </c>
      <c r="C22" s="320">
        <f>'Measure Tables'!T118</f>
        <v>1.1357823833747653</v>
      </c>
      <c r="D22" s="322">
        <f>'Measure Tables'!U118</f>
        <v>0.40801314487638041</v>
      </c>
      <c r="E22" s="334">
        <v>6</v>
      </c>
    </row>
    <row r="23" spans="1:5">
      <c r="A23" s="128" t="str">
        <f>'Measure Tables'!A239</f>
        <v>Existing Residential; 12 W LED; RES-Lighting; MURB</v>
      </c>
      <c r="B23" s="320">
        <f>'Measure Tables'!P239</f>
        <v>0.9256999859395254</v>
      </c>
      <c r="C23" s="320">
        <f>'Measure Tables'!T239</f>
        <v>1.1413063638867298</v>
      </c>
      <c r="D23" s="322">
        <f>'Measure Tables'!U239</f>
        <v>0.23291172218002998</v>
      </c>
      <c r="E23" s="334">
        <v>5</v>
      </c>
    </row>
    <row r="24" spans="1:5">
      <c r="A24" s="128" t="str">
        <f>'Measure Tables'!A29</f>
        <v>BNI - Efficient Product Rebates; Night Covers for 3' Refrigerated Display Cases; COM-Refrigeration; Retail</v>
      </c>
      <c r="B24" s="320">
        <f>'Measure Tables'!P29</f>
        <v>1.1281328515982136</v>
      </c>
      <c r="C24" s="320">
        <f>'Measure Tables'!T29</f>
        <v>1.1281328515982136</v>
      </c>
      <c r="D24" s="322">
        <f>'Measure Tables'!U29</f>
        <v>0</v>
      </c>
      <c r="E24" s="334">
        <v>2</v>
      </c>
    </row>
    <row r="25" spans="1:5">
      <c r="A25" s="128" t="str">
        <f>'Measure Tables'!A151</f>
        <v>BNI- Direct Installation; Night Covers for 3' Refrigerated Display Cases-BES; COM-Refrigeration; Other Commercial</v>
      </c>
      <c r="B25" s="320">
        <f>'Measure Tables'!P151</f>
        <v>1.1347744094984293</v>
      </c>
      <c r="C25" s="320">
        <f>'Measure Tables'!T151</f>
        <v>1.1347744094984293</v>
      </c>
      <c r="D25" s="322">
        <f>'Measure Tables'!U151</f>
        <v>0</v>
      </c>
      <c r="E25" s="334">
        <v>2</v>
      </c>
    </row>
    <row r="26" spans="1:5">
      <c r="A26" s="128" t="str">
        <f>'Measure Tables'!A127</f>
        <v>BNI - Efficient Product Rebates; Variable Speed Drive Screw Compressors (10 - 40 hp); COM-Process; School</v>
      </c>
      <c r="B26" s="320">
        <f>'Measure Tables'!P127</f>
        <v>1.151030651464708</v>
      </c>
      <c r="C26" s="320">
        <f>'Measure Tables'!T127</f>
        <v>1.151030651464708</v>
      </c>
      <c r="D26" s="322">
        <f>'Measure Tables'!U127</f>
        <v>0</v>
      </c>
      <c r="E26" s="334">
        <v>2</v>
      </c>
    </row>
    <row r="27" spans="1:5">
      <c r="A27" s="128" t="str">
        <f>'Measure Tables'!A132</f>
        <v>BNI - Efficient Product Rebates; Air Tanks for Load / No-Load Screw Compressors (10 – 40 hp); COM-Process; School</v>
      </c>
      <c r="B27" s="320">
        <f>'Measure Tables'!P132</f>
        <v>1.1780038582976915</v>
      </c>
      <c r="C27" s="320">
        <f>'Measure Tables'!T132</f>
        <v>1.1780038582976915</v>
      </c>
      <c r="D27" s="322">
        <f>'Measure Tables'!U132</f>
        <v>0</v>
      </c>
      <c r="E27" s="334">
        <v>2</v>
      </c>
    </row>
    <row r="28" spans="1:5">
      <c r="A28" s="128" t="str">
        <f>'Measure Tables'!A216</f>
        <v>Residential - Efficient Product Rebates; Refrigerator Retirement; RES-Appliance; RES-SF</v>
      </c>
      <c r="B28" s="320">
        <f>'Measure Tables'!P216</f>
        <v>1.1978944276305643</v>
      </c>
      <c r="C28" s="320">
        <f>'Measure Tables'!T216</f>
        <v>1.2009496381802254</v>
      </c>
      <c r="D28" s="322">
        <f>'Measure Tables'!U216</f>
        <v>2.5504839818850122E-3</v>
      </c>
      <c r="E28" s="334">
        <v>3</v>
      </c>
    </row>
    <row r="29" spans="1:5">
      <c r="A29" s="128" t="str">
        <f>'Measure Tables'!A27</f>
        <v>BNI - Efficient Product Rebates; ENERGY STAR®, CEE Tier 2 or CEE Tier 3 Commercial Clothes Washer; COM-Other; Other Commercial</v>
      </c>
      <c r="B29" s="320">
        <f>'Measure Tables'!P27</f>
        <v>1.3353428138318306</v>
      </c>
      <c r="C29" s="320">
        <f>'Measure Tables'!T27</f>
        <v>1.2073781782098469</v>
      </c>
      <c r="D29" s="322">
        <f>'Measure Tables'!U27</f>
        <v>-9.5829051758464165E-2</v>
      </c>
      <c r="E29" s="334">
        <v>1</v>
      </c>
    </row>
    <row r="30" spans="1:5">
      <c r="A30" s="128" t="str">
        <f>'Measure Tables'!A136</f>
        <v>BNI - Efficient Product Rebates; Integrated Dual Enthalpy Economizer Controls; COM-HVAC; School</v>
      </c>
      <c r="B30" s="320">
        <f>'Measure Tables'!P136</f>
        <v>1.245308557766295</v>
      </c>
      <c r="C30" s="320">
        <f>'Measure Tables'!T136</f>
        <v>1.245308557766295</v>
      </c>
      <c r="D30" s="322">
        <f>'Measure Tables'!U136</f>
        <v>0</v>
      </c>
      <c r="E30" s="334">
        <v>2</v>
      </c>
    </row>
    <row r="31" spans="1:5">
      <c r="A31" s="128" t="str">
        <f>'Measure Tables'!A90</f>
        <v>BNI - Efficient Product Rebates; LED Low Bay Fixture; COM-Lighting; Other Commercial</v>
      </c>
      <c r="B31" s="320">
        <f>'Measure Tables'!P90</f>
        <v>0.94677425161172768</v>
      </c>
      <c r="C31" s="320">
        <f>'Measure Tables'!T90</f>
        <v>1.2695291472404735</v>
      </c>
      <c r="D31" s="322">
        <f>'Measure Tables'!U90</f>
        <v>0.34089952813916158</v>
      </c>
      <c r="E31" s="334">
        <v>6</v>
      </c>
    </row>
    <row r="32" spans="1:5">
      <c r="A32" s="128" t="str">
        <f>'Measure Tables'!A26</f>
        <v>BNI - Efficient Product Rebates; Variable Speed Drive for Kitchen exhaust fans (Demand Controlled Ventilation) ; COM-Motors; Retail</v>
      </c>
      <c r="B32" s="320">
        <f>'Measure Tables'!P26</f>
        <v>1.2901244005378381</v>
      </c>
      <c r="C32" s="320">
        <f>'Measure Tables'!T26</f>
        <v>1.2901244005378381</v>
      </c>
      <c r="D32" s="322">
        <f>'Measure Tables'!U26</f>
        <v>0</v>
      </c>
      <c r="E32" s="334">
        <v>2</v>
      </c>
    </row>
    <row r="33" spans="1:5">
      <c r="A33" s="128" t="str">
        <f>'Measure Tables'!A135</f>
        <v>BNI - Efficient Product Rebates; Integrated Dual Enthalpy Economizer Controls; COM-HVAC; Retail</v>
      </c>
      <c r="B33" s="320">
        <f>'Measure Tables'!P135</f>
        <v>1.3102080471983981</v>
      </c>
      <c r="C33" s="320">
        <f>'Measure Tables'!T135</f>
        <v>1.3102080471983981</v>
      </c>
      <c r="D33" s="322">
        <f>'Measure Tables'!U135</f>
        <v>0</v>
      </c>
      <c r="E33" s="334">
        <v>2</v>
      </c>
    </row>
    <row r="34" spans="1:5">
      <c r="A34" s="128" t="str">
        <f>'Measure Tables'!A91</f>
        <v>BNI - Efficient Product Rebates; LED Low Bay Fixture; COM-Lighting; Retail</v>
      </c>
      <c r="B34" s="320">
        <f>'Measure Tables'!P91</f>
        <v>0.9979195519385059</v>
      </c>
      <c r="C34" s="320">
        <f>'Measure Tables'!T91</f>
        <v>1.330409928961434</v>
      </c>
      <c r="D34" s="322">
        <f>'Measure Tables'!U91</f>
        <v>0.33318354808967293</v>
      </c>
      <c r="E34" s="334">
        <v>6</v>
      </c>
    </row>
    <row r="35" spans="1:5">
      <c r="A35" s="128" t="str">
        <f>'Measure Tables'!A92</f>
        <v>BNI - Efficient Product Rebates; LED Low Bay Fixture; COM-Lighting; School</v>
      </c>
      <c r="B35" s="320">
        <f>'Measure Tables'!P92</f>
        <v>1.0001399770587669</v>
      </c>
      <c r="C35" s="320">
        <f>'Measure Tables'!T92</f>
        <v>1.3366933001047974</v>
      </c>
      <c r="D35" s="322">
        <f>'Measure Tables'!U92</f>
        <v>0.33650621989511281</v>
      </c>
      <c r="E35" s="334">
        <v>6</v>
      </c>
    </row>
    <row r="36" spans="1:5">
      <c r="A36" s="128" t="str">
        <f>'Measure Tables'!A89</f>
        <v>BNI - Efficient Product Rebates; LED Low Bay Fixture; COM-Lighting; Office</v>
      </c>
      <c r="B36" s="320">
        <f>'Measure Tables'!P89</f>
        <v>1.0065241748830438</v>
      </c>
      <c r="C36" s="320">
        <f>'Measure Tables'!T89</f>
        <v>1.353756501462841</v>
      </c>
      <c r="D36" s="322">
        <f>'Measure Tables'!U89</f>
        <v>0.34498160624919411</v>
      </c>
      <c r="E36" s="334">
        <v>6</v>
      </c>
    </row>
    <row r="37" spans="1:5">
      <c r="A37" s="128" t="str">
        <f>'Measure Tables'!A95</f>
        <v>BNI - Efficient Product Rebates; LED Linear Replacement Lamps; COM-Lighting; Other Commercial</v>
      </c>
      <c r="B37" s="320">
        <f>'Measure Tables'!P95</f>
        <v>1.0079304946894427</v>
      </c>
      <c r="C37" s="320">
        <f>'Measure Tables'!T95</f>
        <v>1.3854152813736773</v>
      </c>
      <c r="D37" s="322">
        <f>'Measure Tables'!U95</f>
        <v>0.37451469984598773</v>
      </c>
      <c r="E37" s="334">
        <v>6</v>
      </c>
    </row>
    <row r="38" spans="1:5">
      <c r="A38" s="128" t="str">
        <f>'Measure Tables'!A81</f>
        <v>BNI - Efficient Product Rebates; LED Refrigeration Strip Lighting-End of Life replacement; COM-Lighting; Other Commercial</v>
      </c>
      <c r="B38" s="320">
        <f>'Measure Tables'!P81</f>
        <v>0.98859889282853386</v>
      </c>
      <c r="C38" s="320">
        <f>'Measure Tables'!T81</f>
        <v>1.4183634609394764</v>
      </c>
      <c r="D38" s="322">
        <f>'Measure Tables'!U81</f>
        <v>0.43472086730880294</v>
      </c>
      <c r="E38" s="334">
        <v>6</v>
      </c>
    </row>
    <row r="39" spans="1:5">
      <c r="A39" s="128" t="str">
        <f>'Measure Tables'!A16</f>
        <v>BNI - Efficient Product Rebates; Half Size Commercial Hot Food Holding Cabinet; COM-Other; Retail</v>
      </c>
      <c r="B39" s="320">
        <f>'Measure Tables'!P16</f>
        <v>1.3649026497120107</v>
      </c>
      <c r="C39" s="320">
        <f>'Measure Tables'!T16</f>
        <v>1.3649026497120107</v>
      </c>
      <c r="D39" s="322">
        <f>'Measure Tables'!U16</f>
        <v>0</v>
      </c>
      <c r="E39" s="334">
        <v>2</v>
      </c>
    </row>
    <row r="40" spans="1:5">
      <c r="A40" s="128" t="str">
        <f>'Measure Tables'!A88</f>
        <v xml:space="preserve">BNI - Efficient Product Rebates; LED Low Bay Fixture; IND; Industrial </v>
      </c>
      <c r="B40" s="320">
        <f>'Measure Tables'!P88</f>
        <v>1.0544862815808405</v>
      </c>
      <c r="C40" s="320">
        <f>'Measure Tables'!T88</f>
        <v>1.3810721954124268</v>
      </c>
      <c r="D40" s="322">
        <f>'Measure Tables'!U88</f>
        <v>0.30971091756829949</v>
      </c>
      <c r="E40" s="334">
        <v>5</v>
      </c>
    </row>
    <row r="41" spans="1:5">
      <c r="A41" s="128" t="str">
        <f>'Measure Tables'!A83</f>
        <v>BNI - Efficient Product Rebates; LED Refrigeration Strip Lighting-End of Life replacement; COM-Lighting; School</v>
      </c>
      <c r="B41" s="320">
        <f>'Measure Tables'!P83</f>
        <v>1.0011569829623144</v>
      </c>
      <c r="C41" s="320">
        <f>'Measure Tables'!T83</f>
        <v>1.4309215510732567</v>
      </c>
      <c r="D41" s="322">
        <f>'Measure Tables'!U83</f>
        <v>0.42926791244996948</v>
      </c>
      <c r="E41" s="334">
        <v>6</v>
      </c>
    </row>
    <row r="42" spans="1:5">
      <c r="A42" s="128" t="str">
        <f>'Measure Tables'!A82</f>
        <v>BNI - Efficient Product Rebates; LED Refrigeration Strip Lighting-End of Life replacement; COM-Lighting; Retail</v>
      </c>
      <c r="B42" s="320">
        <f>'Measure Tables'!P82</f>
        <v>1.010874654555824</v>
      </c>
      <c r="C42" s="320">
        <f>'Measure Tables'!T82</f>
        <v>1.4406392226667666</v>
      </c>
      <c r="D42" s="322">
        <f>'Measure Tables'!U82</f>
        <v>0.42514130330014072</v>
      </c>
      <c r="E42" s="334">
        <v>6</v>
      </c>
    </row>
    <row r="43" spans="1:5">
      <c r="A43" s="128" t="str">
        <f>'Measure Tables'!A28</f>
        <v>BNI - Efficient Product Rebates; Night Covers for 3' Refrigerated Display Cases; COM-Refrigeration; Other Commercial</v>
      </c>
      <c r="B43" s="320">
        <f>'Measure Tables'!P28</f>
        <v>1.4312470937332435</v>
      </c>
      <c r="C43" s="320">
        <f>'Measure Tables'!T28</f>
        <v>1.4312470937332435</v>
      </c>
      <c r="D43" s="322">
        <f>'Measure Tables'!U28</f>
        <v>0</v>
      </c>
      <c r="E43" s="334">
        <v>2</v>
      </c>
    </row>
    <row r="44" spans="1:5">
      <c r="A44" s="128" t="str">
        <f>'Measure Tables'!A96</f>
        <v>BNI - Efficient Product Rebates; LED Linear Replacement Lamps; COM-Lighting; Retail</v>
      </c>
      <c r="B44" s="320">
        <f>'Measure Tables'!P96</f>
        <v>1.0688304819823504</v>
      </c>
      <c r="C44" s="320">
        <f>'Measure Tables'!T96</f>
        <v>1.4598876296979326</v>
      </c>
      <c r="D44" s="322">
        <f>'Measure Tables'!U96</f>
        <v>0.36587387271206184</v>
      </c>
      <c r="E44" s="334">
        <v>6</v>
      </c>
    </row>
    <row r="45" spans="1:5">
      <c r="A45" s="128" t="str">
        <f>'Measure Tables'!A165</f>
        <v>BNI- Direct Installation; LED Lamps-End of Life-BES; COM-Lighting; Office</v>
      </c>
      <c r="B45" s="320">
        <f>'Measure Tables'!P165</f>
        <v>1.0606521709944663</v>
      </c>
      <c r="C45" s="320">
        <f>'Measure Tables'!T165</f>
        <v>1.4627339484125057</v>
      </c>
      <c r="D45" s="322">
        <f>'Measure Tables'!U165</f>
        <v>0.37908919475557001</v>
      </c>
      <c r="E45" s="334">
        <v>6</v>
      </c>
    </row>
    <row r="46" spans="1:5">
      <c r="A46" s="128" t="str">
        <f>'Measure Tables'!A97</f>
        <v>BNI - Efficient Product Rebates; LED Linear Replacement Lamps; COM-Lighting; School</v>
      </c>
      <c r="B46" s="320">
        <f>'Measure Tables'!P97</f>
        <v>1.0733726588435786</v>
      </c>
      <c r="C46" s="320">
        <f>'Measure Tables'!T97</f>
        <v>1.4700845974202212</v>
      </c>
      <c r="D46" s="322">
        <f>'Measure Tables'!U97</f>
        <v>0.36959385476060935</v>
      </c>
      <c r="E46" s="334">
        <v>6</v>
      </c>
    </row>
    <row r="47" spans="1:5">
      <c r="A47" s="128" t="str">
        <f>'Measure Tables'!A223</f>
        <v>Residential - Efficient Product Rebates; Power bar with integrated timer; RES-Plug Load; RES-SF</v>
      </c>
      <c r="B47" s="320">
        <f>'Measure Tables'!P223</f>
        <v>1.4426026208298643</v>
      </c>
      <c r="C47" s="320">
        <f>'Measure Tables'!T223</f>
        <v>1.4426026208298643</v>
      </c>
      <c r="D47" s="322">
        <f>'Measure Tables'!U223</f>
        <v>0</v>
      </c>
      <c r="E47" s="334">
        <v>2</v>
      </c>
    </row>
    <row r="48" spans="1:5">
      <c r="A48" s="128" t="str">
        <f>'Measure Tables'!A267</f>
        <v>Existing Residential; Building Envelope Retrofits (Insulation, Draft Proofing, EnergyStar Windows and Doors); RES-HVAC/Shell; RES-SF</v>
      </c>
      <c r="B48" s="320">
        <f>'Measure Tables'!P267</f>
        <v>1.2382841039804822</v>
      </c>
      <c r="C48" s="320">
        <f>'Measure Tables'!T267</f>
        <v>1.4353879090553678</v>
      </c>
      <c r="D48" s="322">
        <f>'Measure Tables'!U267</f>
        <v>0.1591749457505694</v>
      </c>
      <c r="E48" s="334">
        <v>4</v>
      </c>
    </row>
    <row r="49" spans="1:5">
      <c r="A49" s="128" t="str">
        <f>'Measure Tables'!A94</f>
        <v>BNI - Efficient Product Rebates; LED Linear Replacement Lamps; COM-Lighting; Office</v>
      </c>
      <c r="B49" s="320">
        <f>'Measure Tables'!P94</f>
        <v>1.0856246371752427</v>
      </c>
      <c r="C49" s="320">
        <f>'Measure Tables'!T94</f>
        <v>1.4971732066888135</v>
      </c>
      <c r="D49" s="322">
        <f>'Measure Tables'!U94</f>
        <v>0.37908919475557018</v>
      </c>
      <c r="E49" s="334">
        <v>6</v>
      </c>
    </row>
    <row r="50" spans="1:5">
      <c r="A50" s="128" t="str">
        <f>'Measure Tables'!A33</f>
        <v>BNI - Efficient Product Rebates; Zero Energy Doors for Reach-In Coolers and Freezers; COM-Refrigeration; School</v>
      </c>
      <c r="B50" s="320">
        <f>'Measure Tables'!P33</f>
        <v>1.4747106383262882</v>
      </c>
      <c r="C50" s="320">
        <f>'Measure Tables'!T33</f>
        <v>1.4747106383262882</v>
      </c>
      <c r="D50" s="322">
        <f>'Measure Tables'!U33</f>
        <v>0</v>
      </c>
      <c r="E50" s="334">
        <v>2</v>
      </c>
    </row>
    <row r="51" spans="1:5">
      <c r="A51" s="128" t="str">
        <f>'Measure Tables'!A31</f>
        <v>BNI - Efficient Product Rebates; Zero Energy Doors for Reach-In Coolers and Freezers; COM-Refrigeration; Other Commercial</v>
      </c>
      <c r="B51" s="320">
        <f>'Measure Tables'!P31</f>
        <v>1.4751104860144455</v>
      </c>
      <c r="C51" s="320">
        <f>'Measure Tables'!T31</f>
        <v>1.4751104860144455</v>
      </c>
      <c r="D51" s="322">
        <f>'Measure Tables'!U31</f>
        <v>0</v>
      </c>
      <c r="E51" s="334">
        <v>2</v>
      </c>
    </row>
    <row r="52" spans="1:5">
      <c r="A52" s="128" t="str">
        <f>'Measure Tables'!A32</f>
        <v>BNI - Efficient Product Rebates; Zero Energy Doors for Reach-In Coolers and Freezers; COM-Refrigeration; Retail</v>
      </c>
      <c r="B52" s="320">
        <f>'Measure Tables'!P32</f>
        <v>1.4752893271712284</v>
      </c>
      <c r="C52" s="320">
        <f>'Measure Tables'!T32</f>
        <v>1.4752893271712284</v>
      </c>
      <c r="D52" s="322">
        <f>'Measure Tables'!U32</f>
        <v>0</v>
      </c>
      <c r="E52" s="334">
        <v>2</v>
      </c>
    </row>
    <row r="53" spans="1:5">
      <c r="A53" s="128" t="str">
        <f>'Measure Tables'!A93</f>
        <v xml:space="preserve">BNI - Efficient Product Rebates; LED Linear Replacement Lamps; IND; Industrial </v>
      </c>
      <c r="B53" s="320">
        <f>'Measure Tables'!P93</f>
        <v>1.1271779991919366</v>
      </c>
      <c r="C53" s="320">
        <f>'Measure Tables'!T93</f>
        <v>1.5100074614278185</v>
      </c>
      <c r="D53" s="322">
        <f>'Measure Tables'!U93</f>
        <v>0.33963532158215359</v>
      </c>
      <c r="E53" s="334">
        <v>6</v>
      </c>
    </row>
    <row r="54" spans="1:5">
      <c r="A54" s="128" t="str">
        <f>'Measure Tables'!A30</f>
        <v>BNI - Efficient Product Rebates; Night Covers for 3' Refrigerated Display Cases; COM-Refrigeration; School</v>
      </c>
      <c r="B54" s="320">
        <f>'Measure Tables'!P30</f>
        <v>1.534935680523551</v>
      </c>
      <c r="C54" s="320">
        <f>'Measure Tables'!T30</f>
        <v>1.534935680523551</v>
      </c>
      <c r="D54" s="322">
        <f>'Measure Tables'!U30</f>
        <v>0</v>
      </c>
      <c r="E54" s="334">
        <v>2</v>
      </c>
    </row>
    <row r="55" spans="1:5">
      <c r="A55" s="128" t="str">
        <f>'Measure Tables'!A179</f>
        <v>BNI- Direct Installation; Ground Source Heat Pump; COM-HVAC; School</v>
      </c>
      <c r="B55" s="320">
        <f>'Measure Tables'!P179</f>
        <v>0.71837861819080784</v>
      </c>
      <c r="C55" s="320">
        <f>'Measure Tables'!T179</f>
        <v>1.5984079226764372</v>
      </c>
      <c r="D55" s="322">
        <f>'Measure Tables'!U179</f>
        <v>1.2250215724709745</v>
      </c>
      <c r="E55" s="334">
        <v>10</v>
      </c>
    </row>
    <row r="56" spans="1:5">
      <c r="A56" s="128" t="str">
        <f>'Measure Tables'!A178</f>
        <v>BNI- Direct Installation; Ground Source Heat Pump; COM-HVAC; Retail</v>
      </c>
      <c r="B56" s="320">
        <f>'Measure Tables'!P178</f>
        <v>0.72145489908422211</v>
      </c>
      <c r="C56" s="320">
        <f>'Measure Tables'!T178</f>
        <v>1.6014842035698515</v>
      </c>
      <c r="D56" s="322">
        <f>'Measure Tables'!U178</f>
        <v>1.2197980852340091</v>
      </c>
      <c r="E56" s="334">
        <v>10</v>
      </c>
    </row>
    <row r="57" spans="1:5">
      <c r="A57" s="128" t="str">
        <f>'Measure Tables'!A177</f>
        <v>BNI- Direct Installation; Ground Source Heat Pump; COM-HVAC; Other Commercial</v>
      </c>
      <c r="B57" s="320">
        <f>'Measure Tables'!P177</f>
        <v>0.7341167498145803</v>
      </c>
      <c r="C57" s="320">
        <f>'Measure Tables'!T177</f>
        <v>1.6141460543002095</v>
      </c>
      <c r="D57" s="322">
        <f>'Measure Tables'!U177</f>
        <v>1.1987593318200447</v>
      </c>
      <c r="E57" s="334">
        <v>10</v>
      </c>
    </row>
    <row r="58" spans="1:5">
      <c r="A58" s="128" t="str">
        <f>'Measure Tables'!A176</f>
        <v>BNI- Direct Installation; Ground Source Heat Pump; COM-HVAC; Office</v>
      </c>
      <c r="B58" s="320">
        <f>'Measure Tables'!P176</f>
        <v>0.73998959178757084</v>
      </c>
      <c r="C58" s="320">
        <f>'Measure Tables'!T176</f>
        <v>1.6200188962731998</v>
      </c>
      <c r="D58" s="322">
        <f>'Measure Tables'!U176</f>
        <v>1.1892455167643214</v>
      </c>
      <c r="E58" s="334">
        <v>10</v>
      </c>
    </row>
    <row r="59" spans="1:5">
      <c r="A59" s="128" t="str">
        <f>'Measure Tables'!A261</f>
        <v>Existing Residential; ENERGY STAR® Windows (Replace Single Pane); RES-HVAC/Shell; RES-SF</v>
      </c>
      <c r="B59" s="320">
        <f>'Measure Tables'!P261</f>
        <v>1.5903850829535529</v>
      </c>
      <c r="C59" s="320">
        <f>'Measure Tables'!T261</f>
        <v>1.6078719801934174</v>
      </c>
      <c r="D59" s="322">
        <f>'Measure Tables'!U261</f>
        <v>1.0995385600190028E-2</v>
      </c>
      <c r="E59" s="334">
        <v>3</v>
      </c>
    </row>
    <row r="60" spans="1:5">
      <c r="A60" s="128" t="str">
        <f>'Measure Tables'!A157</f>
        <v>BNI- Direct Installation; Electronically Commutated (Brushless) DC Motors for Refrigeration Applications-BES; COM-Refrigeration; Other Commercial</v>
      </c>
      <c r="B60" s="320">
        <f>'Measure Tables'!P157</f>
        <v>1.6099068531967375</v>
      </c>
      <c r="C60" s="320">
        <f>'Measure Tables'!T157</f>
        <v>1.6099068531967375</v>
      </c>
      <c r="D60" s="322">
        <f>'Measure Tables'!U157</f>
        <v>0</v>
      </c>
      <c r="E60" s="334">
        <v>2</v>
      </c>
    </row>
    <row r="61" spans="1:5">
      <c r="A61" s="128" t="str">
        <f>'Measure Tables'!A158</f>
        <v>BNI- Direct Installation; Electronically Commutated (Brushless) DC Motors for Refrigeration Applications-BES; COM-Refrigeration; Retail</v>
      </c>
      <c r="B61" s="320">
        <f>'Measure Tables'!P158</f>
        <v>1.6100981132282295</v>
      </c>
      <c r="C61" s="320">
        <f>'Measure Tables'!T158</f>
        <v>1.6100981132282295</v>
      </c>
      <c r="D61" s="322">
        <f>'Measure Tables'!U158</f>
        <v>0</v>
      </c>
      <c r="E61" s="334">
        <v>2</v>
      </c>
    </row>
    <row r="62" spans="1:5">
      <c r="A62" s="128" t="str">
        <f>'Measure Tables'!A117</f>
        <v>BNI - Efficient Product Rebates; Lighting Controls - Occupancy Sensors; COM-Lighting; School</v>
      </c>
      <c r="B62" s="320">
        <f>'Measure Tables'!P117</f>
        <v>1.1258567752640007</v>
      </c>
      <c r="C62" s="320">
        <f>'Measure Tables'!T117</f>
        <v>1.6538442648115881</v>
      </c>
      <c r="D62" s="322">
        <f>'Measure Tables'!U117</f>
        <v>0.46896505945330408</v>
      </c>
      <c r="E62" s="334">
        <v>7</v>
      </c>
    </row>
    <row r="63" spans="1:5">
      <c r="A63" s="128" t="str">
        <f>'Measure Tables'!A80</f>
        <v>BNI - Efficient Product Rebates; LED Lamps-End of Life; COM-Lighting; School</v>
      </c>
      <c r="B63" s="320">
        <f>'Measure Tables'!P80</f>
        <v>1.2213476307320252</v>
      </c>
      <c r="C63" s="320">
        <f>'Measure Tables'!T80</f>
        <v>1.6727502095770113</v>
      </c>
      <c r="D63" s="322">
        <f>'Measure Tables'!U80</f>
        <v>0.36959385476060896</v>
      </c>
      <c r="E63" s="334">
        <v>6</v>
      </c>
    </row>
    <row r="64" spans="1:5">
      <c r="A64" s="128" t="str">
        <f>'Measure Tables'!A15</f>
        <v>BNI - Efficient Product Rebates; Three Quarter Size Commercial Hot Food Holding Cabinet; COM-Other; Retail</v>
      </c>
      <c r="B64" s="320">
        <f>'Measure Tables'!P15</f>
        <v>1.6763440609482247</v>
      </c>
      <c r="C64" s="320">
        <f>'Measure Tables'!T15</f>
        <v>1.6763440609482247</v>
      </c>
      <c r="D64" s="322">
        <f>'Measure Tables'!U15</f>
        <v>0</v>
      </c>
      <c r="E64" s="334">
        <v>2</v>
      </c>
    </row>
    <row r="65" spans="1:5">
      <c r="A65" s="128" t="str">
        <f>'Measure Tables'!A260</f>
        <v>Existing Residential; Solar Space Heating (Displacing Electricity); RES-HVAC/Shell; RES-SF</v>
      </c>
      <c r="B65" s="320">
        <f>'Measure Tables'!P260</f>
        <v>1.6773715219431966</v>
      </c>
      <c r="C65" s="320">
        <f>'Measure Tables'!T260</f>
        <v>1.6773715219431966</v>
      </c>
      <c r="D65" s="322">
        <f>'Measure Tables'!U260</f>
        <v>0</v>
      </c>
      <c r="E65" s="334">
        <v>2</v>
      </c>
    </row>
    <row r="66" spans="1:5">
      <c r="A66" s="128" t="str">
        <f>'Measure Tables'!A218</f>
        <v>Residential - Efficient Product Rebates; Room A/C Retirement; RES-HVAC/Shell; RES-SF</v>
      </c>
      <c r="B66" s="320">
        <f>'Measure Tables'!P218</f>
        <v>0.41289059030957059</v>
      </c>
      <c r="C66" s="320">
        <f>'Measure Tables'!T218</f>
        <v>2.306451811636077</v>
      </c>
      <c r="D66" s="322">
        <f>'Measure Tables'!U218</f>
        <v>4.5861089251435398</v>
      </c>
      <c r="E66" s="334">
        <v>12</v>
      </c>
    </row>
    <row r="67" spans="1:5">
      <c r="A67" s="128" t="str">
        <f>'Measure Tables'!A19</f>
        <v>BNI - Efficient Product Rebates; Glass Door Commercial Refrigerator; COM-Refrigeration; Retail</v>
      </c>
      <c r="B67" s="320">
        <f>'Measure Tables'!P19</f>
        <v>1.0720192154681811</v>
      </c>
      <c r="C67" s="320">
        <f>'Measure Tables'!T19</f>
        <v>1.767385046450072</v>
      </c>
      <c r="D67" s="322">
        <f>'Measure Tables'!U19</f>
        <v>0.64865052878572227</v>
      </c>
      <c r="E67" s="334">
        <v>9</v>
      </c>
    </row>
    <row r="68" spans="1:5">
      <c r="A68" s="128" t="str">
        <f>'Measure Tables'!A23</f>
        <v>BNI - Efficient Product Rebates; ENERGY STAR® Self Contained Ice Maker; COM-Refrigeration; Retail</v>
      </c>
      <c r="B68" s="320">
        <f>'Measure Tables'!P23</f>
        <v>0.82975470228310022</v>
      </c>
      <c r="C68" s="320">
        <f>'Measure Tables'!T23</f>
        <v>1.8542006483369851</v>
      </c>
      <c r="D68" s="322">
        <f>'Measure Tables'!U23</f>
        <v>1.2346371080936145</v>
      </c>
      <c r="E68" s="334">
        <v>10</v>
      </c>
    </row>
    <row r="69" spans="1:5">
      <c r="A69" s="128" t="str">
        <f>'Measure Tables'!A252</f>
        <v>Existing Residential; Certified Wood Boiler or Furnace; RES-HVAC/Shell; RES-SF</v>
      </c>
      <c r="B69" s="320">
        <f>'Measure Tables'!P252</f>
        <v>1.6861324319946671</v>
      </c>
      <c r="C69" s="320">
        <f>'Measure Tables'!T252</f>
        <v>1.7573369347044523</v>
      </c>
      <c r="D69" s="322">
        <f>'Measure Tables'!U252</f>
        <v>4.2229484089545334E-2</v>
      </c>
      <c r="E69" s="334">
        <v>3</v>
      </c>
    </row>
    <row r="70" spans="1:5">
      <c r="A70" s="128" t="str">
        <f>'Measure Tables'!A77</f>
        <v>BNI - Efficient Product Rebates; LED Lamps-End of Life; COM-Lighting; Office</v>
      </c>
      <c r="B70" s="320">
        <f>'Measure Tables'!P77</f>
        <v>1.2998787978402941</v>
      </c>
      <c r="C70" s="320">
        <f>'Measure Tables'!T77</f>
        <v>1.7926488045934101</v>
      </c>
      <c r="D70" s="322">
        <f>'Measure Tables'!U77</f>
        <v>0.3790891947555704</v>
      </c>
      <c r="E70" s="334">
        <v>6</v>
      </c>
    </row>
    <row r="71" spans="1:5">
      <c r="A71" s="128" t="str">
        <f>'Measure Tables'!A25</f>
        <v>BNI - Efficient Product Rebates; Variable Speed Drive for Kitchen exhaust fans (Demand Controlled Ventilation) ; COM-Motors; Other Commercial</v>
      </c>
      <c r="B71" s="320">
        <f>'Measure Tables'!P25</f>
        <v>1.7608697714325492</v>
      </c>
      <c r="C71" s="320">
        <f>'Measure Tables'!T25</f>
        <v>1.7608697714325492</v>
      </c>
      <c r="D71" s="322">
        <f>'Measure Tables'!U25</f>
        <v>0</v>
      </c>
      <c r="E71" s="334">
        <v>2</v>
      </c>
    </row>
    <row r="72" spans="1:5">
      <c r="A72" s="128" t="str">
        <f>'Measure Tables'!A13</f>
        <v>BNI - Efficient Product Rebates; Standard Capacity Commercial Electric Fryers; COM-Other; Retail</v>
      </c>
      <c r="B72" s="320">
        <f>'Measure Tables'!P13</f>
        <v>1.7927669415713954</v>
      </c>
      <c r="C72" s="320">
        <f>'Measure Tables'!T13</f>
        <v>1.7927669415713954</v>
      </c>
      <c r="D72" s="322">
        <f>'Measure Tables'!U13</f>
        <v>0</v>
      </c>
      <c r="E72" s="334">
        <v>2</v>
      </c>
    </row>
    <row r="73" spans="1:5">
      <c r="A73" s="128" t="str">
        <f>'Measure Tables'!A160</f>
        <v>BNI- Direct Installation; Relamp/Reballast-Retrofit (dual baseline)-BES; COM-Lighting; Other Commercial</v>
      </c>
      <c r="B73" s="320">
        <f>'Measure Tables'!P160</f>
        <v>1.3581932854062171</v>
      </c>
      <c r="C73" s="320">
        <f>'Measure Tables'!T160</f>
        <v>1.8212007355229742</v>
      </c>
      <c r="D73" s="322">
        <f>'Measure Tables'!U160</f>
        <v>0.34089952813916169</v>
      </c>
      <c r="E73" s="334">
        <v>6</v>
      </c>
    </row>
    <row r="74" spans="1:5">
      <c r="A74" s="128" t="str">
        <f>'Measure Tables'!A222</f>
        <v>Residential - Efficient Product Rebates; Outdoor Motion Sensor; RES-Lighting; RES-SF</v>
      </c>
      <c r="B74" s="320">
        <f>'Measure Tables'!P222</f>
        <v>1.7456235428372289</v>
      </c>
      <c r="C74" s="320">
        <f>'Measure Tables'!T222</f>
        <v>1.8307716638827163</v>
      </c>
      <c r="D74" s="322">
        <f>'Measure Tables'!U222</f>
        <v>4.8778054921906532E-2</v>
      </c>
      <c r="E74" s="334">
        <v>3</v>
      </c>
    </row>
    <row r="75" spans="1:5">
      <c r="A75" s="128" t="str">
        <f>'Measure Tables'!A70</f>
        <v>BNI - Efficient Product Rebates; T8 Dimmable Stairwell Lighting; COM-Lighting; School</v>
      </c>
      <c r="B75" s="320">
        <f>'Measure Tables'!P70</f>
        <v>1.2729838748536708</v>
      </c>
      <c r="C75" s="320">
        <f>'Measure Tables'!T70</f>
        <v>1.8699688334075204</v>
      </c>
      <c r="D75" s="322">
        <f>'Measure Tables'!U70</f>
        <v>0.46896505945330441</v>
      </c>
      <c r="E75" s="334">
        <v>7</v>
      </c>
    </row>
    <row r="76" spans="1:5">
      <c r="A76" s="128" t="str">
        <f>'Measure Tables'!A137</f>
        <v>BNI - Efficient Product Rebates; HVAC Hotel Occupancy Sensor; COM-HVAC; Other Commercial</v>
      </c>
      <c r="B76" s="320">
        <f>'Measure Tables'!P137</f>
        <v>1.830351923813238</v>
      </c>
      <c r="C76" s="320">
        <f>'Measure Tables'!T137</f>
        <v>1.830351923813238</v>
      </c>
      <c r="D76" s="322">
        <f>'Measure Tables'!U137</f>
        <v>0</v>
      </c>
      <c r="E76" s="334">
        <v>2</v>
      </c>
    </row>
    <row r="77" spans="1:5">
      <c r="A77" s="128" t="str">
        <f>'Measure Tables'!A159</f>
        <v>BNI- Direct Installation; Relamp/Reballast-Retrofit (dual baseline)-BES; COM-Lighting; Office</v>
      </c>
      <c r="B77" s="320">
        <f>'Measure Tables'!P159</f>
        <v>1.375406241299995</v>
      </c>
      <c r="C77" s="320">
        <f>'Measure Tables'!T159</f>
        <v>1.849896095668834</v>
      </c>
      <c r="D77" s="322">
        <f>'Measure Tables'!U159</f>
        <v>0.34498160624919411</v>
      </c>
      <c r="E77" s="334">
        <v>6</v>
      </c>
    </row>
    <row r="78" spans="1:5">
      <c r="A78" s="128" t="str">
        <f>'Measure Tables'!A155</f>
        <v>BNI- Direct Installation; Evaporator Fan Motor Controls for Walk-In Freezers and Coolers-BES; COM-Refrigeration; Other Commercial</v>
      </c>
      <c r="B78" s="320">
        <f>'Measure Tables'!P155</f>
        <v>1.8366019145325971</v>
      </c>
      <c r="C78" s="320">
        <f>'Measure Tables'!T155</f>
        <v>1.8366019145325971</v>
      </c>
      <c r="D78" s="322">
        <f>'Measure Tables'!U155</f>
        <v>0</v>
      </c>
      <c r="E78" s="334">
        <v>2</v>
      </c>
    </row>
    <row r="79" spans="1:5">
      <c r="A79" s="128" t="str">
        <f>'Measure Tables'!A161</f>
        <v>BNI- Direct Installation; Relamp/Reballast-Retrofit (dual baseline)-BES; COM-Lighting; Retail</v>
      </c>
      <c r="B79" s="320">
        <f>'Measure Tables'!P161</f>
        <v>1.3951332562318068</v>
      </c>
      <c r="C79" s="320">
        <f>'Measure Tables'!T161</f>
        <v>1.8599687046010194</v>
      </c>
      <c r="D79" s="322">
        <f>'Measure Tables'!U161</f>
        <v>0.33318354808967315</v>
      </c>
      <c r="E79" s="334">
        <v>6</v>
      </c>
    </row>
    <row r="80" spans="1:5">
      <c r="A80" s="128" t="str">
        <f>'Measure Tables'!A156</f>
        <v>BNI- Direct Installation; Evaporator Fan Motor Controls for Walk-In Freezers and Coolers-BES; COM-Refrigeration; Retail</v>
      </c>
      <c r="B80" s="320">
        <f>'Measure Tables'!P156</f>
        <v>1.8475975422532376</v>
      </c>
      <c r="C80" s="320">
        <f>'Measure Tables'!T156</f>
        <v>1.8475975422532376</v>
      </c>
      <c r="D80" s="322">
        <f>'Measure Tables'!U156</f>
        <v>0</v>
      </c>
      <c r="E80" s="334">
        <v>2</v>
      </c>
    </row>
    <row r="81" spans="1:5">
      <c r="A81" s="128" t="str">
        <f>'Measure Tables'!A207</f>
        <v>Custom Incentives; Whole Building 20% Over Baseline; COM-Other; New Construction - BNI</v>
      </c>
      <c r="B81" s="320">
        <f>'Measure Tables'!P207</f>
        <v>1.7453816622858349</v>
      </c>
      <c r="C81" s="320">
        <f>'Measure Tables'!T207</f>
        <v>1.8574091588831128</v>
      </c>
      <c r="D81" s="322">
        <f>'Measure Tables'!U207</f>
        <v>6.4185100037410334E-2</v>
      </c>
      <c r="E81" s="334">
        <v>3</v>
      </c>
    </row>
    <row r="82" spans="1:5">
      <c r="A82" s="128" t="str">
        <f>'Measure Tables'!A208</f>
        <v>Custom Incentives; Whole Building 40% Over Baseline; COM-Other; New Construction - BNI</v>
      </c>
      <c r="B82" s="320">
        <f>'Measure Tables'!P208</f>
        <v>1.7458404034860093</v>
      </c>
      <c r="C82" s="320">
        <f>'Measure Tables'!T208</f>
        <v>1.8578973444331117</v>
      </c>
      <c r="D82" s="322">
        <f>'Measure Tables'!U208</f>
        <v>6.4185100037410375E-2</v>
      </c>
      <c r="E82" s="334">
        <v>3</v>
      </c>
    </row>
    <row r="83" spans="1:5">
      <c r="A83" s="128" t="str">
        <f>'Measure Tables'!A114</f>
        <v>BNI - Efficient Product Rebates; Lighting Controls - Occupancy Sensors; COM-Lighting; Office</v>
      </c>
      <c r="B83" s="320">
        <f>'Measure Tables'!P114</f>
        <v>1.4117031546446381</v>
      </c>
      <c r="C83" s="320">
        <f>'Measure Tables'!T114</f>
        <v>1.9876965984031043</v>
      </c>
      <c r="D83" s="322">
        <f>'Measure Tables'!U114</f>
        <v>0.40801314487638052</v>
      </c>
      <c r="E83" s="334">
        <v>6</v>
      </c>
    </row>
    <row r="84" spans="1:5">
      <c r="A84" s="128" t="str">
        <f>'Measure Tables'!A167</f>
        <v>BNI- Direct Installation; LED Lamps-End of Life-BES; COM-Lighting; Retail</v>
      </c>
      <c r="B84" s="320">
        <f>'Measure Tables'!P167</f>
        <v>1.5026266406850544</v>
      </c>
      <c r="C84" s="320">
        <f>'Measure Tables'!T167</f>
        <v>2.052398468952811</v>
      </c>
      <c r="D84" s="322">
        <f>'Measure Tables'!U167</f>
        <v>0.36587387271206179</v>
      </c>
      <c r="E84" s="334">
        <v>6</v>
      </c>
    </row>
    <row r="85" spans="1:5">
      <c r="A85" s="128" t="str">
        <f>'Measure Tables'!A55</f>
        <v>BNI - Efficient Product Rebates; Electronically Commutated (Brushless) DC Motors for Refrigeration Applications; COM-Refrigeration; School</v>
      </c>
      <c r="B85" s="320">
        <f>'Measure Tables'!P55</f>
        <v>2.0257016944545763</v>
      </c>
      <c r="C85" s="320">
        <f>'Measure Tables'!T55</f>
        <v>2.0257016944545763</v>
      </c>
      <c r="D85" s="322">
        <f>'Measure Tables'!U55</f>
        <v>0</v>
      </c>
      <c r="E85" s="334">
        <v>2</v>
      </c>
    </row>
    <row r="86" spans="1:5">
      <c r="A86" s="128" t="str">
        <f>'Measure Tables'!A53</f>
        <v>BNI - Efficient Product Rebates; Electronically Commutated (Brushless) DC Motors for Refrigeration Applications; COM-Refrigeration; Other Commercial</v>
      </c>
      <c r="B86" s="320">
        <f>'Measure Tables'!P53</f>
        <v>2.0262398916795568</v>
      </c>
      <c r="C86" s="320">
        <f>'Measure Tables'!T53</f>
        <v>2.0262398916795568</v>
      </c>
      <c r="D86" s="322">
        <f>'Measure Tables'!U53</f>
        <v>0</v>
      </c>
      <c r="E86" s="334">
        <v>2</v>
      </c>
    </row>
    <row r="87" spans="1:5">
      <c r="A87" s="128" t="str">
        <f>'Measure Tables'!A54</f>
        <v>BNI - Efficient Product Rebates; Electronically Commutated (Brushless) DC Motors for Refrigeration Applications; COM-Refrigeration; Retail</v>
      </c>
      <c r="B87" s="320">
        <f>'Measure Tables'!P54</f>
        <v>2.0264806128770121</v>
      </c>
      <c r="C87" s="320">
        <f>'Measure Tables'!T54</f>
        <v>2.0264806128770121</v>
      </c>
      <c r="D87" s="322">
        <f>'Measure Tables'!U54</f>
        <v>0</v>
      </c>
      <c r="E87" s="334">
        <v>2</v>
      </c>
    </row>
    <row r="88" spans="1:5">
      <c r="A88" s="128" t="str">
        <f>'Measure Tables'!A39</f>
        <v>BNI - Efficient Product Rebates; Evaporator Fan Motor Controls for Walk-In Freezers and Coolers; COM-Refrigeration; School</v>
      </c>
      <c r="B88" s="320">
        <f>'Measure Tables'!P39</f>
        <v>2.0360414253993575</v>
      </c>
      <c r="C88" s="320">
        <f>'Measure Tables'!T39</f>
        <v>2.0360414253993575</v>
      </c>
      <c r="D88" s="322">
        <f>'Measure Tables'!U39</f>
        <v>0</v>
      </c>
      <c r="E88" s="334">
        <v>2</v>
      </c>
    </row>
    <row r="89" spans="1:5">
      <c r="A89" s="128" t="str">
        <f>'Measure Tables'!A166</f>
        <v>BNI- Direct Installation; LED Lamps-End of Life-BES; COM-Lighting; Other Commercial</v>
      </c>
      <c r="B89" s="320">
        <f>'Measure Tables'!P166</f>
        <v>1.5313121176000779</v>
      </c>
      <c r="C89" s="320">
        <f>'Measure Tables'!T166</f>
        <v>2.1048110156935946</v>
      </c>
      <c r="D89" s="322">
        <f>'Measure Tables'!U166</f>
        <v>0.37451469984598751</v>
      </c>
      <c r="E89" s="334">
        <v>6</v>
      </c>
    </row>
    <row r="90" spans="1:5">
      <c r="A90" s="128" t="str">
        <f>'Measure Tables'!A52</f>
        <v xml:space="preserve">BNI - Efficient Product Rebates; Electronically Commutated (Brushless) DC Motors for Refrigeration Applications; IND; Industrial </v>
      </c>
      <c r="B90" s="320">
        <f>'Measure Tables'!P52</f>
        <v>2.0723321209396599</v>
      </c>
      <c r="C90" s="320">
        <f>'Measure Tables'!T52</f>
        <v>2.0723321209396599</v>
      </c>
      <c r="D90" s="322">
        <f>'Measure Tables'!U52</f>
        <v>0</v>
      </c>
      <c r="E90" s="334">
        <v>2</v>
      </c>
    </row>
    <row r="91" spans="1:5">
      <c r="A91" s="128" t="str">
        <f>'Measure Tables'!A37</f>
        <v>BNI - Efficient Product Rebates; Evaporator Fan Motor Controls for Walk-In Freezers and Coolers; COM-Refrigeration; Other Commercial</v>
      </c>
      <c r="B91" s="320">
        <f>'Measure Tables'!P37</f>
        <v>2.07662411709769</v>
      </c>
      <c r="C91" s="320">
        <f>'Measure Tables'!T37</f>
        <v>2.07662411709769</v>
      </c>
      <c r="D91" s="322">
        <f>'Measure Tables'!U37</f>
        <v>0</v>
      </c>
      <c r="E91" s="334">
        <v>2</v>
      </c>
    </row>
    <row r="92" spans="1:5">
      <c r="A92" s="128" t="str">
        <f>'Measure Tables'!A38</f>
        <v>BNI - Efficient Product Rebates; Evaporator Fan Motor Controls for Walk-In Freezers and Coolers; COM-Refrigeration; Retail</v>
      </c>
      <c r="B92" s="320">
        <f>'Measure Tables'!P38</f>
        <v>2.0881995663230017</v>
      </c>
      <c r="C92" s="320">
        <f>'Measure Tables'!T38</f>
        <v>2.0881995663230017</v>
      </c>
      <c r="D92" s="322">
        <f>'Measure Tables'!U38</f>
        <v>0</v>
      </c>
      <c r="E92" s="334">
        <v>2</v>
      </c>
    </row>
    <row r="93" spans="1:5">
      <c r="A93" s="128" t="str">
        <f>'Measure Tables'!A108</f>
        <v xml:space="preserve">BNI - Efficient Product Rebates; Photoluminescent Exit Sign; IND; Industrial </v>
      </c>
      <c r="B93" s="320">
        <f>'Measure Tables'!P108</f>
        <v>1.5506093582189306</v>
      </c>
      <c r="C93" s="320">
        <f>'Measure Tables'!T108</f>
        <v>2.1385633991850161</v>
      </c>
      <c r="D93" s="322">
        <f>'Measure Tables'!U108</f>
        <v>0.37917612056812583</v>
      </c>
      <c r="E93" s="334">
        <v>6</v>
      </c>
    </row>
    <row r="94" spans="1:5">
      <c r="A94" s="128" t="str">
        <f>'Measure Tables'!A109</f>
        <v>BNI - Efficient Product Rebates; Photoluminescent Exit Sign; COM-Lighting; Office</v>
      </c>
      <c r="B94" s="320">
        <f>'Measure Tables'!P109</f>
        <v>1.5506093582189306</v>
      </c>
      <c r="C94" s="320">
        <f>'Measure Tables'!T109</f>
        <v>2.1385633991850161</v>
      </c>
      <c r="D94" s="322">
        <f>'Measure Tables'!U109</f>
        <v>0.37917612056812583</v>
      </c>
      <c r="E94" s="334">
        <v>6</v>
      </c>
    </row>
    <row r="95" spans="1:5">
      <c r="A95" s="128" t="str">
        <f>'Measure Tables'!A110</f>
        <v>BNI - Efficient Product Rebates; Photoluminescent Exit Sign; COM-Lighting; Other Commercial</v>
      </c>
      <c r="B95" s="320">
        <f>'Measure Tables'!P110</f>
        <v>1.5506093582189306</v>
      </c>
      <c r="C95" s="320">
        <f>'Measure Tables'!T110</f>
        <v>2.1385633991850161</v>
      </c>
      <c r="D95" s="322">
        <f>'Measure Tables'!U110</f>
        <v>0.37917612056812583</v>
      </c>
      <c r="E95" s="334">
        <v>6</v>
      </c>
    </row>
    <row r="96" spans="1:5">
      <c r="A96" s="128" t="str">
        <f>'Measure Tables'!A111</f>
        <v>BNI - Efficient Product Rebates; Photoluminescent Exit Sign; COM-Lighting; Retail</v>
      </c>
      <c r="B96" s="320">
        <f>'Measure Tables'!P111</f>
        <v>1.5506093582189306</v>
      </c>
      <c r="C96" s="320">
        <f>'Measure Tables'!T111</f>
        <v>2.1385633991850161</v>
      </c>
      <c r="D96" s="322">
        <f>'Measure Tables'!U111</f>
        <v>0.37917612056812583</v>
      </c>
      <c r="E96" s="334">
        <v>6</v>
      </c>
    </row>
    <row r="97" spans="1:5">
      <c r="A97" s="128" t="str">
        <f>'Measure Tables'!A112</f>
        <v>BNI - Efficient Product Rebates; Photoluminescent Exit Sign; COM-Lighting; School</v>
      </c>
      <c r="B97" s="320">
        <f>'Measure Tables'!P112</f>
        <v>1.5506093582189306</v>
      </c>
      <c r="C97" s="320">
        <f>'Measure Tables'!T112</f>
        <v>2.1385633991850161</v>
      </c>
      <c r="D97" s="322">
        <f>'Measure Tables'!U112</f>
        <v>0.37917612056812583</v>
      </c>
      <c r="E97" s="334">
        <v>6</v>
      </c>
    </row>
    <row r="98" spans="1:5">
      <c r="A98" s="128" t="str">
        <f>'Measure Tables'!A63</f>
        <v>BNI - Efficient Product Rebates; Relamp/Reballast-Retrofit (dual baseline); COM-Lighting; Other Commercial</v>
      </c>
      <c r="B98" s="320">
        <f>'Measure Tables'!P63</f>
        <v>1.6023561309206746</v>
      </c>
      <c r="C98" s="320">
        <f>'Measure Tables'!T63</f>
        <v>2.1485985798624254</v>
      </c>
      <c r="D98" s="322">
        <f>'Measure Tables'!U63</f>
        <v>0.34089952813916169</v>
      </c>
      <c r="E98" s="334">
        <v>6</v>
      </c>
    </row>
    <row r="99" spans="1:5">
      <c r="A99" s="128" t="str">
        <f>'Measure Tables'!A18</f>
        <v>BNI - Efficient Product Rebates; Solid Door Commercial Refrigerator; COM-Refrigeration; Retail</v>
      </c>
      <c r="B99" s="320">
        <f>'Measure Tables'!P18</f>
        <v>1.3244852365682911</v>
      </c>
      <c r="C99" s="320">
        <f>'Measure Tables'!T18</f>
        <v>2.1836132856371959</v>
      </c>
      <c r="D99" s="322">
        <f>'Measure Tables'!U18</f>
        <v>0.64865052878572249</v>
      </c>
      <c r="E99" s="334">
        <v>9</v>
      </c>
    </row>
    <row r="100" spans="1:5">
      <c r="A100" s="128" t="str">
        <f>'Measure Tables'!A22</f>
        <v>BNI - Efficient Product Rebates; ENERGY STAR® Remote Condensing Head/Split System Ice Maker; COM-Refrigeration; Retail</v>
      </c>
      <c r="B100" s="320">
        <f>'Measure Tables'!P22</f>
        <v>1.7756726987472056</v>
      </c>
      <c r="C100" s="320">
        <f>'Measure Tables'!T22</f>
        <v>2.1779057103021202</v>
      </c>
      <c r="D100" s="322">
        <f>'Measure Tables'!U22</f>
        <v>0.22652429799630475</v>
      </c>
      <c r="E100" s="334">
        <v>5</v>
      </c>
    </row>
    <row r="101" spans="1:5">
      <c r="A101" s="128" t="str">
        <f>'Measure Tables'!A62</f>
        <v>BNI - Efficient Product Rebates; Relamp/Reballast-Retrofit (dual baseline); COM-Lighting; Office</v>
      </c>
      <c r="B101" s="320">
        <f>'Measure Tables'!P62</f>
        <v>1.6299300750053118</v>
      </c>
      <c r="C101" s="320">
        <f>'Measure Tables'!T62</f>
        <v>2.1922259703545137</v>
      </c>
      <c r="D101" s="322">
        <f>'Measure Tables'!U62</f>
        <v>0.34498160624919411</v>
      </c>
      <c r="E101" s="334">
        <v>6</v>
      </c>
    </row>
    <row r="102" spans="1:5">
      <c r="A102" s="128" t="str">
        <f>'Measure Tables'!A64</f>
        <v>BNI - Efficient Product Rebates; Relamp/Reballast-Retrofit (dual baseline); COM-Lighting; Retail</v>
      </c>
      <c r="B102" s="320">
        <f>'Measure Tables'!P64</f>
        <v>1.6471058466668058</v>
      </c>
      <c r="C102" s="320">
        <f>'Measure Tables'!T64</f>
        <v>2.1958944167384975</v>
      </c>
      <c r="D102" s="322">
        <f>'Measure Tables'!U64</f>
        <v>0.33318354808967326</v>
      </c>
      <c r="E102" s="334">
        <v>6</v>
      </c>
    </row>
    <row r="103" spans="1:5">
      <c r="A103" s="128" t="str">
        <f>'Measure Tables'!A67</f>
        <v>BNI - Efficient Product Rebates; T8 Dimmable Stairwell Lighting; COM-Lighting; Office</v>
      </c>
      <c r="B103" s="320">
        <f>'Measure Tables'!P67</f>
        <v>1.5944140525196868</v>
      </c>
      <c r="C103" s="320">
        <f>'Measure Tables'!T67</f>
        <v>2.2449559443233387</v>
      </c>
      <c r="D103" s="322">
        <f>'Measure Tables'!U67</f>
        <v>0.40801314487638046</v>
      </c>
      <c r="E103" s="334">
        <v>6</v>
      </c>
    </row>
    <row r="104" spans="1:5">
      <c r="A104" s="128" t="str">
        <f>'Measure Tables'!A65</f>
        <v>BNI - Efficient Product Rebates; Relamp/Reballast-Retrofit (dual baseline); COM-Lighting; School</v>
      </c>
      <c r="B104" s="320">
        <f>'Measure Tables'!P65</f>
        <v>1.6774613509309899</v>
      </c>
      <c r="C104" s="320">
        <f>'Measure Tables'!T65</f>
        <v>2.241937529152926</v>
      </c>
      <c r="D104" s="322">
        <f>'Measure Tables'!U65</f>
        <v>0.33650621989511242</v>
      </c>
      <c r="E104" s="334">
        <v>6</v>
      </c>
    </row>
    <row r="105" spans="1:5">
      <c r="A105" s="128" t="str">
        <f>'Measure Tables'!A219</f>
        <v>Residential - Efficient Product Rebates; ENERGY STAR® LED Lamps; RES-Lighting; RES-SF</v>
      </c>
      <c r="B105" s="320">
        <f>'Measure Tables'!P219</f>
        <v>2.09267634198455</v>
      </c>
      <c r="C105" s="320">
        <f>'Measure Tables'!T219</f>
        <v>2.2349801743414259</v>
      </c>
      <c r="D105" s="322">
        <f>'Measure Tables'!U219</f>
        <v>6.8000879783409213E-2</v>
      </c>
      <c r="E105" s="334">
        <v>3</v>
      </c>
    </row>
    <row r="106" spans="1:5">
      <c r="A106" s="128" t="str">
        <f>'Measure Tables'!A61</f>
        <v xml:space="preserve">BNI - Efficient Product Rebates; Relamp/Reballast-Retrofit (dual baseline); IND; Industrial </v>
      </c>
      <c r="B106" s="320">
        <f>'Measure Tables'!P61</f>
        <v>1.771424947812881</v>
      </c>
      <c r="C106" s="320">
        <f>'Measure Tables'!T61</f>
        <v>2.3200545938033854</v>
      </c>
      <c r="D106" s="322">
        <f>'Measure Tables'!U61</f>
        <v>0.30971091756829955</v>
      </c>
      <c r="E106" s="334">
        <v>5</v>
      </c>
    </row>
    <row r="107" spans="1:5">
      <c r="A107" s="128" t="str">
        <f>'Measure Tables'!A124</f>
        <v>BNI - Efficient Product Rebates; Cycling Refrigerated Air Dryers (≤ 300 CFM capacity); COM-Process; School</v>
      </c>
      <c r="B107" s="320">
        <f>'Measure Tables'!P124</f>
        <v>2.3202023267243828</v>
      </c>
      <c r="C107" s="320">
        <f>'Measure Tables'!T124</f>
        <v>2.3202023267243828</v>
      </c>
      <c r="D107" s="322">
        <f>'Measure Tables'!U124</f>
        <v>0</v>
      </c>
      <c r="E107" s="334">
        <v>2</v>
      </c>
    </row>
    <row r="108" spans="1:5">
      <c r="A108" s="128" t="str">
        <f>'Measure Tables'!A242</f>
        <v>Existing Residential; 1W LED Nightlight; RES-Lighting; MURB</v>
      </c>
      <c r="B108" s="320">
        <f>'Measure Tables'!P242</f>
        <v>1.9045691724200355</v>
      </c>
      <c r="C108" s="320">
        <f>'Measure Tables'!T242</f>
        <v>2.3546815461784898</v>
      </c>
      <c r="D108" s="322">
        <f>'Measure Tables'!U242</f>
        <v>0.23633290944561505</v>
      </c>
      <c r="E108" s="334">
        <v>5</v>
      </c>
    </row>
    <row r="109" spans="1:5">
      <c r="A109" s="128" t="str">
        <f>'Measure Tables'!A226</f>
        <v>Residential - Efficient Product Rebates; Advanced Power Strip (load sensing or remote control/wireless APS); RES-Plug Load; RES-SF</v>
      </c>
      <c r="B109" s="320">
        <f>'Measure Tables'!P226</f>
        <v>2.4329316386805018</v>
      </c>
      <c r="C109" s="320">
        <f>'Measure Tables'!T226</f>
        <v>2.4329316386805018</v>
      </c>
      <c r="D109" s="322">
        <f>'Measure Tables'!U226</f>
        <v>0</v>
      </c>
      <c r="E109" s="334">
        <v>2</v>
      </c>
    </row>
    <row r="110" spans="1:5">
      <c r="A110" s="128" t="str">
        <f>'Measure Tables'!A51</f>
        <v>BNI - Efficient Product Rebates; Strip Curtains for 3' Open Refrigerated Display Cases; COM-Refrigeration; School</v>
      </c>
      <c r="B110" s="320">
        <f>'Measure Tables'!P51</f>
        <v>2.4754565682000402</v>
      </c>
      <c r="C110" s="320">
        <f>'Measure Tables'!T51</f>
        <v>2.4754565682000402</v>
      </c>
      <c r="D110" s="322">
        <f>'Measure Tables'!U51</f>
        <v>0</v>
      </c>
      <c r="E110" s="334">
        <v>2</v>
      </c>
    </row>
    <row r="111" spans="1:5">
      <c r="A111" s="128" t="str">
        <f>'Measure Tables'!A49</f>
        <v>BNI - Efficient Product Rebates; Strip Curtains for 3' Open Refrigerated Display Cases; COM-Refrigeration; Other Commercial</v>
      </c>
      <c r="B111" s="320">
        <f>'Measure Tables'!P49</f>
        <v>2.4759805897681701</v>
      </c>
      <c r="C111" s="320">
        <f>'Measure Tables'!T49</f>
        <v>2.4759805897681701</v>
      </c>
      <c r="D111" s="322">
        <f>'Measure Tables'!U49</f>
        <v>0</v>
      </c>
      <c r="E111" s="334">
        <v>2</v>
      </c>
    </row>
    <row r="112" spans="1:5">
      <c r="A112" s="128" t="str">
        <f>'Measure Tables'!A50</f>
        <v>BNI - Efficient Product Rebates; Strip Curtains for 3' Open Refrigerated Display Cases; COM-Refrigeration; Retail</v>
      </c>
      <c r="B112" s="320">
        <f>'Measure Tables'!P50</f>
        <v>2.4762149705741598</v>
      </c>
      <c r="C112" s="320">
        <f>'Measure Tables'!T50</f>
        <v>2.4762149705741598</v>
      </c>
      <c r="D112" s="322">
        <f>'Measure Tables'!U50</f>
        <v>0</v>
      </c>
      <c r="E112" s="334">
        <v>2</v>
      </c>
    </row>
    <row r="113" spans="1:5">
      <c r="A113" s="128" t="str">
        <f>'Measure Tables'!A133</f>
        <v>BNI - Efficient Product Rebates; Integrated Dual Enthalpy Economizer Controls; COM-HVAC; Office</v>
      </c>
      <c r="B113" s="320">
        <f>'Measure Tables'!P133</f>
        <v>2.5601364763393386</v>
      </c>
      <c r="C113" s="320">
        <f>'Measure Tables'!T133</f>
        <v>2.5601364763393386</v>
      </c>
      <c r="D113" s="322">
        <f>'Measure Tables'!U133</f>
        <v>0</v>
      </c>
      <c r="E113" s="334">
        <v>2</v>
      </c>
    </row>
    <row r="114" spans="1:5">
      <c r="A114" s="128" t="str">
        <f>'Measure Tables'!A134</f>
        <v>BNI - Efficient Product Rebates; Integrated Dual Enthalpy Economizer Controls; COM-HVAC; Other Commercial</v>
      </c>
      <c r="B114" s="320">
        <f>'Measure Tables'!P134</f>
        <v>2.5601364763393386</v>
      </c>
      <c r="C114" s="320">
        <f>'Measure Tables'!T134</f>
        <v>2.5601364763393386</v>
      </c>
      <c r="D114" s="322">
        <f>'Measure Tables'!U134</f>
        <v>0</v>
      </c>
      <c r="E114" s="334">
        <v>2</v>
      </c>
    </row>
    <row r="115" spans="1:5">
      <c r="A115" s="128" t="str">
        <f>'Measure Tables'!A125</f>
        <v xml:space="preserve">BNI - Efficient Product Rebates; Variable Speed Drive Screw Compressors (10 - 40 hp); IND; Industrial </v>
      </c>
      <c r="B115" s="320">
        <f>'Measure Tables'!P125</f>
        <v>2.6018255218086841</v>
      </c>
      <c r="C115" s="320">
        <f>'Measure Tables'!T125</f>
        <v>2.6018255218086841</v>
      </c>
      <c r="D115" s="322">
        <f>'Measure Tables'!U125</f>
        <v>0</v>
      </c>
      <c r="E115" s="334">
        <v>2</v>
      </c>
    </row>
    <row r="116" spans="1:5">
      <c r="A116" s="128" t="str">
        <f>'Measure Tables'!A113</f>
        <v xml:space="preserve">BNI - Efficient Product Rebates; Lighting Controls - Occupancy Sensors; IND; Industrial </v>
      </c>
      <c r="B116" s="320">
        <f>'Measure Tables'!P113</f>
        <v>1.8097655264202912</v>
      </c>
      <c r="C116" s="320">
        <f>'Measure Tables'!T113</f>
        <v>2.66828780356943</v>
      </c>
      <c r="D116" s="322">
        <f>'Measure Tables'!U113</f>
        <v>0.47438315329571579</v>
      </c>
      <c r="E116" s="334">
        <v>7</v>
      </c>
    </row>
    <row r="117" spans="1:5">
      <c r="A117" s="128" t="str">
        <f>'Measure Tables'!A103</f>
        <v xml:space="preserve">BNI - Efficient Product Rebates; LED Exit Sign-End of Life replacement; IND; Industrial </v>
      </c>
      <c r="B117" s="320">
        <f>'Measure Tables'!P103</f>
        <v>1.9532101681831293</v>
      </c>
      <c r="C117" s="320">
        <f>'Measure Tables'!T103</f>
        <v>2.693820822409025</v>
      </c>
      <c r="D117" s="322">
        <f>'Measure Tables'!U103</f>
        <v>0.37917612056812589</v>
      </c>
      <c r="E117" s="334">
        <v>6</v>
      </c>
    </row>
    <row r="118" spans="1:5">
      <c r="A118" s="128" t="str">
        <f>'Measure Tables'!A104</f>
        <v>BNI - Efficient Product Rebates; LED Exit Sign-End of Life replacement; COM-Lighting; Office</v>
      </c>
      <c r="B118" s="320">
        <f>'Measure Tables'!P104</f>
        <v>1.9532101681831293</v>
      </c>
      <c r="C118" s="320">
        <f>'Measure Tables'!T104</f>
        <v>2.693820822409025</v>
      </c>
      <c r="D118" s="322">
        <f>'Measure Tables'!U104</f>
        <v>0.37917612056812589</v>
      </c>
      <c r="E118" s="334">
        <v>6</v>
      </c>
    </row>
    <row r="119" spans="1:5">
      <c r="A119" s="128" t="str">
        <f>'Measure Tables'!A105</f>
        <v>BNI - Efficient Product Rebates; LED Exit Sign-End of Life replacement; COM-Lighting; Other Commercial</v>
      </c>
      <c r="B119" s="320">
        <f>'Measure Tables'!P105</f>
        <v>1.9532101681831293</v>
      </c>
      <c r="C119" s="320">
        <f>'Measure Tables'!T105</f>
        <v>2.693820822409025</v>
      </c>
      <c r="D119" s="322">
        <f>'Measure Tables'!U105</f>
        <v>0.37917612056812589</v>
      </c>
      <c r="E119" s="334">
        <v>6</v>
      </c>
    </row>
    <row r="120" spans="1:5">
      <c r="A120" s="128" t="str">
        <f>'Measure Tables'!A106</f>
        <v>BNI - Efficient Product Rebates; LED Exit Sign-End of Life replacement; COM-Lighting; Retail</v>
      </c>
      <c r="B120" s="320">
        <f>'Measure Tables'!P106</f>
        <v>1.9532101681831293</v>
      </c>
      <c r="C120" s="320">
        <f>'Measure Tables'!T106</f>
        <v>2.693820822409025</v>
      </c>
      <c r="D120" s="322">
        <f>'Measure Tables'!U106</f>
        <v>0.37917612056812589</v>
      </c>
      <c r="E120" s="334">
        <v>6</v>
      </c>
    </row>
    <row r="121" spans="1:5">
      <c r="A121" s="128" t="str">
        <f>'Measure Tables'!A107</f>
        <v>BNI - Efficient Product Rebates; LED Exit Sign-End of Life replacement; COM-Lighting; School</v>
      </c>
      <c r="B121" s="320">
        <f>'Measure Tables'!P107</f>
        <v>1.9532101681831293</v>
      </c>
      <c r="C121" s="320">
        <f>'Measure Tables'!T107</f>
        <v>2.693820822409025</v>
      </c>
      <c r="D121" s="322">
        <f>'Measure Tables'!U107</f>
        <v>0.37917612056812589</v>
      </c>
      <c r="E121" s="334">
        <v>6</v>
      </c>
    </row>
    <row r="122" spans="1:5">
      <c r="A122" s="128" t="str">
        <f>'Measure Tables'!A130</f>
        <v xml:space="preserve">BNI - Efficient Product Rebates; Air Tanks for Load / No-Load Screw Compressors (10 – 40 hp); IND; Industrial </v>
      </c>
      <c r="B122" s="320">
        <f>'Measure Tables'!P130</f>
        <v>2.6796968390640368</v>
      </c>
      <c r="C122" s="320">
        <f>'Measure Tables'!T130</f>
        <v>2.6796968390640368</v>
      </c>
      <c r="D122" s="322">
        <f>'Measure Tables'!U130</f>
        <v>0</v>
      </c>
      <c r="E122" s="334">
        <v>2</v>
      </c>
    </row>
    <row r="123" spans="1:5">
      <c r="A123" s="128" t="str">
        <f>'Measure Tables'!A21</f>
        <v>BNI - Efficient Product Rebates; ENERGY STAR® Ice Making Head; COM-Refrigeration; Retail</v>
      </c>
      <c r="B123" s="320">
        <f>'Measure Tables'!P21</f>
        <v>2.0624154680227962</v>
      </c>
      <c r="C123" s="320">
        <f>'Measure Tables'!T21</f>
        <v>2.7549133492795885</v>
      </c>
      <c r="D123" s="322">
        <f>'Measure Tables'!U21</f>
        <v>0.33577031010181413</v>
      </c>
      <c r="E123" s="334">
        <v>6</v>
      </c>
    </row>
    <row r="124" spans="1:5">
      <c r="A124" s="128" t="str">
        <f>'Measure Tables'!A79</f>
        <v>BNI - Efficient Product Rebates; LED Lamps-End of Life; COM-Lighting; Retail</v>
      </c>
      <c r="B124" s="320">
        <f>'Measure Tables'!P79</f>
        <v>2.0078851166420968</v>
      </c>
      <c r="C124" s="320">
        <f>'Measure Tables'!T79</f>
        <v>2.7425178202288505</v>
      </c>
      <c r="D124" s="322">
        <f>'Measure Tables'!U79</f>
        <v>0.36587387271206173</v>
      </c>
      <c r="E124" s="334">
        <v>6</v>
      </c>
    </row>
    <row r="125" spans="1:5">
      <c r="A125" s="128" t="str">
        <f>'Measure Tables'!A24</f>
        <v>BNI - Efficient Product Rebates; ENERGY STAR® Commercial Electric Convection Oven; COM-Other; Retail</v>
      </c>
      <c r="B125" s="320">
        <f>'Measure Tables'!P24</f>
        <v>2.7070647359823434</v>
      </c>
      <c r="C125" s="320">
        <f>'Measure Tables'!T24</f>
        <v>2.7070647359823434</v>
      </c>
      <c r="D125" s="322">
        <f>'Measure Tables'!U24</f>
        <v>0</v>
      </c>
      <c r="E125" s="334">
        <v>2</v>
      </c>
    </row>
    <row r="126" spans="1:5">
      <c r="A126" s="128" t="str">
        <f>'Measure Tables'!A175</f>
        <v>BNI- Direct Installation; High-Efficiency Air Source Heat Pumps; COM-HVAC; School</v>
      </c>
      <c r="B126" s="320">
        <f>'Measure Tables'!P175</f>
        <v>1.2732681733093543</v>
      </c>
      <c r="C126" s="320">
        <f>'Measure Tables'!T175</f>
        <v>2.8330491531540249</v>
      </c>
      <c r="D126" s="322">
        <f>'Measure Tables'!U175</f>
        <v>1.2250215724709748</v>
      </c>
      <c r="E126" s="334">
        <v>10</v>
      </c>
    </row>
    <row r="127" spans="1:5">
      <c r="A127" s="128" t="str">
        <f>'Measure Tables'!A174</f>
        <v>BNI- Direct Installation; High-Efficiency Air Source Heat Pumps; COM-HVAC; Retail</v>
      </c>
      <c r="B127" s="320">
        <f>'Measure Tables'!P174</f>
        <v>1.2787206331328507</v>
      </c>
      <c r="C127" s="320">
        <f>'Measure Tables'!T174</f>
        <v>2.8385016129775216</v>
      </c>
      <c r="D127" s="322">
        <f>'Measure Tables'!U174</f>
        <v>1.2197980852340089</v>
      </c>
      <c r="E127" s="334">
        <v>10</v>
      </c>
    </row>
    <row r="128" spans="1:5">
      <c r="A128" s="128" t="str">
        <f>'Measure Tables'!A78</f>
        <v>BNI - Efficient Product Rebates; LED Lamps-End of Life; COM-Lighting; Other Commercial</v>
      </c>
      <c r="B128" s="320">
        <f>'Measure Tables'!P78</f>
        <v>2.0763478335999492</v>
      </c>
      <c r="C128" s="320">
        <f>'Measure Tables'!T78</f>
        <v>2.8539706192765006</v>
      </c>
      <c r="D128" s="322">
        <f>'Measure Tables'!U78</f>
        <v>0.37451469984598751</v>
      </c>
      <c r="E128" s="334">
        <v>6</v>
      </c>
    </row>
    <row r="129" spans="1:5">
      <c r="A129" s="128" t="str">
        <f>'Measure Tables'!A173</f>
        <v>BNI- Direct Installation; High-Efficiency Air Source Heat Pumps; COM-HVAC; Other Commercial</v>
      </c>
      <c r="B129" s="320">
        <f>'Measure Tables'!P173</f>
        <v>1.3011627425469097</v>
      </c>
      <c r="C129" s="320">
        <f>'Measure Tables'!T173</f>
        <v>2.8609437223915801</v>
      </c>
      <c r="D129" s="322">
        <f>'Measure Tables'!U173</f>
        <v>1.1987593318200449</v>
      </c>
      <c r="E129" s="334">
        <v>10</v>
      </c>
    </row>
    <row r="130" spans="1:5">
      <c r="A130" s="128" t="str">
        <f>'Measure Tables'!A172</f>
        <v>BNI- Direct Installation; High-Efficiency Air Source Heat Pumps; COM-HVAC; Office</v>
      </c>
      <c r="B130" s="320">
        <f>'Measure Tables'!P172</f>
        <v>1.3115718813794606</v>
      </c>
      <c r="C130" s="320">
        <f>'Measure Tables'!T172</f>
        <v>2.871352861224131</v>
      </c>
      <c r="D130" s="322">
        <f>'Measure Tables'!U172</f>
        <v>1.1892455167643219</v>
      </c>
      <c r="E130" s="334">
        <v>10</v>
      </c>
    </row>
    <row r="131" spans="1:5">
      <c r="A131" s="128" t="str">
        <f>'Measure Tables'!A241</f>
        <v>Existing Residential; 1W LED Nightlight; RES-Lighting; RES-SF</v>
      </c>
      <c r="B131" s="320">
        <f>'Measure Tables'!P241</f>
        <v>2.3872017348887282</v>
      </c>
      <c r="C131" s="320">
        <f>'Measure Tables'!T241</f>
        <v>2.8437816197796866</v>
      </c>
      <c r="D131" s="322">
        <f>'Measure Tables'!U241</f>
        <v>0.19126154200463513</v>
      </c>
      <c r="E131" s="334">
        <v>4</v>
      </c>
    </row>
    <row r="132" spans="1:5">
      <c r="A132" s="128" t="str">
        <f>'Measure Tables'!A280</f>
        <v>New Residential; EnerGuide 88+ New Home; RES-Package; RES-NC</v>
      </c>
      <c r="B132" s="320">
        <f>'Measure Tables'!P280</f>
        <v>2.4799301970777234</v>
      </c>
      <c r="C132" s="320">
        <f>'Measure Tables'!T280</f>
        <v>2.7650498651747619</v>
      </c>
      <c r="D132" s="322">
        <f>'Measure Tables'!U280</f>
        <v>0.1149708441120702</v>
      </c>
      <c r="E132" s="334">
        <v>4</v>
      </c>
    </row>
    <row r="133" spans="1:5">
      <c r="A133" s="128" t="str">
        <f>'Measure Tables'!A76</f>
        <v xml:space="preserve">BNI - Efficient Product Rebates; LED Lamps-End of Life; IND; Industrial </v>
      </c>
      <c r="B133" s="320">
        <f>'Measure Tables'!P76</f>
        <v>2.1709727310646123</v>
      </c>
      <c r="C133" s="320">
        <f>'Measure Tables'!T76</f>
        <v>2.9083117527258282</v>
      </c>
      <c r="D133" s="322">
        <f>'Measure Tables'!U76</f>
        <v>0.33963532158215359</v>
      </c>
      <c r="E133" s="334">
        <v>6</v>
      </c>
    </row>
    <row r="134" spans="1:5">
      <c r="A134" s="128" t="str">
        <f>'Measure Tables'!A279</f>
        <v>New Residential; EnerGuide 88 New Home; RES-Package; RES-NC</v>
      </c>
      <c r="B134" s="320">
        <f>'Measure Tables'!P279</f>
        <v>2.4959133908614541</v>
      </c>
      <c r="C134" s="320">
        <f>'Measure Tables'!T279</f>
        <v>2.8115663871772107</v>
      </c>
      <c r="D134" s="322">
        <f>'Measure Tables'!U279</f>
        <v>0.12646792852327712</v>
      </c>
      <c r="E134" s="334">
        <v>4</v>
      </c>
    </row>
    <row r="135" spans="1:5">
      <c r="A135" s="128" t="str">
        <f>'Measure Tables'!A85</f>
        <v>BNI - Efficient Product Rebates; LED High Bay Fixture; COM-Lighting; Other Commercial</v>
      </c>
      <c r="B135" s="320">
        <f>'Measure Tables'!P85</f>
        <v>2.193607398918858</v>
      </c>
      <c r="C135" s="320">
        <f>'Measure Tables'!T85</f>
        <v>2.9414071261328707</v>
      </c>
      <c r="D135" s="322">
        <f>'Measure Tables'!U85</f>
        <v>0.34089952813916174</v>
      </c>
      <c r="E135" s="334">
        <v>6</v>
      </c>
    </row>
    <row r="136" spans="1:5">
      <c r="A136" s="128" t="str">
        <f>'Measure Tables'!A116</f>
        <v>BNI - Efficient Product Rebates; Lighting Controls - Occupancy Sensors; COM-Lighting; Retail</v>
      </c>
      <c r="B136" s="320">
        <f>'Measure Tables'!P116</f>
        <v>2.143902807850246</v>
      </c>
      <c r="C136" s="320">
        <f>'Measure Tables'!T116</f>
        <v>2.9993107171353546</v>
      </c>
      <c r="D136" s="322">
        <f>'Measure Tables'!U116</f>
        <v>0.39899565696396988</v>
      </c>
      <c r="E136" s="334">
        <v>6</v>
      </c>
    </row>
    <row r="137" spans="1:5">
      <c r="A137" s="128" t="str">
        <f>'Measure Tables'!A87</f>
        <v>BNI - Efficient Product Rebates; LED High Bay Fixture; COM-Lighting; School</v>
      </c>
      <c r="B137" s="320">
        <f>'Measure Tables'!P87</f>
        <v>2.23529997230753</v>
      </c>
      <c r="C137" s="320">
        <f>'Measure Tables'!T87</f>
        <v>2.9874923163203868</v>
      </c>
      <c r="D137" s="322">
        <f>'Measure Tables'!U87</f>
        <v>0.33650621989511265</v>
      </c>
      <c r="E137" s="334">
        <v>6</v>
      </c>
    </row>
    <row r="138" spans="1:5">
      <c r="A138" s="128" t="str">
        <f>'Measure Tables'!A20</f>
        <v>BNI - Efficient Product Rebates; Solid Door Commercial Freezer; COM-Refrigeration; Retail</v>
      </c>
      <c r="B138" s="320">
        <f>'Measure Tables'!P20</f>
        <v>1.8355907062310652</v>
      </c>
      <c r="C138" s="320">
        <f>'Measure Tables'!T20</f>
        <v>3.0262475884620033</v>
      </c>
      <c r="D138" s="322">
        <f>'Measure Tables'!U20</f>
        <v>0.64865052878572238</v>
      </c>
      <c r="E138" s="334">
        <v>9</v>
      </c>
    </row>
    <row r="139" spans="1:5">
      <c r="A139" s="128" t="str">
        <f>'Measure Tables'!A278</f>
        <v>New Residential; EnerGuide 87 New Home; RES-Package; RES-NC</v>
      </c>
      <c r="B139" s="320">
        <f>'Measure Tables'!P278</f>
        <v>2.5159317070077356</v>
      </c>
      <c r="C139" s="320">
        <f>'Measure Tables'!T278</f>
        <v>2.8694256987937639</v>
      </c>
      <c r="D139" s="322">
        <f>'Measure Tables'!U278</f>
        <v>0.14050222062921097</v>
      </c>
      <c r="E139" s="334">
        <v>4</v>
      </c>
    </row>
    <row r="140" spans="1:5">
      <c r="A140" s="128" t="str">
        <f>'Measure Tables'!A86</f>
        <v>BNI - Efficient Product Rebates; LED High Bay Fixture; COM-Lighting; Retail</v>
      </c>
      <c r="B140" s="320">
        <f>'Measure Tables'!P86</f>
        <v>2.2537060182954263</v>
      </c>
      <c r="C140" s="320">
        <f>'Measure Tables'!T86</f>
        <v>3.0046037858221459</v>
      </c>
      <c r="D140" s="322">
        <f>'Measure Tables'!U86</f>
        <v>0.33318354808967304</v>
      </c>
      <c r="E140" s="334">
        <v>6</v>
      </c>
    </row>
    <row r="141" spans="1:5">
      <c r="A141" s="128" t="str">
        <f>'Measure Tables'!A42</f>
        <v>BNI - Efficient Product Rebates; Intelligent (Electronic) Defrost Control For Freezer Display Cases; COM-Refrigeration; School</v>
      </c>
      <c r="B141" s="320">
        <f>'Measure Tables'!P42</f>
        <v>3.0127154335898254</v>
      </c>
      <c r="C141" s="320">
        <f>'Measure Tables'!T42</f>
        <v>3.0127154335898254</v>
      </c>
      <c r="D141" s="322">
        <f>'Measure Tables'!U42</f>
        <v>0</v>
      </c>
      <c r="E141" s="334">
        <v>2</v>
      </c>
    </row>
    <row r="142" spans="1:5">
      <c r="A142" s="128" t="str">
        <f>'Measure Tables'!A277</f>
        <v>New Residential; EnerGuide 86 New Home; RES-Package; RES-NC</v>
      </c>
      <c r="B142" s="320">
        <f>'Measure Tables'!P277</f>
        <v>2.540948652571704</v>
      </c>
      <c r="C142" s="320">
        <f>'Measure Tables'!T277</f>
        <v>2.9426342932901495</v>
      </c>
      <c r="D142" s="322">
        <f>'Measure Tables'!U277</f>
        <v>0.1580849106540968</v>
      </c>
      <c r="E142" s="334">
        <v>4</v>
      </c>
    </row>
    <row r="143" spans="1:5">
      <c r="A143" s="128" t="str">
        <f>'Measure Tables'!A225</f>
        <v>Residential - Efficient Product Rebates; Heavy Duty Outdoor Timer; RES-Plug Load; RES-SF</v>
      </c>
      <c r="B143" s="320">
        <f>'Measure Tables'!P225</f>
        <v>2.9923076649100713</v>
      </c>
      <c r="C143" s="320">
        <f>'Measure Tables'!T225</f>
        <v>3.0527437917354892</v>
      </c>
      <c r="D143" s="322">
        <f>'Measure Tables'!U225</f>
        <v>2.0197163391363428E-2</v>
      </c>
      <c r="E143" s="334">
        <v>3</v>
      </c>
    </row>
    <row r="144" spans="1:5">
      <c r="A144" s="128" t="str">
        <f>'Measure Tables'!A17</f>
        <v>BNI - Efficient Product Rebates; Commercial Electric Griddle; COM-Other; Retail</v>
      </c>
      <c r="B144" s="320">
        <f>'Measure Tables'!P17</f>
        <v>3.0512364306843627</v>
      </c>
      <c r="C144" s="320">
        <f>'Measure Tables'!T17</f>
        <v>3.0512364306843627</v>
      </c>
      <c r="D144" s="322">
        <f>'Measure Tables'!U17</f>
        <v>0</v>
      </c>
      <c r="E144" s="334">
        <v>2</v>
      </c>
    </row>
    <row r="145" spans="1:5">
      <c r="A145" s="128" t="str">
        <f>'Measure Tables'!A253</f>
        <v>Existing Residential; Certified Pellet Stove; RES-HVAC/Shell; RES-SF</v>
      </c>
      <c r="B145" s="320">
        <f>'Measure Tables'!P253</f>
        <v>3.0480946169831964</v>
      </c>
      <c r="C145" s="320">
        <f>'Measure Tables'!T253</f>
        <v>3.0693712411746898</v>
      </c>
      <c r="D145" s="322">
        <f>'Measure Tables'!U253</f>
        <v>6.9803030630826209E-3</v>
      </c>
      <c r="E145" s="334">
        <v>3</v>
      </c>
    </row>
    <row r="146" spans="1:5">
      <c r="A146" s="128" t="str">
        <f>'Measure Tables'!A275</f>
        <v>New Residential; EnerGuide 83 New Home; RES-Package; RES-NC</v>
      </c>
      <c r="B146" s="320">
        <f>'Measure Tables'!P275</f>
        <v>2.3306794218558373</v>
      </c>
      <c r="C146" s="320">
        <f>'Measure Tables'!T275</f>
        <v>2.9201918189237119</v>
      </c>
      <c r="D146" s="322">
        <f>'Measure Tables'!U275</f>
        <v>0.25293585704655464</v>
      </c>
      <c r="E146" s="334">
        <v>6</v>
      </c>
    </row>
    <row r="147" spans="1:5">
      <c r="A147" s="128" t="str">
        <f>'Measure Tables'!A40</f>
        <v>BNI - Efficient Product Rebates; Intelligent (Electronic) Defrost Control For Freezer Display Cases; COM-Refrigeration; Other Commercial</v>
      </c>
      <c r="B147" s="320">
        <f>'Measure Tables'!P40</f>
        <v>3.0733786531836542</v>
      </c>
      <c r="C147" s="320">
        <f>'Measure Tables'!T40</f>
        <v>3.0733786531836542</v>
      </c>
      <c r="D147" s="322">
        <f>'Measure Tables'!U40</f>
        <v>0</v>
      </c>
      <c r="E147" s="334">
        <v>2</v>
      </c>
    </row>
    <row r="148" spans="1:5">
      <c r="A148" s="128" t="str">
        <f>'Measure Tables'!A115</f>
        <v>BNI - Efficient Product Rebates; Lighting Controls - Occupancy Sensors; COM-Lighting; Other Commercial</v>
      </c>
      <c r="B148" s="320">
        <f>'Measure Tables'!P115</f>
        <v>2.236074460073187</v>
      </c>
      <c r="C148" s="320">
        <f>'Measure Tables'!T115</f>
        <v>3.1409227478176045</v>
      </c>
      <c r="D148" s="322">
        <f>'Measure Tables'!U115</f>
        <v>0.40465928299847481</v>
      </c>
      <c r="E148" s="334">
        <v>6</v>
      </c>
    </row>
    <row r="149" spans="1:5">
      <c r="A149" s="128" t="str">
        <f>'Measure Tables'!A41</f>
        <v>BNI - Efficient Product Rebates; Intelligent (Electronic) Defrost Control For Freezer Display Cases; COM-Refrigeration; Retail</v>
      </c>
      <c r="B149" s="320">
        <f>'Measure Tables'!P41</f>
        <v>3.1018022895685688</v>
      </c>
      <c r="C149" s="320">
        <f>'Measure Tables'!T41</f>
        <v>3.1018022895685688</v>
      </c>
      <c r="D149" s="322">
        <f>'Measure Tables'!U41</f>
        <v>0</v>
      </c>
      <c r="E149" s="334">
        <v>2</v>
      </c>
    </row>
    <row r="150" spans="1:5">
      <c r="A150" s="128" t="str">
        <f>'Measure Tables'!A46</f>
        <v>BNI - Efficient Product Rebates; Refrigerated Vending Machine Controller; COM-Refrigeration; Office</v>
      </c>
      <c r="B150" s="320">
        <f>'Measure Tables'!P46</f>
        <v>3.1077078969344125</v>
      </c>
      <c r="C150" s="320">
        <f>'Measure Tables'!T46</f>
        <v>3.1077078969344125</v>
      </c>
      <c r="D150" s="322">
        <f>'Measure Tables'!U46</f>
        <v>0</v>
      </c>
      <c r="E150" s="334">
        <v>2</v>
      </c>
    </row>
    <row r="151" spans="1:5">
      <c r="A151" s="128" t="str">
        <f>'Measure Tables'!A47</f>
        <v>BNI - Efficient Product Rebates; Refrigerated Vending Machine Controller; COM-Refrigeration; Other Commercial</v>
      </c>
      <c r="B151" s="320">
        <f>'Measure Tables'!P47</f>
        <v>3.1077078969344125</v>
      </c>
      <c r="C151" s="320">
        <f>'Measure Tables'!T47</f>
        <v>3.1077078969344125</v>
      </c>
      <c r="D151" s="322">
        <f>'Measure Tables'!U47</f>
        <v>0</v>
      </c>
      <c r="E151" s="334">
        <v>2</v>
      </c>
    </row>
    <row r="152" spans="1:5">
      <c r="A152" s="128" t="str">
        <f>'Measure Tables'!A48</f>
        <v>BNI - Efficient Product Rebates; Refrigerated Vending Machine Controller; COM-Refrigeration; Retail</v>
      </c>
      <c r="B152" s="320">
        <f>'Measure Tables'!P48</f>
        <v>3.1349491348782341</v>
      </c>
      <c r="C152" s="320">
        <f>'Measure Tables'!T48</f>
        <v>3.1349491348782341</v>
      </c>
      <c r="D152" s="322">
        <f>'Measure Tables'!U48</f>
        <v>0</v>
      </c>
      <c r="E152" s="334">
        <v>2</v>
      </c>
    </row>
    <row r="153" spans="1:5">
      <c r="A153" s="128" t="str">
        <f>'Measure Tables'!A84</f>
        <v xml:space="preserve">BNI - Efficient Product Rebates; LED High Bay Fixture; IND; Industrial </v>
      </c>
      <c r="B153" s="320">
        <f>'Measure Tables'!P84</f>
        <v>2.4184429043472764</v>
      </c>
      <c r="C153" s="320">
        <f>'Measure Tables'!T84</f>
        <v>3.1674610753392143</v>
      </c>
      <c r="D153" s="322">
        <f>'Measure Tables'!U84</f>
        <v>0.30971091756829938</v>
      </c>
      <c r="E153" s="334">
        <v>5</v>
      </c>
    </row>
    <row r="154" spans="1:5">
      <c r="A154" s="128" t="str">
        <f>'Measure Tables'!A276</f>
        <v>New Residential; EnerGuide 85 New Home; RES-Package; RES-NC</v>
      </c>
      <c r="B154" s="320">
        <f>'Measure Tables'!P276</f>
        <v>2.5741247064055583</v>
      </c>
      <c r="C154" s="320">
        <f>'Measure Tables'!T276</f>
        <v>3.0391878769479876</v>
      </c>
      <c r="D154" s="322">
        <f>'Measure Tables'!U276</f>
        <v>0.18066846931896768</v>
      </c>
      <c r="E154" s="334">
        <v>5</v>
      </c>
    </row>
    <row r="155" spans="1:5">
      <c r="A155" s="128" t="str">
        <f>'Measure Tables'!A45</f>
        <v>BNI - Efficient Product Rebates; Intelligent (Electronic) Defrost Control For Walk-In Freezers; COM-Refrigeration; School</v>
      </c>
      <c r="B155" s="320">
        <f>'Measure Tables'!P45</f>
        <v>3.1952602029275119</v>
      </c>
      <c r="C155" s="320">
        <f>'Measure Tables'!T45</f>
        <v>3.1952602029275119</v>
      </c>
      <c r="D155" s="322">
        <f>'Measure Tables'!U45</f>
        <v>0</v>
      </c>
      <c r="E155" s="334">
        <v>2</v>
      </c>
    </row>
    <row r="156" spans="1:5">
      <c r="A156" s="128" t="str">
        <f>'Measure Tables'!A43</f>
        <v>BNI - Efficient Product Rebates; Intelligent (Electronic) Defrost Control For Walk-In Freezers; COM-Refrigeration; Other Commercial</v>
      </c>
      <c r="B156" s="320">
        <f>'Measure Tables'!P43</f>
        <v>3.2595990944100852</v>
      </c>
      <c r="C156" s="320">
        <f>'Measure Tables'!T43</f>
        <v>3.2595990944100852</v>
      </c>
      <c r="D156" s="322">
        <f>'Measure Tables'!U43</f>
        <v>0</v>
      </c>
      <c r="E156" s="334">
        <v>2</v>
      </c>
    </row>
    <row r="157" spans="1:5">
      <c r="A157" s="128" t="str">
        <f>'Measure Tables'!A44</f>
        <v>BNI - Efficient Product Rebates; Intelligent (Electronic) Defrost Control For Walk-In Freezers; COM-Refrigeration; Retail</v>
      </c>
      <c r="B157" s="320">
        <f>'Measure Tables'!P44</f>
        <v>3.2897449598810176</v>
      </c>
      <c r="C157" s="320">
        <f>'Measure Tables'!T44</f>
        <v>3.2897449598810176</v>
      </c>
      <c r="D157" s="322">
        <f>'Measure Tables'!U44</f>
        <v>0</v>
      </c>
      <c r="E157" s="334">
        <v>2</v>
      </c>
    </row>
    <row r="158" spans="1:5">
      <c r="A158" s="128" t="str">
        <f>'Measure Tables'!A69</f>
        <v>BNI - Efficient Product Rebates; T8 Dimmable Stairwell Lighting; COM-Lighting; Retail</v>
      </c>
      <c r="B158" s="320">
        <f>'Measure Tables'!P69</f>
        <v>2.4058457894102272</v>
      </c>
      <c r="C158" s="320">
        <f>'Measure Tables'!T69</f>
        <v>3.3657678107099613</v>
      </c>
      <c r="D158" s="322">
        <f>'Measure Tables'!U69</f>
        <v>0.39899565696396982</v>
      </c>
      <c r="E158" s="334">
        <v>6</v>
      </c>
    </row>
    <row r="159" spans="1:5">
      <c r="A159" s="128" t="str">
        <f>'Measure Tables'!A187</f>
        <v>BNI- Direct Installation; DHW Tank Wrap; COM-Other; Office</v>
      </c>
      <c r="B159" s="320">
        <f>'Measure Tables'!P187</f>
        <v>2.061464604948601</v>
      </c>
      <c r="C159" s="320">
        <f>'Measure Tables'!T187</f>
        <v>3.5308267610228548</v>
      </c>
      <c r="D159" s="322">
        <f>'Measure Tables'!U187</f>
        <v>0.71277583546523704</v>
      </c>
      <c r="E159" s="334">
        <v>9</v>
      </c>
    </row>
    <row r="160" spans="1:5">
      <c r="A160" s="128" t="str">
        <f>'Measure Tables'!A188</f>
        <v>BNI- Direct Installation; DHW Tank Wrap; COM-Other; Retail</v>
      </c>
      <c r="B160" s="320">
        <f>'Measure Tables'!P188</f>
        <v>2.061464604948601</v>
      </c>
      <c r="C160" s="320">
        <f>'Measure Tables'!T188</f>
        <v>3.5308267610228548</v>
      </c>
      <c r="D160" s="322">
        <f>'Measure Tables'!U188</f>
        <v>0.71277583546523704</v>
      </c>
      <c r="E160" s="334">
        <v>9</v>
      </c>
    </row>
    <row r="161" spans="1:5">
      <c r="A161" s="128" t="str">
        <f>'Measure Tables'!A68</f>
        <v>BNI - Efficient Product Rebates; T8 Dimmable Stairwell Lighting; COM-Lighting; Other Commercial</v>
      </c>
      <c r="B161" s="320">
        <f>'Measure Tables'!P68</f>
        <v>2.5064339288950239</v>
      </c>
      <c r="C161" s="320">
        <f>'Measure Tables'!T68</f>
        <v>3.5206856854447346</v>
      </c>
      <c r="D161" s="322">
        <f>'Measure Tables'!U68</f>
        <v>0.40465928299847487</v>
      </c>
      <c r="E161" s="334">
        <v>6</v>
      </c>
    </row>
    <row r="162" spans="1:5">
      <c r="A162" s="128" t="str">
        <f>'Measure Tables'!A250</f>
        <v>Existing Residential; DHW Tank Wrap; RES-Water Heat; MURB</v>
      </c>
      <c r="B162" s="320">
        <f>'Measure Tables'!P250</f>
        <v>2.655618006286399</v>
      </c>
      <c r="C162" s="320">
        <f>'Measure Tables'!T250</f>
        <v>3.5856725716264233</v>
      </c>
      <c r="D162" s="322">
        <f>'Measure Tables'!U250</f>
        <v>0.35022151647503219</v>
      </c>
      <c r="E162" s="334">
        <v>6</v>
      </c>
    </row>
    <row r="163" spans="1:5">
      <c r="A163" s="128" t="str">
        <f>'Measure Tables'!A142</f>
        <v>BNI - Efficient Product Rebates; Heat Reclaimer Unit; COM-Other; Other Commercial</v>
      </c>
      <c r="B163" s="320">
        <f>'Measure Tables'!P142</f>
        <v>3.4925087101467152</v>
      </c>
      <c r="C163" s="320">
        <f>'Measure Tables'!T142</f>
        <v>3.4925087101467152</v>
      </c>
      <c r="D163" s="322">
        <f>'Measure Tables'!U142</f>
        <v>0</v>
      </c>
      <c r="E163" s="334">
        <v>2</v>
      </c>
    </row>
    <row r="164" spans="1:5">
      <c r="A164" s="128" t="str">
        <f>'Measure Tables'!A240</f>
        <v>Existing Residential; 5W Chandelier LED bulb; RES-Lighting; MURB</v>
      </c>
      <c r="B164" s="320">
        <f>'Measure Tables'!P240</f>
        <v>3.3439238867036716</v>
      </c>
      <c r="C164" s="320">
        <f>'Measure Tables'!T240</f>
        <v>3.5887018805380144</v>
      </c>
      <c r="D164" s="322">
        <f>'Measure Tables'!U240</f>
        <v>7.3200826970866495E-2</v>
      </c>
      <c r="E164" s="334">
        <v>3</v>
      </c>
    </row>
    <row r="165" spans="1:5">
      <c r="A165" s="128" t="str">
        <f>'Measure Tables'!A153</f>
        <v>BNI- Direct Installation; Humidity-Based Door Heater Controls for Reach-In Coolers and Freezers-BES; COM-Refrigeration; Other Commercial</v>
      </c>
      <c r="B165" s="320">
        <f>'Measure Tables'!P153</f>
        <v>3.6758168826803108</v>
      </c>
      <c r="C165" s="320">
        <f>'Measure Tables'!T153</f>
        <v>3.6758168826803108</v>
      </c>
      <c r="D165" s="322">
        <f>'Measure Tables'!U153</f>
        <v>0</v>
      </c>
      <c r="E165" s="334">
        <v>2</v>
      </c>
    </row>
    <row r="166" spans="1:5">
      <c r="A166" s="128" t="str">
        <f>'Measure Tables'!A154</f>
        <v>BNI- Direct Installation; Humidity-Based Door Heater Controls for Reach-In Coolers and Freezers-BES; COM-Refrigeration; Retail</v>
      </c>
      <c r="B166" s="320">
        <f>'Measure Tables'!P154</f>
        <v>3.7098120698280472</v>
      </c>
      <c r="C166" s="320">
        <f>'Measure Tables'!T154</f>
        <v>3.7098120698280472</v>
      </c>
      <c r="D166" s="322">
        <f>'Measure Tables'!U154</f>
        <v>0</v>
      </c>
      <c r="E166" s="334">
        <v>2</v>
      </c>
    </row>
    <row r="167" spans="1:5">
      <c r="A167" s="128" t="str">
        <f>'Measure Tables'!A66</f>
        <v xml:space="preserve">BNI - Efficient Product Rebates; T8 Dimmable Stairwell Lighting; IND; Industrial </v>
      </c>
      <c r="B167" s="320">
        <f>'Measure Tables'!P66</f>
        <v>2.8364188293670183</v>
      </c>
      <c r="C167" s="320">
        <f>'Measure Tables'!T66</f>
        <v>3.7997668506207614</v>
      </c>
      <c r="D167" s="322">
        <f>'Measure Tables'!U66</f>
        <v>0.33963532158215365</v>
      </c>
      <c r="E167" s="334">
        <v>6</v>
      </c>
    </row>
    <row r="168" spans="1:5">
      <c r="A168" s="128" t="str">
        <f>'Measure Tables'!A200</f>
        <v xml:space="preserve">Custom Incentives; Custom Efficiency; IND; Industrial </v>
      </c>
      <c r="B168" s="320">
        <f>'Measure Tables'!P200</f>
        <v>2.569959477883887</v>
      </c>
      <c r="C168" s="320">
        <f>'Measure Tables'!T200</f>
        <v>3.778618744817269</v>
      </c>
      <c r="D168" s="322">
        <f>'Measure Tables'!U200</f>
        <v>0.47030285003894146</v>
      </c>
      <c r="E168" s="334">
        <v>7</v>
      </c>
    </row>
    <row r="169" spans="1:5">
      <c r="A169" s="128" t="str">
        <f>'Measure Tables'!A254</f>
        <v>Existing Residential; Certified Pellet Boiler or Furnace Supplemented by Baseboard Heat (Whole Home); RES-HVAC/Shell; RES-SF</v>
      </c>
      <c r="B169" s="320">
        <f>'Measure Tables'!P254</f>
        <v>2.9634681429216641</v>
      </c>
      <c r="C169" s="320">
        <f>'Measure Tables'!T254</f>
        <v>3.0889684457072999</v>
      </c>
      <c r="D169" s="322">
        <f>'Measure Tables'!U254</f>
        <v>4.2349131737892044E-2</v>
      </c>
      <c r="E169" s="334">
        <v>5</v>
      </c>
    </row>
    <row r="170" spans="1:5">
      <c r="A170" s="128" t="str">
        <f>'Measure Tables'!A199</f>
        <v>Custom Incentives; Custom Efficiency; COM-Other; COM</v>
      </c>
      <c r="B170" s="320">
        <f>'Measure Tables'!P199</f>
        <v>2.6466785212700317</v>
      </c>
      <c r="C170" s="320">
        <f>'Measure Tables'!T199</f>
        <v>3.8553377882034141</v>
      </c>
      <c r="D170" s="322">
        <f>'Measure Tables'!U199</f>
        <v>0.45667022164573157</v>
      </c>
      <c r="E170" s="334">
        <v>7</v>
      </c>
    </row>
    <row r="171" spans="1:5">
      <c r="A171" s="128" t="str">
        <f>'Measure Tables'!A140</f>
        <v>BNI - Efficient Product Rebates; Double Heat Pad; COM-Other; Other Commercial</v>
      </c>
      <c r="B171" s="320">
        <f>'Measure Tables'!P140</f>
        <v>3.8631457542605285</v>
      </c>
      <c r="C171" s="320">
        <f>'Measure Tables'!T140</f>
        <v>3.8631457542605285</v>
      </c>
      <c r="D171" s="322">
        <f>'Measure Tables'!U140</f>
        <v>0</v>
      </c>
      <c r="E171" s="334">
        <v>2</v>
      </c>
    </row>
    <row r="172" spans="1:5">
      <c r="A172" s="128" t="str">
        <f>'Measure Tables'!A249</f>
        <v>Existing Residential; DHW Tank Wrap; RES-Water Heat; RES-SF</v>
      </c>
      <c r="B172" s="320">
        <f>'Measure Tables'!P249</f>
        <v>3.075111758789983</v>
      </c>
      <c r="C172" s="320">
        <f>'Measure Tables'!T249</f>
        <v>3.9869651175086163</v>
      </c>
      <c r="D172" s="322">
        <f>'Measure Tables'!U249</f>
        <v>0.29652690056293624</v>
      </c>
      <c r="E172" s="334">
        <v>5</v>
      </c>
    </row>
    <row r="173" spans="1:5">
      <c r="A173" s="128" t="str">
        <f>'Measure Tables'!A58</f>
        <v>BNI - Efficient Product Rebates; Variable Frequency Drives; COM-Motors; Retail</v>
      </c>
      <c r="B173" s="320">
        <f>'Measure Tables'!P58</f>
        <v>3.8938860915995486</v>
      </c>
      <c r="C173" s="320">
        <f>'Measure Tables'!T58</f>
        <v>3.8938860915995486</v>
      </c>
      <c r="D173" s="322">
        <f>'Measure Tables'!U58</f>
        <v>0</v>
      </c>
      <c r="E173" s="334">
        <v>2</v>
      </c>
    </row>
    <row r="174" spans="1:5">
      <c r="A174" s="128" t="str">
        <f>'Measure Tables'!A162</f>
        <v>BNI- Direct Installation; LED Lamps-Retrofit (dual baseline)-BES; COM-Lighting; Office</v>
      </c>
      <c r="B174" s="320">
        <f>'Measure Tables'!P162</f>
        <v>2.8968011572770771</v>
      </c>
      <c r="C174" s="320">
        <f>'Measure Tables'!T162</f>
        <v>3.9949471753562489</v>
      </c>
      <c r="D174" s="322">
        <f>'Measure Tables'!U162</f>
        <v>0.37908919475557046</v>
      </c>
      <c r="E174" s="334">
        <v>6</v>
      </c>
    </row>
    <row r="175" spans="1:5">
      <c r="A175" s="128" t="str">
        <f>'Measure Tables'!A126</f>
        <v>BNI - Efficient Product Rebates; Variable Speed Drive Screw Compressors (10 - 40 hp); COM-Process; Other Commercial</v>
      </c>
      <c r="B175" s="320">
        <f>'Measure Tables'!P126</f>
        <v>3.9503412300920369</v>
      </c>
      <c r="C175" s="320">
        <f>'Measure Tables'!T126</f>
        <v>3.9503412300920369</v>
      </c>
      <c r="D175" s="322">
        <f>'Measure Tables'!U126</f>
        <v>0</v>
      </c>
      <c r="E175" s="334">
        <v>2</v>
      </c>
    </row>
    <row r="176" spans="1:5">
      <c r="A176" s="128" t="str">
        <f>'Measure Tables'!A99</f>
        <v>BNI - Efficient Product Rebates; LED Exterior Fixtures-End of Life replacement; COM-Lighting; Office</v>
      </c>
      <c r="B176" s="320">
        <f>'Measure Tables'!P99</f>
        <v>3.0789769198330741</v>
      </c>
      <c r="C176" s="320">
        <f>'Measure Tables'!T99</f>
        <v>4.0523728160258514</v>
      </c>
      <c r="D176" s="322">
        <f>'Measure Tables'!U99</f>
        <v>0.31614264138282328</v>
      </c>
      <c r="E176" s="334">
        <v>5</v>
      </c>
    </row>
    <row r="177" spans="1:5">
      <c r="A177" s="128" t="str">
        <f>'Measure Tables'!A100</f>
        <v>BNI - Efficient Product Rebates; LED Exterior Fixtures-End of Life replacement; COM-Lighting; Other Commercial</v>
      </c>
      <c r="B177" s="320">
        <f>'Measure Tables'!P100</f>
        <v>3.0789769198330741</v>
      </c>
      <c r="C177" s="320">
        <f>'Measure Tables'!T100</f>
        <v>4.0523728160258514</v>
      </c>
      <c r="D177" s="322">
        <f>'Measure Tables'!U100</f>
        <v>0.31614264138282328</v>
      </c>
      <c r="E177" s="334">
        <v>5</v>
      </c>
    </row>
    <row r="178" spans="1:5">
      <c r="A178" s="128" t="str">
        <f>'Measure Tables'!A101</f>
        <v>BNI - Efficient Product Rebates; LED Exterior Fixtures-End of Life replacement; COM-Lighting; Retail</v>
      </c>
      <c r="B178" s="320">
        <f>'Measure Tables'!P101</f>
        <v>3.0789769198330741</v>
      </c>
      <c r="C178" s="320">
        <f>'Measure Tables'!T101</f>
        <v>4.0523728160258514</v>
      </c>
      <c r="D178" s="322">
        <f>'Measure Tables'!U101</f>
        <v>0.31614264138282328</v>
      </c>
      <c r="E178" s="334">
        <v>5</v>
      </c>
    </row>
    <row r="179" spans="1:5">
      <c r="A179" s="128" t="str">
        <f>'Measure Tables'!A102</f>
        <v>BNI - Efficient Product Rebates; LED Exterior Fixtures-End of Life replacement; COM-Lighting; School</v>
      </c>
      <c r="B179" s="320">
        <f>'Measure Tables'!P102</f>
        <v>3.0789769198330741</v>
      </c>
      <c r="C179" s="320">
        <f>'Measure Tables'!T102</f>
        <v>4.0523728160258514</v>
      </c>
      <c r="D179" s="322">
        <f>'Measure Tables'!U102</f>
        <v>0.31614264138282328</v>
      </c>
      <c r="E179" s="334">
        <v>5</v>
      </c>
    </row>
    <row r="180" spans="1:5">
      <c r="A180" s="128" t="str">
        <f>'Measure Tables'!A98</f>
        <v xml:space="preserve">BNI - Efficient Product Rebates; LED Exterior Fixtures-End of Life replacement; IND; Industrial </v>
      </c>
      <c r="B180" s="320">
        <f>'Measure Tables'!P98</f>
        <v>3.0866008466480577</v>
      </c>
      <c r="C180" s="320">
        <f>'Measure Tables'!T98</f>
        <v>4.059996742840835</v>
      </c>
      <c r="D180" s="322">
        <f>'Measure Tables'!U98</f>
        <v>0.3153617667311443</v>
      </c>
      <c r="E180" s="334">
        <v>5</v>
      </c>
    </row>
    <row r="181" spans="1:5">
      <c r="A181" s="128" t="str">
        <f>'Measure Tables'!A59</f>
        <v>BNI - Efficient Product Rebates; Variable Frequency Drives; COM-Motors; School</v>
      </c>
      <c r="B181" s="320">
        <f>'Measure Tables'!P59</f>
        <v>4.0017748784032516</v>
      </c>
      <c r="C181" s="320">
        <f>'Measure Tables'!T59</f>
        <v>4.0017748784032516</v>
      </c>
      <c r="D181" s="322">
        <f>'Measure Tables'!U59</f>
        <v>0</v>
      </c>
      <c r="E181" s="334">
        <v>2</v>
      </c>
    </row>
    <row r="182" spans="1:5">
      <c r="A182" s="128" t="str">
        <f>'Measure Tables'!A138</f>
        <v>BNI - Efficient Product Rebates; Zero-Energy Livestock Waterers; COM-Other; Other Commercial</v>
      </c>
      <c r="B182" s="320">
        <f>'Measure Tables'!P138</f>
        <v>4.0356654146487489</v>
      </c>
      <c r="C182" s="320">
        <f>'Measure Tables'!T138</f>
        <v>4.0356654146487489</v>
      </c>
      <c r="D182" s="322">
        <f>'Measure Tables'!U138</f>
        <v>0</v>
      </c>
      <c r="E182" s="334">
        <v>2</v>
      </c>
    </row>
    <row r="183" spans="1:5">
      <c r="A183" s="128" t="str">
        <f>'Measure Tables'!A131</f>
        <v>BNI - Efficient Product Rebates; Air Tanks for Load / No-Load Screw Compressors (10 – 40 hp); COM-Process; Other Commercial</v>
      </c>
      <c r="B183" s="320">
        <f>'Measure Tables'!P131</f>
        <v>4.0927165520587838</v>
      </c>
      <c r="C183" s="320">
        <f>'Measure Tables'!T131</f>
        <v>4.0927165520587838</v>
      </c>
      <c r="D183" s="322">
        <f>'Measure Tables'!U131</f>
        <v>0</v>
      </c>
      <c r="E183" s="334">
        <v>2</v>
      </c>
    </row>
    <row r="184" spans="1:5">
      <c r="A184" s="128" t="str">
        <f>'Measure Tables'!A56</f>
        <v>BNI - Efficient Product Rebates; Variable Frequency Drives; COM-Motors; Office</v>
      </c>
      <c r="B184" s="320">
        <f>'Measure Tables'!P56</f>
        <v>4.1686892583393647</v>
      </c>
      <c r="C184" s="320">
        <f>'Measure Tables'!T56</f>
        <v>4.1686892583393647</v>
      </c>
      <c r="D184" s="322">
        <f>'Measure Tables'!U56</f>
        <v>0</v>
      </c>
      <c r="E184" s="334">
        <v>2</v>
      </c>
    </row>
    <row r="185" spans="1:5">
      <c r="A185" s="128" t="str">
        <f>'Measure Tables'!A128</f>
        <v>BNI - Efficient Product Rebates; Air-Entraining Air Nozzles (up to 14CFM at 100 psi); COM-Process; School</v>
      </c>
      <c r="B185" s="320">
        <f>'Measure Tables'!P128</f>
        <v>4.1879484619140834</v>
      </c>
      <c r="C185" s="320">
        <f>'Measure Tables'!T128</f>
        <v>4.1879484619140834</v>
      </c>
      <c r="D185" s="322">
        <f>'Measure Tables'!U128</f>
        <v>0</v>
      </c>
      <c r="E185" s="334">
        <v>2</v>
      </c>
    </row>
    <row r="186" spans="1:5">
      <c r="A186" s="128" t="str">
        <f>'Measure Tables'!A57</f>
        <v>BNI - Efficient Product Rebates; Variable Frequency Drives; COM-Motors; Other Commercial</v>
      </c>
      <c r="B186" s="320">
        <f>'Measure Tables'!P57</f>
        <v>4.2776112798980721</v>
      </c>
      <c r="C186" s="320">
        <f>'Measure Tables'!T57</f>
        <v>4.2776112798980721</v>
      </c>
      <c r="D186" s="322">
        <f>'Measure Tables'!U57</f>
        <v>0</v>
      </c>
      <c r="E186" s="334">
        <v>2</v>
      </c>
    </row>
    <row r="187" spans="1:5">
      <c r="A187" s="128" t="str">
        <f>'Measure Tables'!A255</f>
        <v>Existing Residential; Advanced Automatic Pellet Combo Boiler; RES-HVAC/Shell; RES-SF</v>
      </c>
      <c r="B187" s="320">
        <f>'Measure Tables'!P255</f>
        <v>4.3127925968715299</v>
      </c>
      <c r="C187" s="320">
        <f>'Measure Tables'!T255</f>
        <v>4.3189177798876672</v>
      </c>
      <c r="D187" s="322">
        <f>'Measure Tables'!U255</f>
        <v>1.4202359326484788E-3</v>
      </c>
      <c r="E187" s="334">
        <v>3</v>
      </c>
    </row>
    <row r="188" spans="1:5">
      <c r="A188" s="128" t="str">
        <f>'Measure Tables'!A163</f>
        <v>BNI- Direct Installation; LED Lamps-Retrofit (dual baseline)-BES; COM-Lighting; Other Commercial</v>
      </c>
      <c r="B188" s="320">
        <f>'Measure Tables'!P163</f>
        <v>3.3413999304377922</v>
      </c>
      <c r="C188" s="320">
        <f>'Measure Tables'!T163</f>
        <v>4.5928033224511067</v>
      </c>
      <c r="D188" s="322">
        <f>'Measure Tables'!U163</f>
        <v>0.3745146998459879</v>
      </c>
      <c r="E188" s="334">
        <v>6</v>
      </c>
    </row>
    <row r="189" spans="1:5">
      <c r="A189" s="128" t="str">
        <f>'Measure Tables'!A164</f>
        <v>BNI- Direct Installation; LED Lamps-Retrofit (dual baseline)-BES; COM-Lighting; Retail</v>
      </c>
      <c r="B189" s="320">
        <f>'Measure Tables'!P164</f>
        <v>3.3726643573949788</v>
      </c>
      <c r="C189" s="320">
        <f>'Measure Tables'!T164</f>
        <v>4.6066341271930176</v>
      </c>
      <c r="D189" s="322">
        <f>'Measure Tables'!U164</f>
        <v>0.36587387271206195</v>
      </c>
      <c r="E189" s="334">
        <v>6</v>
      </c>
    </row>
    <row r="190" spans="1:5">
      <c r="A190" s="128" t="str">
        <f>'Measure Tables'!A238</f>
        <v>Existing Residential; 12 W LED; RES-Lighting; MURB</v>
      </c>
      <c r="B190" s="320">
        <f>'Measure Tables'!P238</f>
        <v>4.4514100456399515</v>
      </c>
      <c r="C190" s="320">
        <f>'Measure Tables'!T238</f>
        <v>4.6413208135546169</v>
      </c>
      <c r="D190" s="322">
        <f>'Measure Tables'!U238</f>
        <v>4.2663058664002079E-2</v>
      </c>
      <c r="E190" s="334">
        <v>3</v>
      </c>
    </row>
    <row r="191" spans="1:5">
      <c r="A191" s="128" t="str">
        <f>'Measure Tables'!A129</f>
        <v>BNI - Efficient Product Rebates; No-Loss Drains (Timed drains are not eligible); COM-Process; School</v>
      </c>
      <c r="B191" s="320">
        <f>'Measure Tables'!P129</f>
        <v>4.7743137872511001</v>
      </c>
      <c r="C191" s="320">
        <f>'Measure Tables'!T129</f>
        <v>4.7743137872511001</v>
      </c>
      <c r="D191" s="322">
        <f>'Measure Tables'!U129</f>
        <v>0</v>
      </c>
      <c r="E191" s="334">
        <v>2</v>
      </c>
    </row>
    <row r="192" spans="1:5">
      <c r="A192" s="128" t="str">
        <f>'Measure Tables'!A237</f>
        <v>Existing Residential; 8 W LED; RES-Lighting; MURB</v>
      </c>
      <c r="B192" s="320">
        <f>'Measure Tables'!P237</f>
        <v>4.5357347211809875</v>
      </c>
      <c r="C192" s="320">
        <f>'Measure Tables'!T237</f>
        <v>4.8039043435936533</v>
      </c>
      <c r="D192" s="322">
        <f>'Measure Tables'!U237</f>
        <v>5.9123744861084231E-2</v>
      </c>
      <c r="E192" s="334">
        <v>3</v>
      </c>
    </row>
    <row r="193" spans="1:5">
      <c r="A193" s="128" t="str">
        <f>'Measure Tables'!A266</f>
        <v>Existing Residential; Advanced Power Strip (load sensing or remote control/wireless APS); RES-Plug Load; MURB</v>
      </c>
      <c r="B193" s="320">
        <f>'Measure Tables'!P266</f>
        <v>4.8146892356973705</v>
      </c>
      <c r="C193" s="320">
        <f>'Measure Tables'!T266</f>
        <v>4.8146892356973705</v>
      </c>
      <c r="D193" s="322">
        <f>'Measure Tables'!U266</f>
        <v>0</v>
      </c>
      <c r="E193" s="334">
        <v>2</v>
      </c>
    </row>
    <row r="194" spans="1:5">
      <c r="A194" s="128" t="str">
        <f>'Measure Tables'!A14</f>
        <v>BNI - Efficient Product Rebates; Full Size Commercial Hot Food Holding Cabinet; COM-Other; Retail</v>
      </c>
      <c r="B194" s="320">
        <f>'Measure Tables'!P14</f>
        <v>4.8590592586241375</v>
      </c>
      <c r="C194" s="320">
        <f>'Measure Tables'!T14</f>
        <v>4.8590592586241375</v>
      </c>
      <c r="D194" s="322">
        <f>'Measure Tables'!U14</f>
        <v>0</v>
      </c>
      <c r="E194" s="334">
        <v>2</v>
      </c>
    </row>
    <row r="195" spans="1:5">
      <c r="A195" s="128" t="str">
        <f>'Measure Tables'!A122</f>
        <v xml:space="preserve">BNI - Efficient Product Rebates; Cycling Refrigerated Air Dryers (≤ 300 CFM capacity); IND; Industrial </v>
      </c>
      <c r="B195" s="320">
        <f>'Measure Tables'!P122</f>
        <v>4.8612234502198906</v>
      </c>
      <c r="C195" s="320">
        <f>'Measure Tables'!T122</f>
        <v>4.8612234502198906</v>
      </c>
      <c r="D195" s="322">
        <f>'Measure Tables'!U122</f>
        <v>0</v>
      </c>
      <c r="E195" s="334">
        <v>2</v>
      </c>
    </row>
    <row r="196" spans="1:5">
      <c r="A196" s="128" t="str">
        <f>'Measure Tables'!A264</f>
        <v>Existing Residential; Embertec Power Strip; RES-Plug Load; RES-SF</v>
      </c>
      <c r="B196" s="320">
        <f>'Measure Tables'!P264</f>
        <v>4.8871523172826956</v>
      </c>
      <c r="C196" s="320">
        <f>'Measure Tables'!T264</f>
        <v>4.8871523172826956</v>
      </c>
      <c r="D196" s="322">
        <f>'Measure Tables'!U264</f>
        <v>0</v>
      </c>
      <c r="E196" s="334">
        <v>2</v>
      </c>
    </row>
    <row r="197" spans="1:5">
      <c r="A197" s="128" t="str">
        <f>'Measure Tables'!A181</f>
        <v>BNI- Direct Installation; Ground/Water Source Heat Pumps; COM-HVAC; Other Commercial</v>
      </c>
      <c r="B197" s="320">
        <f>'Measure Tables'!P181</f>
        <v>2.3764804277599878</v>
      </c>
      <c r="C197" s="320">
        <f>'Measure Tables'!T181</f>
        <v>5.2253085174249652</v>
      </c>
      <c r="D197" s="322">
        <f>'Measure Tables'!U181</f>
        <v>1.1987593318200449</v>
      </c>
      <c r="E197" s="334">
        <v>10</v>
      </c>
    </row>
    <row r="198" spans="1:5">
      <c r="A198" s="128" t="str">
        <f>'Measure Tables'!A227</f>
        <v>Residential - Efficient Product Rebates; Dehumidifier (Retirement); RES-Appliance; RES-SF</v>
      </c>
      <c r="B198" s="320">
        <f>'Measure Tables'!P227</f>
        <v>5.1193233089433292</v>
      </c>
      <c r="C198" s="320">
        <f>'Measure Tables'!T227</f>
        <v>5.1193233089433292</v>
      </c>
      <c r="D198" s="322">
        <f>'Measure Tables'!U227</f>
        <v>0</v>
      </c>
      <c r="E198" s="334">
        <v>2</v>
      </c>
    </row>
    <row r="199" spans="1:5">
      <c r="A199" s="128" t="str">
        <f>'Measure Tables'!A251</f>
        <v>Existing Residential; Certified Wood Stove; RES-HVAC/Shell; RES-SF</v>
      </c>
      <c r="B199" s="320">
        <f>'Measure Tables'!P251</f>
        <v>5.1191656268814825</v>
      </c>
      <c r="C199" s="320">
        <f>'Measure Tables'!T251</f>
        <v>5.149821078487725</v>
      </c>
      <c r="D199" s="322">
        <f>'Measure Tables'!U251</f>
        <v>5.9883687773777568E-3</v>
      </c>
      <c r="E199" s="334">
        <v>3</v>
      </c>
    </row>
    <row r="200" spans="1:5">
      <c r="A200" s="128" t="str">
        <f>'Measure Tables'!A235</f>
        <v>Existing Residential; 10.5 W LED; RES-Lighting; RES-SF</v>
      </c>
      <c r="B200" s="320">
        <f>'Measure Tables'!P235</f>
        <v>4.9249420065746916</v>
      </c>
      <c r="C200" s="320">
        <f>'Measure Tables'!T235</f>
        <v>5.1802459205541247</v>
      </c>
      <c r="D200" s="322">
        <f>'Measure Tables'!U235</f>
        <v>5.1838968588585985E-2</v>
      </c>
      <c r="E200" s="334">
        <v>3</v>
      </c>
    </row>
    <row r="201" spans="1:5">
      <c r="A201" s="128" t="str">
        <f>'Measure Tables'!A139</f>
        <v>BNI - Efficient Product Rebates; Single Heat Pad; COM-Other; Other Commercial</v>
      </c>
      <c r="B201" s="320">
        <f>'Measure Tables'!P139</f>
        <v>5.1828336538090118</v>
      </c>
      <c r="C201" s="320">
        <f>'Measure Tables'!T139</f>
        <v>5.1828336538090118</v>
      </c>
      <c r="D201" s="322">
        <f>'Measure Tables'!U139</f>
        <v>0</v>
      </c>
      <c r="E201" s="334">
        <v>2</v>
      </c>
    </row>
    <row r="202" spans="1:5">
      <c r="A202" s="128" t="str">
        <f>'Measure Tables'!A36</f>
        <v>BNI - Efficient Product Rebates; Humidity-Based Door Heater Controls for Reach-In Coolers and Freezers; COM-Refrigeration; School</v>
      </c>
      <c r="B202" s="320">
        <f>'Measure Tables'!P36</f>
        <v>5.357646650448336</v>
      </c>
      <c r="C202" s="320">
        <f>'Measure Tables'!T36</f>
        <v>5.357646650448336</v>
      </c>
      <c r="D202" s="322">
        <f>'Measure Tables'!U36</f>
        <v>0</v>
      </c>
      <c r="E202" s="334">
        <v>2</v>
      </c>
    </row>
    <row r="203" spans="1:5">
      <c r="A203" s="128" t="str">
        <f>'Measure Tables'!A34</f>
        <v>BNI - Efficient Product Rebates; Humidity-Based Door Heater Controls for Reach-In Coolers and Freezers; COM-Refrigeration; Other Commercial</v>
      </c>
      <c r="B203" s="320">
        <f>'Measure Tables'!P34</f>
        <v>5.4655267680454402</v>
      </c>
      <c r="C203" s="320">
        <f>'Measure Tables'!T34</f>
        <v>5.4655267680454402</v>
      </c>
      <c r="D203" s="322">
        <f>'Measure Tables'!U34</f>
        <v>0</v>
      </c>
      <c r="E203" s="334">
        <v>2</v>
      </c>
    </row>
    <row r="204" spans="1:5">
      <c r="A204" s="128" t="str">
        <f>'Measure Tables'!A182</f>
        <v>BNI- Direct Installation; Ground/Water Source Heat Pumps; COM-HVAC; Retail</v>
      </c>
      <c r="B204" s="320">
        <f>'Measure Tables'!P182</f>
        <v>2.5367606729149892</v>
      </c>
      <c r="C204" s="320">
        <f>'Measure Tables'!T182</f>
        <v>5.6310964844336286</v>
      </c>
      <c r="D204" s="322">
        <f>'Measure Tables'!U182</f>
        <v>1.2197980852340087</v>
      </c>
      <c r="E204" s="334">
        <v>10</v>
      </c>
    </row>
    <row r="205" spans="1:5">
      <c r="A205" s="128" t="str">
        <f>'Measure Tables'!A183</f>
        <v>BNI- Direct Installation; Ground/Water Source Heat Pumps; COM-HVAC; School</v>
      </c>
      <c r="B205" s="320">
        <f>'Measure Tables'!P183</f>
        <v>2.5336367661453703</v>
      </c>
      <c r="C205" s="320">
        <f>'Measure Tables'!T183</f>
        <v>5.6373964614790468</v>
      </c>
      <c r="D205" s="322">
        <f>'Measure Tables'!U183</f>
        <v>1.2250215724709748</v>
      </c>
      <c r="E205" s="334">
        <v>10</v>
      </c>
    </row>
    <row r="206" spans="1:5">
      <c r="A206" s="128" t="str">
        <f>'Measure Tables'!A35</f>
        <v>BNI - Efficient Product Rebates; Humidity-Based Door Heater Controls for Reach-In Coolers and Freezers; COM-Refrigeration; Retail</v>
      </c>
      <c r="B206" s="320">
        <f>'Measure Tables'!P35</f>
        <v>5.5160737923588998</v>
      </c>
      <c r="C206" s="320">
        <f>'Measure Tables'!T35</f>
        <v>5.5160737923588998</v>
      </c>
      <c r="D206" s="322">
        <f>'Measure Tables'!U35</f>
        <v>0</v>
      </c>
      <c r="E206" s="334">
        <v>2</v>
      </c>
    </row>
    <row r="207" spans="1:5">
      <c r="A207" s="128" t="str">
        <f>'Measure Tables'!A180</f>
        <v>BNI- Direct Installation; Ground/Water Source Heat Pumps; COM-HVAC; Office</v>
      </c>
      <c r="B207" s="320">
        <f>'Measure Tables'!P180</f>
        <v>2.6361958616516206</v>
      </c>
      <c r="C207" s="320">
        <f>'Measure Tables'!T180</f>
        <v>5.7712799714334686</v>
      </c>
      <c r="D207" s="322">
        <f>'Measure Tables'!U180</f>
        <v>1.1892455167643219</v>
      </c>
      <c r="E207" s="334">
        <v>10</v>
      </c>
    </row>
    <row r="208" spans="1:5">
      <c r="A208" s="128" t="str">
        <f>'Measure Tables'!A8</f>
        <v>BNI - Efficient Product Rebates; Multi-Tank Conveyor Commercial Dish Washer (Low Temp); COM-Other; Retail</v>
      </c>
      <c r="B208" s="320">
        <f>'Measure Tables'!P8</f>
        <v>3.885517984038104</v>
      </c>
      <c r="C208" s="320">
        <f>'Measure Tables'!T8</f>
        <v>5.6954416485446879</v>
      </c>
      <c r="D208" s="322">
        <f>'Measure Tables'!U8</f>
        <v>0.46581271067122532</v>
      </c>
      <c r="E208" s="334">
        <v>7</v>
      </c>
    </row>
    <row r="209" spans="1:5">
      <c r="A209" s="128" t="str">
        <f>'Measure Tables'!A236</f>
        <v>Existing Residential; 11 W LED; RES-Lighting; RES-SF</v>
      </c>
      <c r="B209" s="320">
        <f>'Measure Tables'!P236</f>
        <v>5.929683685261816</v>
      </c>
      <c r="C209" s="320">
        <f>'Measure Tables'!T236</f>
        <v>6.1216415336142784</v>
      </c>
      <c r="D209" s="322">
        <f>'Measure Tables'!U236</f>
        <v>3.2372358888143091E-2</v>
      </c>
      <c r="E209" s="334">
        <v>3</v>
      </c>
    </row>
    <row r="210" spans="1:5">
      <c r="A210" s="128" t="str">
        <f>'Measure Tables'!A248</f>
        <v>Existing Residential; DHW Pipe Insulation; RES-Water Heat; MURB</v>
      </c>
      <c r="B210" s="320">
        <f>'Measure Tables'!P248</f>
        <v>1.9307664448254718</v>
      </c>
      <c r="C210" s="320">
        <f>'Measure Tables'!T248</f>
        <v>6.3221219076232433</v>
      </c>
      <c r="D210" s="322">
        <f>'Measure Tables'!U248</f>
        <v>2.2744104935979039</v>
      </c>
      <c r="E210" s="334">
        <v>11</v>
      </c>
    </row>
    <row r="211" spans="1:5">
      <c r="A211" s="128" t="str">
        <f>'Measure Tables'!A244</f>
        <v>Existing Residential; Low Flow Faucet Aerator, 1.5 GPM; RES-Water Heat; MURB</v>
      </c>
      <c r="B211" s="320">
        <f>'Measure Tables'!P244</f>
        <v>5.9499958164573696</v>
      </c>
      <c r="C211" s="320">
        <f>'Measure Tables'!T244</f>
        <v>6.5884401099189223</v>
      </c>
      <c r="D211" s="322">
        <f>'Measure Tables'!U244</f>
        <v>0.10730163737185326</v>
      </c>
      <c r="E211" s="334">
        <v>3</v>
      </c>
    </row>
    <row r="212" spans="1:5">
      <c r="A212" s="128" t="str">
        <f>'Measure Tables'!A123</f>
        <v>BNI - Efficient Product Rebates; Cycling Refrigerated Air Dryers (≤ 300 CFM capacity); COM-Process; Other Commercial</v>
      </c>
      <c r="B212" s="320">
        <f>'Measure Tables'!P123</f>
        <v>6.7038661939833348</v>
      </c>
      <c r="C212" s="320">
        <f>'Measure Tables'!T123</f>
        <v>6.7038661939833348</v>
      </c>
      <c r="D212" s="322">
        <f>'Measure Tables'!U123</f>
        <v>0</v>
      </c>
      <c r="E212" s="334">
        <v>2</v>
      </c>
    </row>
    <row r="213" spans="1:5">
      <c r="A213" s="128" t="str">
        <f>'Measure Tables'!A189</f>
        <v>BNI- Direct Installation; DHW Pipe Insulation; COM-Other; Office</v>
      </c>
      <c r="B213" s="320">
        <f>'Measure Tables'!P189</f>
        <v>4.5616979617805971</v>
      </c>
      <c r="C213" s="320">
        <f>'Measure Tables'!T189</f>
        <v>7.2477900806778575</v>
      </c>
      <c r="D213" s="322">
        <f>'Measure Tables'!U189</f>
        <v>0.58883603022432041</v>
      </c>
      <c r="E213" s="334">
        <v>8</v>
      </c>
    </row>
    <row r="214" spans="1:5">
      <c r="A214" s="128" t="str">
        <f>'Measure Tables'!A190</f>
        <v>BNI- Direct Installation; DHW Pipe Insulation; COM-Other; Retail</v>
      </c>
      <c r="B214" s="320">
        <f>'Measure Tables'!P190</f>
        <v>4.5616979617805971</v>
      </c>
      <c r="C214" s="320">
        <f>'Measure Tables'!T190</f>
        <v>7.2477900806778575</v>
      </c>
      <c r="D214" s="322">
        <f>'Measure Tables'!U190</f>
        <v>0.58883603022432041</v>
      </c>
      <c r="E214" s="334">
        <v>8</v>
      </c>
    </row>
    <row r="215" spans="1:5">
      <c r="A215" s="128" t="str">
        <f>'Measure Tables'!A143</f>
        <v>BNI - Efficient Product Rebates; VSD for Milk Vacuum Pump; COM-Other; Other Commercial</v>
      </c>
      <c r="B215" s="320">
        <f>'Measure Tables'!P143</f>
        <v>7.2373324462945643</v>
      </c>
      <c r="C215" s="320">
        <f>'Measure Tables'!T143</f>
        <v>7.2373324462945643</v>
      </c>
      <c r="D215" s="322">
        <f>'Measure Tables'!U143</f>
        <v>0</v>
      </c>
      <c r="E215" s="334">
        <v>2</v>
      </c>
    </row>
    <row r="216" spans="1:5">
      <c r="A216" s="128" t="str">
        <f>'Measure Tables'!A75</f>
        <v>BNI - Efficient Product Rebates; LED Lamps-Retrofit (dual baseline); COM-Lighting; School</v>
      </c>
      <c r="B216" s="320">
        <f>'Measure Tables'!P75</f>
        <v>5.6272760722520125</v>
      </c>
      <c r="C216" s="320">
        <f>'Measure Tables'!T75</f>
        <v>7.7070827275977756</v>
      </c>
      <c r="D216" s="322">
        <f>'Measure Tables'!U75</f>
        <v>0.36959385476060941</v>
      </c>
      <c r="E216" s="334">
        <v>6</v>
      </c>
    </row>
    <row r="217" spans="1:5">
      <c r="A217" s="128" t="str">
        <f>'Measure Tables'!A9</f>
        <v>BNI - Efficient Product Rebates; Under Counter Dishwasher with Booster (High Temp); COM-Other; Retail</v>
      </c>
      <c r="B217" s="320">
        <f>'Measure Tables'!P9</f>
        <v>7.3181450135358475</v>
      </c>
      <c r="C217" s="320">
        <f>'Measure Tables'!T9</f>
        <v>7.8623065256251374</v>
      </c>
      <c r="D217" s="322">
        <f>'Measure Tables'!U9</f>
        <v>7.4357847662596663E-2</v>
      </c>
      <c r="E217" s="334">
        <v>3</v>
      </c>
    </row>
    <row r="218" spans="1:5">
      <c r="A218" s="128" t="str">
        <f>'Measure Tables'!A72</f>
        <v>BNI - Efficient Product Rebates; LED Lamps-Retrofit (dual baseline); COM-Lighting; Office</v>
      </c>
      <c r="B218" s="320">
        <f>'Measure Tables'!P72</f>
        <v>5.824291342962141</v>
      </c>
      <c r="C218" s="320">
        <f>'Measure Tables'!T72</f>
        <v>8.0322172581874991</v>
      </c>
      <c r="D218" s="322">
        <f>'Measure Tables'!U72</f>
        <v>0.37908919475557046</v>
      </c>
      <c r="E218" s="334">
        <v>6</v>
      </c>
    </row>
    <row r="219" spans="1:5">
      <c r="A219" s="128" t="str">
        <f>'Measure Tables'!A243</f>
        <v>Existing Residential; Low Flow Faucet Aerator, 1.5 GPM; RES-Water Heat; RES-SF</v>
      </c>
      <c r="B219" s="320">
        <f>'Measure Tables'!P243</f>
        <v>7.9783105416418145</v>
      </c>
      <c r="C219" s="320">
        <f>'Measure Tables'!T243</f>
        <v>8.0324693512452825</v>
      </c>
      <c r="D219" s="322">
        <f>'Measure Tables'!U243</f>
        <v>6.7882553982817166E-3</v>
      </c>
      <c r="E219" s="334">
        <v>3</v>
      </c>
    </row>
    <row r="220" spans="1:5">
      <c r="A220" s="128" t="str">
        <f>'Measure Tables'!A12</f>
        <v>BNI - Efficient Product Rebates; Multi Tank Conveyor Dishwasher with Booster (High Temp); COM-Other; Retail</v>
      </c>
      <c r="B220" s="320">
        <f>'Measure Tables'!P12</f>
        <v>6.7453177733697247</v>
      </c>
      <c r="C220" s="320">
        <f>'Measure Tables'!T12</f>
        <v>8.1271077628109509</v>
      </c>
      <c r="D220" s="322">
        <f>'Measure Tables'!U12</f>
        <v>0.20485172617018638</v>
      </c>
      <c r="E220" s="334">
        <v>4</v>
      </c>
    </row>
    <row r="221" spans="1:5">
      <c r="A221" s="128" t="str">
        <f>'Measure Tables'!A10</f>
        <v>BNI - Efficient Product Rebates; Single Tank Door Dishwasher with Booster (High Temp); COM-Other; Retail</v>
      </c>
      <c r="B221" s="320">
        <f>'Measure Tables'!P10</f>
        <v>6.7924516280248532</v>
      </c>
      <c r="C221" s="320">
        <f>'Measure Tables'!T10</f>
        <v>8.3688946017436816</v>
      </c>
      <c r="D221" s="322">
        <f>'Measure Tables'!U10</f>
        <v>0.23208747887355</v>
      </c>
      <c r="E221" s="334">
        <v>5</v>
      </c>
    </row>
    <row r="222" spans="1:5">
      <c r="A222" s="128" t="str">
        <f>'Measure Tables'!A245</f>
        <v>Existing Residential; Low Flow (1.25 GPM) showerhead; RES-Water Heat; RES-SF</v>
      </c>
      <c r="B222" s="320">
        <f>'Measure Tables'!P245</f>
        <v>6.5787828301034139</v>
      </c>
      <c r="C222" s="320">
        <f>'Measure Tables'!T245</f>
        <v>8.459592267905542</v>
      </c>
      <c r="D222" s="322">
        <f>'Measure Tables'!U245</f>
        <v>0.28589018460920423</v>
      </c>
      <c r="E222" s="334">
        <v>5</v>
      </c>
    </row>
    <row r="223" spans="1:5">
      <c r="A223" s="128" t="str">
        <f>'Measure Tables'!A246</f>
        <v>Existing Residential; Low Flow (1.25 GPM) showerhead; RES-Water Heat; MURB</v>
      </c>
      <c r="B223" s="320">
        <f>'Measure Tables'!P246</f>
        <v>6.3489388844240331</v>
      </c>
      <c r="C223" s="320">
        <f>'Measure Tables'!T246</f>
        <v>8.8919592398989167</v>
      </c>
      <c r="D223" s="322">
        <f>'Measure Tables'!U246</f>
        <v>0.40054257912510727</v>
      </c>
      <c r="E223" s="334">
        <v>6</v>
      </c>
    </row>
    <row r="224" spans="1:5">
      <c r="A224" s="128" t="str">
        <f>'Measure Tables'!A169</f>
        <v>BNI- Direct Installation; High-Efficiency Air Source Heat Pumps; COM-HVAC; Other Commercial</v>
      </c>
      <c r="B224" s="320">
        <f>'Measure Tables'!P169</f>
        <v>4.0562419715470224</v>
      </c>
      <c r="C224" s="320">
        <f>'Measure Tables'!T169</f>
        <v>8.9186998870591534</v>
      </c>
      <c r="D224" s="322">
        <f>'Measure Tables'!U169</f>
        <v>1.1987593318200451</v>
      </c>
      <c r="E224" s="334">
        <v>10</v>
      </c>
    </row>
    <row r="225" spans="1:5">
      <c r="A225" s="128" t="str">
        <f>'Measure Tables'!A171</f>
        <v>BNI- Direct Installation; High-Efficiency Air Source Heat Pumps; COM-HVAC; School</v>
      </c>
      <c r="B225" s="320">
        <f>'Measure Tables'!P171</f>
        <v>4.18573886868045</v>
      </c>
      <c r="C225" s="320">
        <f>'Measure Tables'!T171</f>
        <v>9.313359279544251</v>
      </c>
      <c r="D225" s="322">
        <f>'Measure Tables'!U171</f>
        <v>1.2250215724709741</v>
      </c>
      <c r="E225" s="334">
        <v>10</v>
      </c>
    </row>
    <row r="226" spans="1:5">
      <c r="A226" s="128" t="str">
        <f>'Measure Tables'!A170</f>
        <v>BNI- Direct Installation; High-Efficiency Air Source Heat Pumps; COM-HVAC; Retail</v>
      </c>
      <c r="B226" s="320">
        <f>'Measure Tables'!P170</f>
        <v>4.1958983339622291</v>
      </c>
      <c r="C226" s="320">
        <f>'Measure Tables'!T170</f>
        <v>9.3140470875659229</v>
      </c>
      <c r="D226" s="322">
        <f>'Measure Tables'!U170</f>
        <v>1.2197980852340087</v>
      </c>
      <c r="E226" s="334">
        <v>10</v>
      </c>
    </row>
    <row r="227" spans="1:5">
      <c r="A227" s="128" t="str">
        <f>'Measure Tables'!A168</f>
        <v>BNI- Direct Installation; High-Efficiency Air Source Heat Pumps; COM-HVAC; Office</v>
      </c>
      <c r="B227" s="320">
        <f>'Measure Tables'!P168</f>
        <v>4.337315506168034</v>
      </c>
      <c r="C227" s="320">
        <f>'Measure Tables'!T168</f>
        <v>9.4954485266707422</v>
      </c>
      <c r="D227" s="322">
        <f>'Measure Tables'!U168</f>
        <v>1.1892455167643214</v>
      </c>
      <c r="E227" s="334">
        <v>10</v>
      </c>
    </row>
    <row r="228" spans="1:5">
      <c r="A228" s="128" t="str">
        <f>'Measure Tables'!A247</f>
        <v>Existing Residential; DHW Pipe Insulation; RES-Water Heat; RES-SF</v>
      </c>
      <c r="B228" s="320">
        <f>'Measure Tables'!P247</f>
        <v>6.2762334120278211</v>
      </c>
      <c r="C228" s="320">
        <f>'Measure Tables'!T247</f>
        <v>9.8366739236923149</v>
      </c>
      <c r="D228" s="322">
        <f>'Measure Tables'!U247</f>
        <v>0.56728937213221531</v>
      </c>
      <c r="E228" s="334">
        <v>8</v>
      </c>
    </row>
    <row r="229" spans="1:5">
      <c r="A229" s="128" t="str">
        <f>'Measure Tables'!A74</f>
        <v>BNI - Efficient Product Rebates; LED Lamps-Retrofit (dual baseline); COM-Lighting; Retail</v>
      </c>
      <c r="B229" s="320">
        <f>'Measure Tables'!P74</f>
        <v>7.749736902844651</v>
      </c>
      <c r="C229" s="320">
        <f>'Measure Tables'!T74</f>
        <v>10.585163155988003</v>
      </c>
      <c r="D229" s="322">
        <f>'Measure Tables'!U74</f>
        <v>0.36587387271206179</v>
      </c>
      <c r="E229" s="334">
        <v>6</v>
      </c>
    </row>
    <row r="230" spans="1:5">
      <c r="A230" s="128" t="str">
        <f>'Measure Tables'!A73</f>
        <v>BNI - Efficient Product Rebates; LED Lamps-Retrofit (dual baseline); COM-Lighting; Other Commercial</v>
      </c>
      <c r="B230" s="320">
        <f>'Measure Tables'!P73</f>
        <v>7.8213050975493505</v>
      </c>
      <c r="C230" s="320">
        <f>'Measure Tables'!T73</f>
        <v>10.750498828561939</v>
      </c>
      <c r="D230" s="322">
        <f>'Measure Tables'!U73</f>
        <v>0.37451469984598773</v>
      </c>
      <c r="E230" s="334">
        <v>6</v>
      </c>
    </row>
    <row r="231" spans="1:5">
      <c r="A231" s="128" t="str">
        <f>'Measure Tables'!A191</f>
        <v>BNI- Direct Installation; Low Flow Showerheads; COM-Other; Other Commercial</v>
      </c>
      <c r="B231" s="320">
        <f>'Measure Tables'!P191</f>
        <v>3.7610239897947744</v>
      </c>
      <c r="C231" s="320">
        <f>'Measure Tables'!T191</f>
        <v>11.254457614680046</v>
      </c>
      <c r="D231" s="322">
        <f>'Measure Tables'!U191</f>
        <v>1.9923918712611461</v>
      </c>
      <c r="E231" s="334">
        <v>11</v>
      </c>
    </row>
    <row r="232" spans="1:5">
      <c r="A232" s="128" t="str">
        <f>'Measure Tables'!A71</f>
        <v xml:space="preserve">BNI - Efficient Product Rebates; LED Lamps-Retrofit (dual baseline); IND; Industrial </v>
      </c>
      <c r="B232" s="320">
        <f>'Measure Tables'!P71</f>
        <v>8.3662239641464513</v>
      </c>
      <c r="C232" s="320">
        <f>'Measure Tables'!T71</f>
        <v>11.207689130637652</v>
      </c>
      <c r="D232" s="322">
        <f>'Measure Tables'!U71</f>
        <v>0.3396353215821537</v>
      </c>
      <c r="E232" s="334">
        <v>6</v>
      </c>
    </row>
    <row r="233" spans="1:5">
      <c r="A233" s="128" t="str">
        <f>'Measure Tables'!A11</f>
        <v>BNI - Efficient Product Rebates; Single Tank Conveyor Dishwasher with Booster (High Temp); COM-Other; Retail</v>
      </c>
      <c r="B233" s="320">
        <f>'Measure Tables'!P11</f>
        <v>10.538932977668187</v>
      </c>
      <c r="C233" s="320">
        <f>'Measure Tables'!T11</f>
        <v>11.549256635634311</v>
      </c>
      <c r="D233" s="322">
        <f>'Measure Tables'!U11</f>
        <v>9.5865839559562807E-2</v>
      </c>
      <c r="E233" s="334">
        <v>3</v>
      </c>
    </row>
    <row r="234" spans="1:5">
      <c r="A234" s="128" t="str">
        <f>'Measure Tables'!A6</f>
        <v>BNI - Efficient Product Rebates; Single-Tank Door Type Dishwasher (Low Temp); COM-Other; Retail</v>
      </c>
      <c r="B234" s="320">
        <f>'Measure Tables'!P6</f>
        <v>8.5628434778335656</v>
      </c>
      <c r="C234" s="320">
        <f>'Measure Tables'!T6</f>
        <v>12.792061660307972</v>
      </c>
      <c r="D234" s="322">
        <f>'Measure Tables'!U6</f>
        <v>0.49390347884116831</v>
      </c>
      <c r="E234" s="334">
        <v>7</v>
      </c>
    </row>
    <row r="235" spans="1:5">
      <c r="A235" s="128" t="str">
        <f>'Measure Tables'!A7</f>
        <v>BNI - Efficient Product Rebates; Single-Tank Conveyor Dishwasher (Low Temp); COM-Other; Retail</v>
      </c>
      <c r="B235" s="320">
        <f>'Measure Tables'!P7</f>
        <v>10.538932977668187</v>
      </c>
      <c r="C235" s="320">
        <f>'Measure Tables'!T7</f>
        <v>13.629334754976332</v>
      </c>
      <c r="D235" s="322">
        <f>'Measure Tables'!U7</f>
        <v>0.29323668571160399</v>
      </c>
      <c r="E235" s="334">
        <v>5</v>
      </c>
    </row>
    <row r="236" spans="1:5">
      <c r="A236" s="128" t="str">
        <f>'Measure Tables'!A184</f>
        <v>BNI- Direct Installation; Faucet Aerator; COM-Other; Office</v>
      </c>
      <c r="B236" s="320">
        <f>'Measure Tables'!P184</f>
        <v>3.5758821556355791</v>
      </c>
      <c r="C236" s="320">
        <f>'Measure Tables'!T184</f>
        <v>14.970946444269067</v>
      </c>
      <c r="D236" s="322">
        <f>'Measure Tables'!U184</f>
        <v>3.1866442440433622</v>
      </c>
      <c r="E236" s="334">
        <v>12</v>
      </c>
    </row>
    <row r="237" spans="1:5">
      <c r="A237" s="128" t="str">
        <f>'Measure Tables'!A185</f>
        <v>BNI- Direct Installation; Faucet Aerator; COM-Other; Other Commercial</v>
      </c>
      <c r="B237" s="320">
        <f>'Measure Tables'!P185</f>
        <v>3.5758821556355791</v>
      </c>
      <c r="C237" s="320">
        <f>'Measure Tables'!T185</f>
        <v>14.970946444269067</v>
      </c>
      <c r="D237" s="322">
        <f>'Measure Tables'!U185</f>
        <v>3.1866442440433622</v>
      </c>
      <c r="E237" s="334">
        <v>12</v>
      </c>
    </row>
    <row r="238" spans="1:5">
      <c r="A238" s="128" t="str">
        <f>'Measure Tables'!A186</f>
        <v>BNI- Direct Installation; Faucet Aerator; COM-Other; Retail</v>
      </c>
      <c r="B238" s="320">
        <f>'Measure Tables'!P186</f>
        <v>3.5758821556355791</v>
      </c>
      <c r="C238" s="320">
        <f>'Measure Tables'!T186</f>
        <v>14.970946444269067</v>
      </c>
      <c r="D238" s="322">
        <f>'Measure Tables'!U186</f>
        <v>3.1866442440433622</v>
      </c>
      <c r="E238" s="334">
        <v>12</v>
      </c>
    </row>
    <row r="239" spans="1:5">
      <c r="A239" s="128" t="str">
        <f>'Measure Tables'!A5</f>
        <v>BNI - Efficient Product Rebates; Under Counter Commercial Dishwasher (Low Temp); COM-Other; Retail</v>
      </c>
      <c r="B239" s="320">
        <f>'Measure Tables'!P5</f>
        <v>16.269016925903237</v>
      </c>
      <c r="C239" s="320">
        <f>'Measure Tables'!T5</f>
        <v>17.838565065141111</v>
      </c>
      <c r="D239" s="322">
        <f>'Measure Tables'!U5</f>
        <v>9.6474676151997077E-2</v>
      </c>
      <c r="E239" s="334">
        <v>3</v>
      </c>
    </row>
  </sheetData>
  <sortState ref="A1:E238">
    <sortCondition ref="C13"/>
  </sortState>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BKM25"/>
  <sheetViews>
    <sheetView workbookViewId="0">
      <selection activeCell="A34" sqref="A34"/>
    </sheetView>
  </sheetViews>
  <sheetFormatPr defaultRowHeight="15"/>
  <cols>
    <col min="1" max="1" width="78.28515625" bestFit="1" customWidth="1"/>
    <col min="2" max="2" width="15.42578125" bestFit="1" customWidth="1"/>
    <col min="3" max="3" width="17" bestFit="1" customWidth="1"/>
    <col min="5" max="5" width="79" customWidth="1"/>
  </cols>
  <sheetData>
    <row r="1" spans="1:1651" ht="36" customHeight="1">
      <c r="A1" s="540" t="s">
        <v>506</v>
      </c>
      <c r="B1" s="541"/>
      <c r="C1" s="541"/>
      <c r="D1" s="541"/>
      <c r="E1" s="541"/>
    </row>
    <row r="2" spans="1:1651">
      <c r="A2" s="342" t="s">
        <v>27</v>
      </c>
      <c r="B2" s="342"/>
      <c r="C2" s="342"/>
      <c r="D2" s="342"/>
    </row>
    <row r="3" spans="1:1651">
      <c r="A3" s="42" t="s">
        <v>97</v>
      </c>
      <c r="B3" s="15" t="s">
        <v>29</v>
      </c>
      <c r="C3" s="15" t="s">
        <v>56</v>
      </c>
      <c r="D3" s="43">
        <v>15</v>
      </c>
      <c r="E3" t="s">
        <v>459</v>
      </c>
    </row>
    <row r="4" spans="1:1651">
      <c r="A4" s="42" t="s">
        <v>98</v>
      </c>
      <c r="B4" s="15" t="s">
        <v>29</v>
      </c>
      <c r="C4" s="15" t="s">
        <v>56</v>
      </c>
      <c r="D4" s="43">
        <v>15</v>
      </c>
      <c r="E4" t="s">
        <v>459</v>
      </c>
    </row>
    <row r="5" spans="1:1651">
      <c r="A5" s="42" t="s">
        <v>99</v>
      </c>
      <c r="B5" s="15" t="s">
        <v>29</v>
      </c>
      <c r="C5" s="15" t="s">
        <v>56</v>
      </c>
      <c r="D5" s="43">
        <v>15</v>
      </c>
      <c r="E5" t="s">
        <v>459</v>
      </c>
    </row>
    <row r="6" spans="1:1651">
      <c r="A6" s="42" t="s">
        <v>100</v>
      </c>
      <c r="B6" s="15" t="s">
        <v>29</v>
      </c>
      <c r="C6" s="15" t="s">
        <v>56</v>
      </c>
      <c r="D6" s="43">
        <v>15</v>
      </c>
      <c r="E6" t="s">
        <v>459</v>
      </c>
    </row>
    <row r="7" spans="1:1651" ht="15.75" thickBot="1">
      <c r="A7" s="62" t="s">
        <v>101</v>
      </c>
      <c r="B7" s="16" t="s">
        <v>29</v>
      </c>
      <c r="C7" s="16" t="s">
        <v>56</v>
      </c>
      <c r="D7" s="63">
        <v>15</v>
      </c>
      <c r="E7" s="209" t="s">
        <v>459</v>
      </c>
    </row>
    <row r="9" spans="1:1651">
      <c r="A9" s="343" t="s">
        <v>154</v>
      </c>
      <c r="B9" s="344"/>
      <c r="C9" s="344"/>
      <c r="D9" s="344"/>
    </row>
    <row r="10" spans="1:1651">
      <c r="A10" s="42" t="s">
        <v>171</v>
      </c>
      <c r="B10" s="15" t="s">
        <v>163</v>
      </c>
      <c r="C10" s="15" t="s">
        <v>139</v>
      </c>
      <c r="D10" s="43">
        <v>15</v>
      </c>
      <c r="E10" t="s">
        <v>422</v>
      </c>
    </row>
    <row r="11" spans="1:1651">
      <c r="A11" s="42" t="s">
        <v>172</v>
      </c>
      <c r="B11" s="15" t="s">
        <v>173</v>
      </c>
      <c r="C11" s="15" t="s">
        <v>139</v>
      </c>
      <c r="D11" s="43">
        <v>20</v>
      </c>
      <c r="E11" t="s">
        <v>422</v>
      </c>
    </row>
    <row r="12" spans="1:1651">
      <c r="A12" s="42" t="s">
        <v>174</v>
      </c>
      <c r="B12" s="15" t="s">
        <v>142</v>
      </c>
      <c r="C12" s="15" t="s">
        <v>139</v>
      </c>
      <c r="D12" s="43">
        <v>20</v>
      </c>
      <c r="E12" t="s">
        <v>422</v>
      </c>
    </row>
    <row r="13" spans="1:1651">
      <c r="A13" s="42" t="s">
        <v>179</v>
      </c>
      <c r="B13" s="15" t="s">
        <v>138</v>
      </c>
      <c r="C13" s="15" t="s">
        <v>158</v>
      </c>
      <c r="D13" s="43">
        <v>10</v>
      </c>
    </row>
    <row r="14" spans="1:1651" ht="30.75" thickBot="1">
      <c r="A14" s="62" t="s">
        <v>180</v>
      </c>
      <c r="B14" s="16" t="s">
        <v>142</v>
      </c>
      <c r="C14" s="16" t="s">
        <v>139</v>
      </c>
      <c r="D14" s="63">
        <v>25</v>
      </c>
      <c r="E14" s="304" t="s">
        <v>458</v>
      </c>
    </row>
    <row r="16" spans="1:1651">
      <c r="A16" s="343" t="s">
        <v>181</v>
      </c>
      <c r="B16" s="344"/>
      <c r="C16" s="344"/>
      <c r="D16" s="344"/>
    </row>
    <row r="17" spans="1:4">
      <c r="A17" s="42" t="s">
        <v>182</v>
      </c>
      <c r="B17" s="15" t="s">
        <v>173</v>
      </c>
      <c r="C17" s="15" t="s">
        <v>183</v>
      </c>
      <c r="D17" s="43">
        <v>30</v>
      </c>
    </row>
    <row r="18" spans="1:4">
      <c r="A18" s="42" t="s">
        <v>184</v>
      </c>
      <c r="B18" s="15" t="s">
        <v>173</v>
      </c>
      <c r="C18" s="15" t="s">
        <v>183</v>
      </c>
      <c r="D18" s="43">
        <v>30</v>
      </c>
    </row>
    <row r="19" spans="1:4">
      <c r="A19" s="42" t="s">
        <v>185</v>
      </c>
      <c r="B19" s="15" t="s">
        <v>173</v>
      </c>
      <c r="C19" s="15" t="s">
        <v>183</v>
      </c>
      <c r="D19" s="43">
        <v>30</v>
      </c>
    </row>
    <row r="20" spans="1:4">
      <c r="A20" s="42" t="s">
        <v>186</v>
      </c>
      <c r="B20" s="15" t="s">
        <v>173</v>
      </c>
      <c r="C20" s="15" t="s">
        <v>183</v>
      </c>
      <c r="D20" s="43">
        <v>30</v>
      </c>
    </row>
    <row r="21" spans="1:4">
      <c r="A21" s="42" t="s">
        <v>187</v>
      </c>
      <c r="B21" s="15" t="s">
        <v>173</v>
      </c>
      <c r="C21" s="15" t="s">
        <v>183</v>
      </c>
      <c r="D21" s="43">
        <v>30</v>
      </c>
    </row>
    <row r="22" spans="1:4">
      <c r="A22" s="42" t="s">
        <v>188</v>
      </c>
      <c r="B22" s="15" t="s">
        <v>173</v>
      </c>
      <c r="C22" s="15" t="s">
        <v>183</v>
      </c>
      <c r="D22" s="43">
        <v>30</v>
      </c>
    </row>
    <row r="23" spans="1:4">
      <c r="A23" s="42" t="s">
        <v>171</v>
      </c>
      <c r="B23" s="15" t="s">
        <v>163</v>
      </c>
      <c r="C23" s="15" t="s">
        <v>183</v>
      </c>
      <c r="D23" s="43">
        <v>15</v>
      </c>
    </row>
    <row r="24" spans="1:4">
      <c r="A24" s="42" t="s">
        <v>172</v>
      </c>
      <c r="B24" s="15" t="s">
        <v>173</v>
      </c>
      <c r="C24" s="15" t="s">
        <v>183</v>
      </c>
      <c r="D24" s="43">
        <v>20</v>
      </c>
    </row>
    <row r="25" spans="1:4" ht="15.75" thickBot="1">
      <c r="A25" s="62" t="s">
        <v>174</v>
      </c>
      <c r="B25" s="16" t="s">
        <v>142</v>
      </c>
      <c r="C25" s="16" t="s">
        <v>183</v>
      </c>
      <c r="D25" s="63">
        <v>20</v>
      </c>
    </row>
  </sheetData>
  <mergeCells count="1">
    <mergeCell ref="A1:E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D3:H46"/>
  <sheetViews>
    <sheetView workbookViewId="0">
      <selection sqref="A1:XFD1048576"/>
    </sheetView>
  </sheetViews>
  <sheetFormatPr defaultRowHeight="15"/>
  <cols>
    <col min="4" max="4" width="17.42578125" customWidth="1"/>
    <col min="5" max="5" width="24" customWidth="1"/>
    <col min="6" max="6" width="27.140625" customWidth="1"/>
    <col min="7" max="7" width="13.28515625" customWidth="1"/>
    <col min="8" max="8" width="22.28515625" customWidth="1"/>
  </cols>
  <sheetData>
    <row r="3" spans="4:8" ht="15.75" thickBot="1"/>
    <row r="4" spans="4:8" ht="15.75" thickBot="1">
      <c r="D4" s="542" t="s">
        <v>543</v>
      </c>
      <c r="E4" s="543"/>
      <c r="F4" s="543"/>
      <c r="G4" s="543"/>
      <c r="H4" s="544"/>
    </row>
    <row r="5" spans="4:8" ht="15.75" thickBot="1">
      <c r="D5" s="477" t="s">
        <v>544</v>
      </c>
      <c r="E5" s="478" t="s">
        <v>545</v>
      </c>
      <c r="F5" s="478" t="s">
        <v>546</v>
      </c>
      <c r="G5" s="478" t="s">
        <v>547</v>
      </c>
      <c r="H5" s="479" t="s">
        <v>548</v>
      </c>
    </row>
    <row r="6" spans="4:8">
      <c r="D6" s="480" t="s">
        <v>73</v>
      </c>
      <c r="E6" s="481">
        <f>(SUMIF('Measure Tables'!$C$5:$C$143,D6,'Measure Tables'!$BH$5:$BH$143)+SUMIF('Measure Tables'!$C$5:$C$143,D6,'Measure Tables'!$BV$5:$BV$143)+SUMIF('Measure Tables'!$C$5:$C$143,D6,'Measure Tables'!$CJ$5:$CJ$143))/(SUMIF('Measure Tables'!$C$5:$C$143,D6,'Measure Tables'!$BK$5:$BK$143)+SUMIF('Measure Tables'!$C$5:$C$143,D6,'Measure Tables'!$BY$5:$BY$143)+SUMIF('Measure Tables'!$C$5:$C$143,D6,'Measure Tables'!$CM$5:$CM$143))</f>
        <v>1.8971771431988289</v>
      </c>
      <c r="F6" s="482">
        <f>(SUMIF('Measure Tables'!$C$5:$C$143,D6,'Measure Tables'!$BH$5:$BH$143)+SUMIF('Measure Tables'!$C$5:$C$143,D6,'Measure Tables'!$BV$5:$BV$143)+SUMIF('Measure Tables'!$C$5:$C$143,D6,'Measure Tables'!$CJ$5:$CJ$143)+SUMIF('Measure Tables'!$C$5:$C$143,D6,'Measure Tables'!$BI$5:$BI$143)+SUMIF('Measure Tables'!$C$5:$C$143,D6,'Measure Tables'!$BW$5:$BW$143)+SUMIF('Measure Tables'!$C$5:$C$143,D6,'Measure Tables'!$CK$5:$CK$143))/(SUMIF('Measure Tables'!$C$5:$C$143,D6,'Measure Tables'!$BK$5:$BK$143)+SUMIF('Measure Tables'!$C$5:$C$143,D6,'Measure Tables'!$BY$5:$BY$143)+SUMIF('Measure Tables'!$C$5:$C$143,D6,'Measure Tables'!$CM$5:$CM$143))</f>
        <v>2.4760838533878191</v>
      </c>
      <c r="G6" s="483">
        <f>(F6-E6)/E6</f>
        <v>0.3051410946333119</v>
      </c>
      <c r="H6" s="484">
        <f>(SUMIF('Measure Tables'!$C$5:$C$143,D6,'Measure Tables'!$BI$5:$BI$143)+SUMIF('Measure Tables'!$C$5:$C$143,D6,'Measure Tables'!$BW$5:$BW$143)+SUMIF('Measure Tables'!$C$5:$C$143,D6,'Measure Tables'!$CK$5:$CK$143))/(SUM('Measure Tables'!$BI$5:$BI$143)+SUM('Measure Tables'!$BW$5:$BW$143)+SUM('Measure Tables'!$CK$5:$CK$143))</f>
        <v>0.76671097503271379</v>
      </c>
    </row>
    <row r="7" spans="4:8">
      <c r="D7" s="485" t="s">
        <v>55</v>
      </c>
      <c r="E7" s="486">
        <f>(SUMIF('Measure Tables'!$C$5:$C$143,D7,'Measure Tables'!$BH$5:$BH$143)+SUMIF('Measure Tables'!$C$5:$C$143,D7,'Measure Tables'!$BV$5:$BV$143)+SUMIF('Measure Tables'!$C$5:$C$143,D7,'Measure Tables'!$CJ$5:$CJ$143))/(SUMIF('Measure Tables'!$C$5:$C$143,D7,'Measure Tables'!$BK$5:$BK$143)+SUMIF('Measure Tables'!$C$5:$C$143,D7,'Measure Tables'!$BY$5:$BY$143)+SUMIF('Measure Tables'!$C$5:$C$143,D7,'Measure Tables'!$CM$5:$CM$143))</f>
        <v>3.5119984873618386</v>
      </c>
      <c r="F7" s="487">
        <f>(SUMIF('Measure Tables'!$C$5:$C$143,D7,'Measure Tables'!$BH$5:$BH$143)+SUMIF('Measure Tables'!$C$5:$C$143,D7,'Measure Tables'!$BV$5:$BV$143)+SUMIF('Measure Tables'!$C$5:$C$143,D7,'Measure Tables'!$CJ$5:$CJ$143)+SUMIF('Measure Tables'!$C$5:$C$143,D7,'Measure Tables'!$BI$5:$BI$143)+SUMIF('Measure Tables'!$C$5:$C$143,D7,'Measure Tables'!$BW$5:$BW$143)+SUMIF('Measure Tables'!$C$5:$C$143,D7,'Measure Tables'!$CK$5:$CK$143))/(SUMIF('Measure Tables'!$C$5:$C$143,D7,'Measure Tables'!$BK$5:$BK$143)+SUMIF('Measure Tables'!$C$5:$C$143,D7,'Measure Tables'!$BY$5:$BY$143)+SUMIF('Measure Tables'!$C$5:$C$143,D7,'Measure Tables'!$CM$5:$CM$143))</f>
        <v>3.5119984873618386</v>
      </c>
      <c r="G7" s="488">
        <f t="shared" ref="G7:G12" si="0">(F7-E7)/E7</f>
        <v>0</v>
      </c>
      <c r="H7" s="489">
        <f>(SUMIF('Measure Tables'!$C$5:$C$143,D7,'Measure Tables'!$BI$5:$BI$143)+SUMIF('Measure Tables'!$C$5:$C$143,D7,'Measure Tables'!$BW$5:$BW$143)+SUMIF('Measure Tables'!$C$5:$C$143,D7,'Measure Tables'!$CK$5:$CK$143))/(SUM('Measure Tables'!$BI$5:$BI$143)+SUM('Measure Tables'!$BW$5:$BW$143)+SUM('Measure Tables'!$CK$5:$CK$143))</f>
        <v>0</v>
      </c>
    </row>
    <row r="8" spans="4:8">
      <c r="D8" s="485" t="s">
        <v>89</v>
      </c>
      <c r="E8" s="486">
        <f>(SUMIF('Measure Tables'!$C$5:$C$143,D8,'Measure Tables'!$BH$5:$BH$143)+SUMIF('Measure Tables'!$C$5:$C$143,D8,'Measure Tables'!$BV$5:$BV$143)+SUMIF('Measure Tables'!$C$5:$C$143,D8,'Measure Tables'!$CJ$5:$CJ$143))/(SUMIF('Measure Tables'!$C$5:$C$143,D8,'Measure Tables'!$BK$5:$BK$143)+SUMIF('Measure Tables'!$C$5:$C$143,D8,'Measure Tables'!$BY$5:$BY$143)+SUMIF('Measure Tables'!$C$5:$C$143,D8,'Measure Tables'!$CM$5:$CM$143))</f>
        <v>2.7420012980431037</v>
      </c>
      <c r="F8" s="487">
        <f>(SUMIF('Measure Tables'!$C$5:$C$143,D8,'Measure Tables'!$BH$5:$BH$143)+SUMIF('Measure Tables'!$C$5:$C$143,D8,'Measure Tables'!$BV$5:$BV$143)+SUMIF('Measure Tables'!$C$5:$C$143,D8,'Measure Tables'!$CJ$5:$CJ$143)+SUMIF('Measure Tables'!$C$5:$C$143,D8,'Measure Tables'!$BI$5:$BI$143)+SUMIF('Measure Tables'!$C$5:$C$143,D8,'Measure Tables'!$BW$5:$BW$143)+SUMIF('Measure Tables'!$C$5:$C$143,D8,'Measure Tables'!$CK$5:$CK$143))/(SUMIF('Measure Tables'!$C$5:$C$143,D8,'Measure Tables'!$BK$5:$BK$143)+SUMIF('Measure Tables'!$C$5:$C$143,D8,'Measure Tables'!$BY$5:$BY$143)+SUMIF('Measure Tables'!$C$5:$C$143,D8,'Measure Tables'!$CM$5:$CM$143))</f>
        <v>2.7420012980431037</v>
      </c>
      <c r="G8" s="488">
        <f t="shared" si="0"/>
        <v>0</v>
      </c>
      <c r="H8" s="489">
        <f>(SUMIF('Measure Tables'!$C$5:$C$143,D8,'Measure Tables'!$BI$5:$BI$143)+SUMIF('Measure Tables'!$C$5:$C$143,D8,'Measure Tables'!$BW$5:$BW$143)+SUMIF('Measure Tables'!$C$5:$C$143,D8,'Measure Tables'!$CK$5:$CK$143))/(SUM('Measure Tables'!$BI$5:$BI$143)+SUM('Measure Tables'!$BW$5:$BW$143)+SUM('Measure Tables'!$CK$5:$CK$143))</f>
        <v>0</v>
      </c>
    </row>
    <row r="9" spans="4:8">
      <c r="D9" s="485" t="s">
        <v>95</v>
      </c>
      <c r="E9" s="486">
        <f>(SUMIF('Measure Tables'!$C$5:$C$143,D9,'Measure Tables'!$BH$5:$BH$143)+SUMIF('Measure Tables'!$C$5:$C$143,D9,'Measure Tables'!$BV$5:$BV$143)+SUMIF('Measure Tables'!$C$5:$C$143,D9,'Measure Tables'!$CJ$5:$CJ$143))/(SUMIF('Measure Tables'!$C$5:$C$143,D9,'Measure Tables'!$BK$5:$BK$143)+SUMIF('Measure Tables'!$C$5:$C$143,D9,'Measure Tables'!$BY$5:$BY$143)+SUMIF('Measure Tables'!$C$5:$C$143,D9,'Measure Tables'!$CM$5:$CM$143))</f>
        <v>2.0146547130571468</v>
      </c>
      <c r="F9" s="487">
        <f>(SUMIF('Measure Tables'!$C$5:$C$143,D9,'Measure Tables'!$BH$5:$BH$143)+SUMIF('Measure Tables'!$C$5:$C$143,D9,'Measure Tables'!$BV$5:$BV$143)+SUMIF('Measure Tables'!$C$5:$C$143,D9,'Measure Tables'!$CJ$5:$CJ$143)+SUMIF('Measure Tables'!$C$5:$C$143,D9,'Measure Tables'!$BI$5:$BI$143)+SUMIF('Measure Tables'!$C$5:$C$143,D9,'Measure Tables'!$BW$5:$BW$143)+SUMIF('Measure Tables'!$C$5:$C$143,D9,'Measure Tables'!$CK$5:$CK$143))/(SUMIF('Measure Tables'!$C$5:$C$143,D9,'Measure Tables'!$BK$5:$BK$143)+SUMIF('Measure Tables'!$C$5:$C$143,D9,'Measure Tables'!$BY$5:$BY$143)+SUMIF('Measure Tables'!$C$5:$C$143,D9,'Measure Tables'!$CM$5:$CM$143))</f>
        <v>2.0146547130571468</v>
      </c>
      <c r="G9" s="488">
        <f t="shared" si="0"/>
        <v>0</v>
      </c>
      <c r="H9" s="489">
        <f>(SUMIF('Measure Tables'!$C$5:$C$143,D9,'Measure Tables'!$BI$5:$BI$143)+SUMIF('Measure Tables'!$C$5:$C$143,D9,'Measure Tables'!$BW$5:$BW$143)+SUMIF('Measure Tables'!$C$5:$C$143,D9,'Measure Tables'!$CK$5:$CK$143))/(SUM('Measure Tables'!$BI$5:$BI$143)+SUM('Measure Tables'!$BW$5:$BW$143)+SUM('Measure Tables'!$CK$5:$CK$143))</f>
        <v>0</v>
      </c>
    </row>
    <row r="10" spans="4:8">
      <c r="D10" s="485" t="s">
        <v>46</v>
      </c>
      <c r="E10" s="486">
        <f>(SUMIF('Measure Tables'!$C$5:$C$143,D10,'Measure Tables'!$BH$5:$BH$143)+SUMIF('Measure Tables'!$C$5:$C$143,D10,'Measure Tables'!$BV$5:$BV$143)+SUMIF('Measure Tables'!$C$5:$C$143,D10,'Measure Tables'!$CJ$5:$CJ$143))/(SUMIF('Measure Tables'!$C$5:$C$143,D10,'Measure Tables'!$BK$5:$BK$143)+SUMIF('Measure Tables'!$C$5:$C$143,D10,'Measure Tables'!$BY$5:$BY$143)+SUMIF('Measure Tables'!$C$5:$C$143,D10,'Measure Tables'!$CM$5:$CM$143))</f>
        <v>2.5839619354135852</v>
      </c>
      <c r="F10" s="487">
        <f>(SUMIF('Measure Tables'!$C$5:$C$143,D10,'Measure Tables'!$BH$5:$BH$143)+SUMIF('Measure Tables'!$C$5:$C$143,D10,'Measure Tables'!$BV$5:$BV$143)+SUMIF('Measure Tables'!$C$5:$C$143,D10,'Measure Tables'!$CJ$5:$CJ$143)+SUMIF('Measure Tables'!$C$5:$C$143,D10,'Measure Tables'!$BI$5:$BI$143)+SUMIF('Measure Tables'!$C$5:$C$143,D10,'Measure Tables'!$BW$5:$BW$143)+SUMIF('Measure Tables'!$C$5:$C$143,D10,'Measure Tables'!$CK$5:$CK$143))/(SUMIF('Measure Tables'!$C$5:$C$143,D10,'Measure Tables'!$BK$5:$BK$143)+SUMIF('Measure Tables'!$C$5:$C$143,D10,'Measure Tables'!$BY$5:$BY$143)+SUMIF('Measure Tables'!$C$5:$C$143,D10,'Measure Tables'!$CM$5:$CM$143))</f>
        <v>2.6951527408184726</v>
      </c>
      <c r="G10" s="488">
        <f t="shared" si="0"/>
        <v>4.3031131334018785E-2</v>
      </c>
      <c r="H10" s="489">
        <f>(SUMIF('Measure Tables'!$C$5:$C$143,D10,'Measure Tables'!$BI$5:$BI$143)+SUMIF('Measure Tables'!$C$5:$C$143,D10,'Measure Tables'!$BW$5:$BW$143)+SUMIF('Measure Tables'!$C$5:$C$143,D10,'Measure Tables'!$CK$5:$CK$143))/(SUM('Measure Tables'!$BI$5:$BI$143)+SUM('Measure Tables'!$BW$5:$BW$143)+SUM('Measure Tables'!$CK$5:$CK$143))</f>
        <v>4.9139008249734486E-3</v>
      </c>
    </row>
    <row r="11" spans="4:8">
      <c r="D11" s="485" t="s">
        <v>29</v>
      </c>
      <c r="E11" s="486">
        <f>(SUMIF('Measure Tables'!$C$5:$C$143,D11,'Measure Tables'!$BH$5:$BH$143)+SUMIF('Measure Tables'!$C$5:$C$143,D11,'Measure Tables'!$BV$5:$BV$143)+SUMIF('Measure Tables'!$C$5:$C$143,D11,'Measure Tables'!$CJ$5:$CJ$143))/(SUMIF('Measure Tables'!$C$5:$C$143,D11,'Measure Tables'!$BK$5:$BK$143)+SUMIF('Measure Tables'!$C$5:$C$143,D11,'Measure Tables'!$BY$5:$BY$143)+SUMIF('Measure Tables'!$C$5:$C$143,D11,'Measure Tables'!$CM$5:$CM$143))</f>
        <v>5.089092887627511</v>
      </c>
      <c r="F11" s="487">
        <f>(SUMIF('Measure Tables'!$C$5:$C$143,D11,'Measure Tables'!$BH$5:$BH$143)+SUMIF('Measure Tables'!$C$5:$C$143,D11,'Measure Tables'!$BV$5:$BV$143)+SUMIF('Measure Tables'!$C$5:$C$143,D11,'Measure Tables'!$CJ$5:$CJ$143)+SUMIF('Measure Tables'!$C$5:$C$143,D11,'Measure Tables'!$BI$5:$BI$143)+SUMIF('Measure Tables'!$C$5:$C$143,D11,'Measure Tables'!$BW$5:$BW$143)+SUMIF('Measure Tables'!$C$5:$C$143,D11,'Measure Tables'!$CK$5:$CK$143))/(SUMIF('Measure Tables'!$C$5:$C$143,D11,'Measure Tables'!$BK$5:$BK$143)+SUMIF('Measure Tables'!$C$5:$C$143,D11,'Measure Tables'!$BY$5:$BY$143)+SUMIF('Measure Tables'!$C$5:$C$143,D11,'Measure Tables'!$CM$5:$CM$143))</f>
        <v>5.9654357507785623</v>
      </c>
      <c r="G11" s="488">
        <f t="shared" si="0"/>
        <v>0.17220020984124626</v>
      </c>
      <c r="H11" s="489">
        <f>(SUMIF('Measure Tables'!$C$5:$C$143,D11,'Measure Tables'!$BI$5:$BI$143)+SUMIF('Measure Tables'!$C$5:$C$143,D11,'Measure Tables'!$BW$5:$BW$143)+SUMIF('Measure Tables'!$C$5:$C$143,D11,'Measure Tables'!$CK$5:$CK$143))/(SUM('Measure Tables'!$BI$5:$BI$143)+SUM('Measure Tables'!$BW$5:$BW$143)+SUM('Measure Tables'!$CK$5:$CK$143))</f>
        <v>3.7538349224930413E-2</v>
      </c>
    </row>
    <row r="12" spans="4:8" ht="15.75" thickBot="1">
      <c r="D12" s="490" t="s">
        <v>69</v>
      </c>
      <c r="E12" s="491">
        <f>(SUMIF('Measure Tables'!$C$5:$C$143,D12,'Measure Tables'!$BH$5:$BH$143)+SUMIF('Measure Tables'!$C$5:$C$143,D12,'Measure Tables'!$BV$5:$BV$143)+SUMIF('Measure Tables'!$C$5:$C$143,D12,'Measure Tables'!$CJ$5:$CJ$143)+53725)/(SUMIF('Measure Tables'!$C$5:$C$143,D12,'Measure Tables'!$BK$5:$BK$143)+SUMIF('Measure Tables'!$C$5:$C$143,D12,'Measure Tables'!$BY$5:$BY$143)+SUMIF('Measure Tables'!$C$5:$C$143,D12,'Measure Tables'!$CM$5:$CM$143))</f>
        <v>2.5911807503009481</v>
      </c>
      <c r="F12" s="492">
        <f>(SUMIF('Measure Tables'!$C$5:$C$143,D12,'Measure Tables'!$BH$5:$BH$143)+SUMIF('Measure Tables'!$C$5:$C$143,D12,'Measure Tables'!$BV$5:$BV$143)+SUMIF('Measure Tables'!$C$5:$C$143,D12,'Measure Tables'!$CJ$5:$CJ$143)+SUMIF('Measure Tables'!$C$5:$C$143,D12,'Measure Tables'!$BI$5:$BI$143)+SUMIF('Measure Tables'!$C$5:$C$143,D12,'Measure Tables'!$BW$5:$BW$143)+SUMIF('Measure Tables'!$C$5:$C$143,D12,'Measure Tables'!$CK$5:$CK$143)+53725)/(SUMIF('Measure Tables'!$C$5:$C$143,D12,'Measure Tables'!$BK$5:$BK$143)+SUMIF('Measure Tables'!$C$5:$C$143,D12,'Measure Tables'!$BY$5:$BY$143)+SUMIF('Measure Tables'!$C$5:$C$143,D12,'Measure Tables'!$CM$5:$CM$143))</f>
        <v>3.2391709208511164</v>
      </c>
      <c r="G12" s="493">
        <f t="shared" si="0"/>
        <v>0.25007524869691494</v>
      </c>
      <c r="H12" s="494">
        <f>(SUMIF('Measure Tables'!$C$5:$C$143,D12,'Measure Tables'!$BI$5:$BI$143)+SUMIF('Measure Tables'!$C$5:$C$143,D12,'Measure Tables'!$BW$5:$BW$143)+SUMIF('Measure Tables'!$C$5:$C$143,D12,'Measure Tables'!$CK$5:$CK$143))/(SUM('Measure Tables'!$BI$5:$BI$143)+SUM('Measure Tables'!$BW$5:$BW$143)+SUM('Measure Tables'!$CK$5:$CK$143))</f>
        <v>0.19083677491738243</v>
      </c>
    </row>
    <row r="13" spans="4:8" ht="15.75" thickBot="1"/>
    <row r="14" spans="4:8" ht="15.75" thickBot="1">
      <c r="D14" s="542" t="s">
        <v>549</v>
      </c>
      <c r="E14" s="543"/>
      <c r="F14" s="543"/>
      <c r="G14" s="543"/>
      <c r="H14" s="544"/>
    </row>
    <row r="15" spans="4:8" ht="15.75" thickBot="1">
      <c r="D15" s="477" t="s">
        <v>544</v>
      </c>
      <c r="E15" s="478" t="s">
        <v>545</v>
      </c>
      <c r="F15" s="478" t="s">
        <v>546</v>
      </c>
      <c r="G15" s="478" t="s">
        <v>547</v>
      </c>
      <c r="H15" s="479" t="s">
        <v>548</v>
      </c>
    </row>
    <row r="16" spans="4:8">
      <c r="D16" s="480" t="s">
        <v>73</v>
      </c>
      <c r="E16" s="481">
        <f>(SUMIF('Measure Tables'!$C$151:$C$191,D16,'Measure Tables'!$BH$151:$BH$191)+SUMIF('Measure Tables'!$C$151:$C$191,D16,'Measure Tables'!$BV$151:$BV$191)+SUMIF('Measure Tables'!$C$151:$C$191,D16,'Measure Tables'!$CJ$151:$CJ$191))/(SUMIF('Measure Tables'!$C$151:$C$191,D16,'Measure Tables'!$BK$151:$BK$191)+SUMIF('Measure Tables'!$C$151:$C$191,D16,'Measure Tables'!$BY$151:$BY$191)+SUMIF('Measure Tables'!$C$151:$C$191,D16,'Measure Tables'!$CM$151:$CM$191))</f>
        <v>1.6837220910552491</v>
      </c>
      <c r="F16" s="482">
        <f>(SUMIF('Measure Tables'!$C$151:$C$191,D16,'Measure Tables'!$BH$151:$BH$191)+SUMIF('Measure Tables'!$C$151:$C$191,D16,'Measure Tables'!$BV$151:$BV$191)+SUMIF('Measure Tables'!$C$151:$C$191,D16,'Measure Tables'!$CJ$151:$CJ$191)+SUMIF('Measure Tables'!$C$151:$C$191,D16,'Measure Tables'!$BI$151:$BI$191)+SUMIF('Measure Tables'!$C$151:$C$191,D16,'Measure Tables'!$BW$151:$BW$191)+SUMIF('Measure Tables'!$C$151:$C$191,D16,'Measure Tables'!$CK$151:$CK$191))/(SUMIF('Measure Tables'!$C$151:$C$191,D16,'Measure Tables'!$BK$151:$BK$191)+SUMIF('Measure Tables'!$C$151:$C$191,D16,'Measure Tables'!$BY$151:$BY$191)+SUMIF('Measure Tables'!$C$151:$C$191,D16,'Measure Tables'!$CM$151:$CM$191))</f>
        <v>2.1906252470574019</v>
      </c>
      <c r="G16" s="483">
        <f>(F16-E16)/E16</f>
        <v>0.30106105912315878</v>
      </c>
      <c r="H16" s="484">
        <f>(SUMIF('Measure Tables'!$C$151:$C$191,D16,'Measure Tables'!$BI$151:$BI$191)+SUMIF('Measure Tables'!$C$151:$C$191,D16,'Measure Tables'!$BW$151:$BW$191)+SUMIF('Measure Tables'!$C$151:$C$191,D16,'Measure Tables'!$CK$151:$CK$191))/(SUM('Measure Tables'!$BI$151:$BI$191)+SUM('Measure Tables'!$BW$151:$BW$191)+SUM('Measure Tables'!$CK$151:$CK$191))</f>
        <v>3.6285642505687679E-2</v>
      </c>
    </row>
    <row r="17" spans="4:8">
      <c r="D17" s="485" t="s">
        <v>95</v>
      </c>
      <c r="E17" s="486">
        <f>(SUMIF('Measure Tables'!$C$151:$C$191,D17,'Measure Tables'!$BH$151:$BH$191)+SUMIF('Measure Tables'!$C$151:$C$191,D17,'Measure Tables'!$BV$151:$BV$191)+SUMIF('Measure Tables'!$C$151:$C$191,D17,'Measure Tables'!$CJ$151:$CJ$191))/(SUMIF('Measure Tables'!$C$151:$C$191,D17,'Measure Tables'!$BK$151:$BK$191)+SUMIF('Measure Tables'!$C$151:$C$191,D17,'Measure Tables'!$BY$151:$BY$191)+SUMIF('Measure Tables'!$C$151:$C$191,D17,'Measure Tables'!$CM$151:$CM$191))</f>
        <v>0.93556699963845125</v>
      </c>
      <c r="F17" s="487">
        <f>(SUMIF('Measure Tables'!$C$151:$C$191,D17,'Measure Tables'!$BH$151:$BH$191)+SUMIF('Measure Tables'!$C$151:$C$191,D17,'Measure Tables'!$BV$151:$BV$191)+SUMIF('Measure Tables'!$C$151:$C$191,D17,'Measure Tables'!$CJ$151:$CJ$191)+SUMIF('Measure Tables'!$C$151:$C$191,D17,'Measure Tables'!$BI$151:$BI$191)+SUMIF('Measure Tables'!$C$151:$C$191,D17,'Measure Tables'!$BW$151:$BW$191)+SUMIF('Measure Tables'!$C$151:$C$191,D17,'Measure Tables'!$CK$151:$CK$191))/(SUMIF('Measure Tables'!$C$151:$C$191,D17,'Measure Tables'!$BK$151:$BK$191)+SUMIF('Measure Tables'!$C$151:$C$191,D17,'Measure Tables'!$BY$151:$BY$191)+SUMIF('Measure Tables'!$C$151:$C$191,D17,'Measure Tables'!$CM$151:$CM$191))</f>
        <v>2.0157951725936685</v>
      </c>
      <c r="G17" s="488">
        <f t="shared" ref="G17:G19" si="1">(F17-E17)/E17</f>
        <v>1.1546240658046618</v>
      </c>
      <c r="H17" s="489">
        <f>(SUMIF('Measure Tables'!$C$151:$C$191,D17,'Measure Tables'!$BI$151:$BI$191)+SUMIF('Measure Tables'!$C$151:$C$191,D17,'Measure Tables'!$BW$151:$BW$191)+SUMIF('Measure Tables'!$C$151:$C$191,D17,'Measure Tables'!$CK$151:$CK$191))/(SUM('Measure Tables'!$BI$151:$BI$191)+SUM('Measure Tables'!$BW$151:$BW$191)+SUM('Measure Tables'!$CK$151:$CK$191))</f>
        <v>0.8644159728019476</v>
      </c>
    </row>
    <row r="18" spans="4:8">
      <c r="D18" s="485" t="s">
        <v>46</v>
      </c>
      <c r="E18" s="486">
        <f>(SUMIF('Measure Tables'!$C$151:$C$191,D18,'Measure Tables'!$BH$151:$BH$191)+SUMIF('Measure Tables'!$C$151:$C$191,D18,'Measure Tables'!$BV$151:$BV$191)+SUMIF('Measure Tables'!$C$151:$C$191,D18,'Measure Tables'!$CJ$151:$CJ$191))/(SUMIF('Measure Tables'!$C$151:$C$191,D18,'Measure Tables'!$BK$151:$BK$191)+SUMIF('Measure Tables'!$C$151:$C$191,D18,'Measure Tables'!$BY$151:$BY$191)+SUMIF('Measure Tables'!$C$151:$C$191,D18,'Measure Tables'!$CM$151:$CM$191))</f>
        <v>2.4806598247008331</v>
      </c>
      <c r="F18" s="487">
        <f>(SUMIF('Measure Tables'!$C$151:$C$191,D18,'Measure Tables'!$BH$151:$BH$191)+SUMIF('Measure Tables'!$C$151:$C$191,D18,'Measure Tables'!$BV$151:$BV$191)+SUMIF('Measure Tables'!$C$151:$C$191,D18,'Measure Tables'!$CJ$151:$CJ$191)+SUMIF('Measure Tables'!$C$151:$C$191,D18,'Measure Tables'!$BI$151:$BI$191)+SUMIF('Measure Tables'!$C$151:$C$191,D18,'Measure Tables'!$BW$151:$BW$191)+SUMIF('Measure Tables'!$C$151:$C$191,D18,'Measure Tables'!$CK$151:$CK$191))/(SUMIF('Measure Tables'!$C$151:$C$191,D18,'Measure Tables'!$BK$151:$BK$191)+SUMIF('Measure Tables'!$C$151:$C$191,D18,'Measure Tables'!$BY$151:$BY$191)+SUMIF('Measure Tables'!$C$151:$C$191,D18,'Measure Tables'!$CM$151:$CM$191))</f>
        <v>2.4806598247008331</v>
      </c>
      <c r="G18" s="488">
        <f t="shared" si="1"/>
        <v>0</v>
      </c>
      <c r="H18" s="489">
        <f>(SUMIF('Measure Tables'!$C$151:$C$191,D18,'Measure Tables'!$BI$151:$BI$191)+SUMIF('Measure Tables'!$C$151:$C$191,D18,'Measure Tables'!$BW$151:$BW$191)+SUMIF('Measure Tables'!$C$151:$C$191,D18,'Measure Tables'!$CK$151:$CK$191))/(SUM('Measure Tables'!$BI$151:$BI$191)+SUM('Measure Tables'!$BW$151:$BW$191)+SUM('Measure Tables'!$CK$151:$CK$191))</f>
        <v>0</v>
      </c>
    </row>
    <row r="19" spans="4:8" ht="15.75" thickBot="1">
      <c r="D19" s="490" t="s">
        <v>29</v>
      </c>
      <c r="E19" s="491">
        <f>(SUMIF('Measure Tables'!$C$151:$C$191,D19,'Measure Tables'!$BH$151:$BH$191)+SUMIF('Measure Tables'!$C$151:$C$191,D19,'Measure Tables'!$BV$151:$BV$191)+SUMIF('Measure Tables'!$C$151:$C$191,D19,'Measure Tables'!$CJ$151:$CJ$191))/(SUMIF('Measure Tables'!$C$151:$C$191,D19,'Measure Tables'!$BK$151:$BK$191)+SUMIF('Measure Tables'!$C$151:$C$191,D19,'Measure Tables'!$BY$151:$BY$191)+SUMIF('Measure Tables'!$C$151:$C$191,D19,'Measure Tables'!$CM$151:$CM$191))</f>
        <v>3.5853434265066686</v>
      </c>
      <c r="F19" s="492">
        <f>(SUMIF('Measure Tables'!$C$151:$C$191,D19,'Measure Tables'!$BH$151:$BH$191)+SUMIF('Measure Tables'!$C$151:$C$191,D19,'Measure Tables'!$BV$151:$BV$191)+SUMIF('Measure Tables'!$C$151:$C$191,D19,'Measure Tables'!$CJ$151:$CJ$191)+SUMIF('Measure Tables'!$C$151:$C$191,D19,'Measure Tables'!$BI$151:$BI$191)+SUMIF('Measure Tables'!$C$151:$C$191,D19,'Measure Tables'!$BW$151:$BW$191)+SUMIF('Measure Tables'!$C$151:$C$191,D19,'Measure Tables'!$CK$151:$CK$191))/(SUMIF('Measure Tables'!$C$151:$C$191,D19,'Measure Tables'!$BK$151:$BK$191)+SUMIF('Measure Tables'!$C$151:$C$191,D19,'Measure Tables'!$BY$151:$BY$191)+SUMIF('Measure Tables'!$C$151:$C$191,D19,'Measure Tables'!$CM$151:$CM$191))</f>
        <v>12.609360798909808</v>
      </c>
      <c r="G19" s="493">
        <f t="shared" si="1"/>
        <v>2.5169185483566272</v>
      </c>
      <c r="H19" s="494">
        <f>(SUMIF('Measure Tables'!$C$151:$C$191,D19,'Measure Tables'!$BI$151:$BI$191)+SUMIF('Measure Tables'!$C$151:$C$191,D19,'Measure Tables'!$BW$151:$BW$191)+SUMIF('Measure Tables'!$C$151:$C$191,D19,'Measure Tables'!$CK$151:$CK$191))/(SUM('Measure Tables'!$BI$151:$BI$191)+SUM('Measure Tables'!$BW$151:$BW$191)+SUM('Measure Tables'!$CK$151:$CK$191))</f>
        <v>9.929838469236478E-2</v>
      </c>
    </row>
    <row r="20" spans="4:8" ht="15.75" thickBot="1"/>
    <row r="21" spans="4:8" ht="15.75" thickBot="1">
      <c r="D21" s="542" t="s">
        <v>550</v>
      </c>
      <c r="E21" s="543"/>
      <c r="F21" s="543"/>
      <c r="G21" s="543"/>
      <c r="H21" s="544"/>
    </row>
    <row r="22" spans="4:8" ht="15.75" thickBot="1">
      <c r="D22" s="477" t="s">
        <v>544</v>
      </c>
      <c r="E22" s="478" t="s">
        <v>545</v>
      </c>
      <c r="F22" s="478" t="s">
        <v>546</v>
      </c>
      <c r="G22" s="478" t="s">
        <v>547</v>
      </c>
      <c r="H22" s="479" t="s">
        <v>548</v>
      </c>
    </row>
    <row r="23" spans="4:8">
      <c r="D23" s="485" t="s">
        <v>29</v>
      </c>
      <c r="E23" s="486">
        <f>SUM('Measure Tables'!BH199,'Measure Tables'!BV199,'Measure Tables'!CJ199)/SUM('Measure Tables'!BK199,'Measure Tables'!BY199,'Measure Tables'!CM199)</f>
        <v>2.8110148028917572</v>
      </c>
      <c r="F23" s="487">
        <f>(SUM('Measure Tables'!BH199,'Measure Tables'!BV199,'Measure Tables'!CJ199)+SUM('Measure Tables'!BI199,'Measure Tables'!BW199,'Measure Tables'!CK199))/SUM('Measure Tables'!BK199,'Measure Tables'!BY199,'Measure Tables'!CM199)</f>
        <v>4.0196740698251396</v>
      </c>
      <c r="G23" s="483">
        <f>(F23-E23)/E23</f>
        <v>0.42997257278403733</v>
      </c>
      <c r="H23" s="489">
        <f>SUM('Measure Tables'!BI199,'Measure Tables'!BW199,'Measure Tables'!CK199)/(SUM('Measure Tables'!$BI$199,'Measure Tables'!$BW$199,'Measure Tables'!$CK$199)+SUM('Measure Tables'!$BI$200,'Measure Tables'!$BW$200,'Measure Tables'!$CK$200))</f>
        <v>0.60758056938402172</v>
      </c>
    </row>
    <row r="24" spans="4:8" ht="15.75" thickBot="1">
      <c r="D24" s="490" t="s">
        <v>69</v>
      </c>
      <c r="E24" s="491">
        <f>SUM('Measure Tables'!BH200,'Measure Tables'!BV200,'Measure Tables'!CJ200)/SUM('Measure Tables'!BK200,'Measure Tables'!BY200,'Measure Tables'!CM200)</f>
        <v>2.7223347959376638</v>
      </c>
      <c r="F24" s="492">
        <f>(SUM('Measure Tables'!BH200,'Measure Tables'!BV200,'Measure Tables'!CJ200)+SUM('Measure Tables'!BI200,'Measure Tables'!BW200,'Measure Tables'!CK200))/SUM('Measure Tables'!BK200,'Measure Tables'!BY200,'Measure Tables'!CM200)</f>
        <v>3.9309940628710458</v>
      </c>
      <c r="G24" s="493">
        <f>(F24-E24)/E24</f>
        <v>0.44397892159956726</v>
      </c>
      <c r="H24" s="494">
        <f>SUM('Measure Tables'!BI200,'Measure Tables'!BW200,'Measure Tables'!CK200)/(SUM('Measure Tables'!$BI$199,'Measure Tables'!$BW$199,'Measure Tables'!$CK$199)+SUM('Measure Tables'!$BI$200,'Measure Tables'!$BW$200,'Measure Tables'!$CK$200))</f>
        <v>0.39241943061597823</v>
      </c>
    </row>
    <row r="25" spans="4:8" ht="15.75" thickBot="1"/>
    <row r="26" spans="4:8" ht="15.75" thickBot="1">
      <c r="D26" s="542" t="s">
        <v>551</v>
      </c>
      <c r="E26" s="543"/>
      <c r="F26" s="543"/>
      <c r="G26" s="543"/>
      <c r="H26" s="544"/>
    </row>
    <row r="27" spans="4:8" ht="15.75" thickBot="1">
      <c r="D27" s="477" t="s">
        <v>544</v>
      </c>
      <c r="E27" s="478" t="s">
        <v>545</v>
      </c>
      <c r="F27" s="478" t="s">
        <v>546</v>
      </c>
      <c r="G27" s="478" t="s">
        <v>547</v>
      </c>
      <c r="H27" s="479" t="s">
        <v>548</v>
      </c>
    </row>
    <row r="28" spans="4:8">
      <c r="D28" s="480" t="s">
        <v>138</v>
      </c>
      <c r="E28" s="481">
        <f>(SUMIF('Measure Tables'!$C$216:$C$227,D28,'Measure Tables'!$BH$216:$BH$227)+SUMIF('Measure Tables'!$C$216:$C$227,D28,'Measure Tables'!$BV$216:$BV$227)+SUMIF('Measure Tables'!$C$216:$C$227,D28,'Measure Tables'!$CJ$216:$CJ$227))/(SUMIF('Measure Tables'!$C$216:$C$227,D28,'Measure Tables'!$BK$216:$BK$227)+SUMIF('Measure Tables'!$C$216:$C$227,D28,'Measure Tables'!$BY$216:$BY$227)+SUMIF('Measure Tables'!$C$216:$C$227,D28,'Measure Tables'!$CM$216:$CM$227))</f>
        <v>1.4125406644813134</v>
      </c>
      <c r="F28" s="482">
        <f>(SUMIF('Measure Tables'!$C$216:$C$227,D28,'Measure Tables'!$BH$216:$BH$227)+SUMIF('Measure Tables'!$C$216:$C$227,D28,'Measure Tables'!$BV$216:$BV$227)+SUMIF('Measure Tables'!$C$216:$C$227,D28,'Measure Tables'!$CJ$216:$CJ$227)+SUMIF('Measure Tables'!$C$216:$C$227,D28,'Measure Tables'!$BI$216:$BI$227)+SUMIF('Measure Tables'!$C$216:$C$227,D28,'Measure Tables'!$BW$216:$BW$227)+SUMIF('Measure Tables'!$C$216:$C$227,D28,'Measure Tables'!$CK$216:$CK$227))/(SUMIF('Measure Tables'!$C$216:$C$227,D28,'Measure Tables'!$BK$216:$BK$227)+SUMIF('Measure Tables'!$C$216:$C$227,D28,'Measure Tables'!$BY$216:$BY$227)+SUMIF('Measure Tables'!$C$216:$C$227,D28,'Measure Tables'!$CM$216:$CM$227))</f>
        <v>1.4151832888114284</v>
      </c>
      <c r="G28" s="483">
        <f>(F28-E28)/E28</f>
        <v>1.8708306221296277E-3</v>
      </c>
      <c r="H28" s="484">
        <f>(SUMIF('Measure Tables'!$C$216:$C$227,D28,'Measure Tables'!$BI$216:$BI$227)+SUMIF('Measure Tables'!$C$216:$C$227,D28,'Measure Tables'!$BW$216:$BW$227)+SUMIF('Measure Tables'!$C$216:$C$227,D28,'Measure Tables'!$CK$216:$CK$227))/(SUM('Measure Tables'!$BI$216:$BI$227)+SUM('Measure Tables'!$BW$216:$BW$227)+SUM('Measure Tables'!$CK$216:$CK$227))</f>
        <v>1.3321744483410222E-2</v>
      </c>
    </row>
    <row r="29" spans="4:8">
      <c r="D29" s="485" t="s">
        <v>142</v>
      </c>
      <c r="E29" s="486">
        <f>(SUMIF('Measure Tables'!$C$216:$C$227,D29,'Measure Tables'!$BH$216:$BH$227)+SUMIF('Measure Tables'!$C$216:$C$227,D29,'Measure Tables'!$BV$216:$BV$227)+SUMIF('Measure Tables'!$C$216:$C$227,D29,'Measure Tables'!$CJ$216:$CJ$227))/(SUMIF('Measure Tables'!$C$216:$C$227,D29,'Measure Tables'!$BK$216:$BK$227)+SUMIF('Measure Tables'!$C$216:$C$227,D29,'Measure Tables'!$BY$216:$BY$227)+SUMIF('Measure Tables'!$C$216:$C$227,D29,'Measure Tables'!$CM$216:$CM$227))</f>
        <v>0.79904818521659271</v>
      </c>
      <c r="F29" s="487">
        <f>(SUMIF('Measure Tables'!$C$216:$C$227,D29,'Measure Tables'!$BH$216:$BH$227)+SUMIF('Measure Tables'!$C$216:$C$227,D29,'Measure Tables'!$BV$216:$BV$227)+SUMIF('Measure Tables'!$C$216:$C$227,D29,'Measure Tables'!$CJ$216:$CJ$227)+SUMIF('Measure Tables'!$C$216:$C$227,D29,'Measure Tables'!$BI$216:$BI$227)+SUMIF('Measure Tables'!$C$216:$C$227,D29,'Measure Tables'!$BW$216:$BW$227)+SUMIF('Measure Tables'!$C$216:$C$227,D29,'Measure Tables'!$CK$216:$CK$227))/(SUMIF('Measure Tables'!$C$216:$C$227,D29,'Measure Tables'!$BK$216:$BK$227)+SUMIF('Measure Tables'!$C$216:$C$227,D29,'Measure Tables'!$BY$216:$BY$227)+SUMIF('Measure Tables'!$C$216:$C$227,D29,'Measure Tables'!$CM$216:$CM$227))</f>
        <v>2.6926094065430997</v>
      </c>
      <c r="G29" s="488">
        <f t="shared" ref="G29:G31" si="2">(F29-E29)/E29</f>
        <v>2.3697710055035439</v>
      </c>
      <c r="H29" s="489">
        <f>(SUMIF('Measure Tables'!$C$216:$C$227,D29,'Measure Tables'!$BI$216:$BI$227)+SUMIF('Measure Tables'!$C$216:$C$227,D29,'Measure Tables'!$BW$216:$BW$227)+SUMIF('Measure Tables'!$C$216:$C$227,D29,'Measure Tables'!$CK$216:$CK$227))/(SUM('Measure Tables'!$BI$216:$BI$227)+SUM('Measure Tables'!$BW$216:$BW$227)+SUM('Measure Tables'!$CK$216:$CK$227))</f>
        <v>4.5775081478404527E-3</v>
      </c>
    </row>
    <row r="30" spans="4:8">
      <c r="D30" s="485" t="s">
        <v>144</v>
      </c>
      <c r="E30" s="486">
        <f>(SUMIF('Measure Tables'!$C$216:$C$227,D30,'Measure Tables'!$BH$216:$BH$227)+SUMIF('Measure Tables'!$C$216:$C$227,D30,'Measure Tables'!$BV$216:$BV$227)+SUMIF('Measure Tables'!$C$216:$C$227,D30,'Measure Tables'!$CJ$216:$CJ$227))/(SUMIF('Measure Tables'!$C$216:$C$227,D30,'Measure Tables'!$BK$216:$BK$227)+SUMIF('Measure Tables'!$C$216:$C$227,D30,'Measure Tables'!$BY$216:$BY$227)+SUMIF('Measure Tables'!$C$216:$C$227,D30,'Measure Tables'!$CM$216:$CM$227))</f>
        <v>1.7383200314374807</v>
      </c>
      <c r="F30" s="487">
        <f>(SUMIF('Measure Tables'!$C$216:$C$227,D30,'Measure Tables'!$BH$216:$BH$227)+SUMIF('Measure Tables'!$C$216:$C$227,D30,'Measure Tables'!$BV$216:$BV$227)+SUMIF('Measure Tables'!$C$216:$C$227,D30,'Measure Tables'!$CJ$216:$CJ$227)+SUMIF('Measure Tables'!$C$216:$C$227,D30,'Measure Tables'!$BI$216:$BI$227)+SUMIF('Measure Tables'!$C$216:$C$227,D30,'Measure Tables'!$BW$216:$BW$227)+SUMIF('Measure Tables'!$C$216:$C$227,D30,'Measure Tables'!$CK$216:$CK$227))/(SUMIF('Measure Tables'!$C$216:$C$227,D30,'Measure Tables'!$BK$216:$BK$227)+SUMIF('Measure Tables'!$C$216:$C$227,D30,'Measure Tables'!$BY$216:$BY$227)+SUMIF('Measure Tables'!$C$216:$C$227,D30,'Measure Tables'!$CM$216:$CM$227))</f>
        <v>1.8801899007642511</v>
      </c>
      <c r="G30" s="488">
        <f t="shared" si="2"/>
        <v>8.161320514120346E-2</v>
      </c>
      <c r="H30" s="489">
        <f>(SUMIF('Measure Tables'!$C$216:$C$227,D30,'Measure Tables'!$BI$216:$BI$227)+SUMIF('Measure Tables'!$C$216:$C$227,D30,'Measure Tables'!$BW$216:$BW$227)+SUMIF('Measure Tables'!$C$216:$C$227,D30,'Measure Tables'!$CK$216:$CK$227))/(SUM('Measure Tables'!$BI$216:$BI$227)+SUM('Measure Tables'!$BW$216:$BW$227)+SUM('Measure Tables'!$CK$216:$CK$227))</f>
        <v>0.97716424660373957</v>
      </c>
    </row>
    <row r="31" spans="4:8" ht="15.75" thickBot="1">
      <c r="D31" s="490" t="s">
        <v>552</v>
      </c>
      <c r="E31" s="491">
        <f>(SUMIF('Measure Tables'!$C$216:$C$227,'Measure Tables'!$C$223,'Measure Tables'!$BH$216:$BH$227)+SUMIF('Measure Tables'!$C$216:$C$227,'Measure Tables'!$C$223,'Measure Tables'!$BV$216:$BV$227)+SUMIF('Measure Tables'!$C$216:$C$227,'Measure Tables'!$C$223,'Measure Tables'!$CJ$216:$CJ$227))/(SUMIF('Measure Tables'!$C$216:$C$227,'Measure Tables'!$C$223,'Measure Tables'!$BK$216:$BK$227)+SUMIF('Measure Tables'!$C$216:$C$227,'Measure Tables'!$C$223,'Measure Tables'!$BY$216:$BY$227)+SUMIF('Measure Tables'!$C$216:$C$227,'Measure Tables'!$C$223,'Measure Tables'!$CM$216:$CM$227))</f>
        <v>2.0478506811589718</v>
      </c>
      <c r="F31" s="492">
        <f>(SUMIF('Measure Tables'!$C$216:$C$227,'Measure Tables'!$C$223,'Measure Tables'!$BH$216:$BH$227)+SUMIF('Measure Tables'!$C$216:$C$227,'Measure Tables'!$C$223,'Measure Tables'!$BV$216:$BV$227)+SUMIF('Measure Tables'!$C$216:$C$227,'Measure Tables'!$C$223,'Measure Tables'!$CJ$216:$CJ$227)+SUMIF('Measure Tables'!$C$216:$C$227,'Measure Tables'!$C$223,'Measure Tables'!$BI$216:$BI$227)+SUMIF('Measure Tables'!$C$216:$C$227,'Measure Tables'!$C$223,'Measure Tables'!$BW$216:$BW$227)+SUMIF('Measure Tables'!$C$216:$C$227,'Measure Tables'!$C$223,'Measure Tables'!$CK$216:$CK$227))/(SUMIF('Measure Tables'!$C$216:$C$227,'Measure Tables'!$C$223,'Measure Tables'!$BK$216:$BK$227)+SUMIF('Measure Tables'!$C$216:$C$227,'Measure Tables'!$C$223,'Measure Tables'!$BY$216:$BY$227)+SUMIF('Measure Tables'!$C$216:$C$227,'Measure Tables'!$C$223,'Measure Tables'!$CM$216:$CM$227))</f>
        <v>2.0491241622019909</v>
      </c>
      <c r="G31" s="493">
        <f t="shared" si="2"/>
        <v>6.2186225525892971E-4</v>
      </c>
      <c r="H31" s="494">
        <f>(SUMIF('Measure Tables'!$C$216:$C$227,D31,'Measure Tables'!$BI$216:$BI$227)+SUMIF('Measure Tables'!$C$216:$C$227,D31,'Measure Tables'!$BW$216:$BW$227)+SUMIF('Measure Tables'!$C$216:$C$227,D31,'Measure Tables'!$CK$216:$CK$227))/(SUM('Measure Tables'!$BI$216:$BI$227)+SUM('Measure Tables'!$BW$216:$BW$227)+SUM('Measure Tables'!$CK$216:$CK$227))</f>
        <v>0</v>
      </c>
    </row>
    <row r="32" spans="4:8" ht="15.75" thickBot="1"/>
    <row r="33" spans="4:8" ht="15.75" thickBot="1">
      <c r="D33" s="542" t="s">
        <v>553</v>
      </c>
      <c r="E33" s="543"/>
      <c r="F33" s="543"/>
      <c r="G33" s="543"/>
      <c r="H33" s="544"/>
    </row>
    <row r="34" spans="4:8" ht="15.75" thickBot="1">
      <c r="D34" s="477" t="s">
        <v>544</v>
      </c>
      <c r="E34" s="478" t="s">
        <v>545</v>
      </c>
      <c r="F34" s="478" t="s">
        <v>546</v>
      </c>
      <c r="G34" s="478" t="s">
        <v>547</v>
      </c>
      <c r="H34" s="479" t="s">
        <v>548</v>
      </c>
    </row>
    <row r="35" spans="4:8">
      <c r="D35" s="480" t="s">
        <v>144</v>
      </c>
      <c r="E35" s="481">
        <f>(SUMIF('Measure Tables'!$C$235:$C$267,D35,'Measure Tables'!$BH$235:$BH$267)+SUMIF('Measure Tables'!$C$235:$C$267,D35,'Measure Tables'!$BV$235:$BV$267)+SUMIF('Measure Tables'!$C$235:$C$267,D35,'Measure Tables'!$CJ$235:$CJ$267))/(SUMIF('Measure Tables'!$C$235:$C$267,D35,'Measure Tables'!$BK$235:$BK$267)+SUMIF('Measure Tables'!$C$235:$C$267,D35,'Measure Tables'!$BY$235:$BY$267)+SUMIF('Measure Tables'!$C$235:$C$267,D35,'Measure Tables'!$CM$235:$CM$267))</f>
        <v>5.0621685457184009</v>
      </c>
      <c r="F35" s="482">
        <f>(SUMIF('Measure Tables'!$C$235:$C$267,D35,'Measure Tables'!$BH$235:$BH$267)+SUMIF('Measure Tables'!$C$235:$C$267,D35,'Measure Tables'!$BV$235:$BV$267)+SUMIF('Measure Tables'!$C$235:$C$267,D35,'Measure Tables'!$CJ$235:$CJ$267)+SUMIF('Measure Tables'!$C$235:$C$267,D35,'Measure Tables'!$BI$235:$BI$267)+SUMIF('Measure Tables'!$C$235:$C$267,D35,'Measure Tables'!$BW$235:$BW$267)+SUMIF('Measure Tables'!$C$235:$C$267,D35,'Measure Tables'!$CK$235:$CK$267))/(SUMIF('Measure Tables'!$C$235:$C$267,D35,'Measure Tables'!$BK$235:$BK$267)+SUMIF('Measure Tables'!$C$235:$C$267,D35,'Measure Tables'!$BY$235:$BY$267)+SUMIF('Measure Tables'!$C$235:$C$267,D35,'Measure Tables'!$CM$235:$CM$267))</f>
        <v>5.3189150367279758</v>
      </c>
      <c r="G35" s="483">
        <f>(F35-E35)/E35</f>
        <v>5.0718676924878754E-2</v>
      </c>
      <c r="H35" s="484">
        <f>(SUMIF('Measure Tables'!$C$235:$C$267,D35,'Measure Tables'!$BI$235:$BI$267)+SUMIF('Measure Tables'!$C$235:$C$267,D35,'Measure Tables'!$BW$235:$BW$267)+SUMIF('Measure Tables'!$C$235:$C$267,D35,'Measure Tables'!$CK$235:$CK$267))/(SUM('Measure Tables'!$BI$235:$BI$267)+SUM('Measure Tables'!$BW$235:$BW$267)+SUM('Measure Tables'!$CK$235:$CK$267))</f>
        <v>0.17679363204541662</v>
      </c>
    </row>
    <row r="36" spans="4:8">
      <c r="D36" s="485" t="s">
        <v>163</v>
      </c>
      <c r="E36" s="486">
        <f>(SUMIF('Measure Tables'!$C$235:$C$267,D36,'Measure Tables'!$BH$235:$BH$267)+SUMIF('Measure Tables'!$C$235:$C$267,D36,'Measure Tables'!$BV$235:$BV$267)+SUMIF('Measure Tables'!$C$235:$C$267,D36,'Measure Tables'!$CJ$235:$CJ$267))/(SUMIF('Measure Tables'!$C$235:$C$267,D36,'Measure Tables'!$BK$235:$BK$267)+SUMIF('Measure Tables'!$C$235:$C$267,D36,'Measure Tables'!$BY$235:$BY$267)+SUMIF('Measure Tables'!$C$235:$C$267,D36,'Measure Tables'!$CM$235:$CM$267))</f>
        <v>1.0930143982958491</v>
      </c>
      <c r="F36" s="487">
        <f>(SUMIF('Measure Tables'!$C$235:$C$267,D36,'Measure Tables'!$BH$235:$BH$267)+SUMIF('Measure Tables'!$C$235:$C$267,D36,'Measure Tables'!$BV$235:$BV$267)+SUMIF('Measure Tables'!$C$235:$C$267,D36,'Measure Tables'!$CJ$235:$CJ$267)+SUMIF('Measure Tables'!$C$235:$C$267,D36,'Measure Tables'!$BI$235:$BI$267)+SUMIF('Measure Tables'!$C$235:$C$267,D36,'Measure Tables'!$BW$235:$BW$267)+SUMIF('Measure Tables'!$C$235:$C$267,D36,'Measure Tables'!$CK$235:$CK$267))/(SUMIF('Measure Tables'!$C$235:$C$267,D36,'Measure Tables'!$BK$235:$BK$267)+SUMIF('Measure Tables'!$C$235:$C$267,D36,'Measure Tables'!$BY$235:$BY$267)+SUMIF('Measure Tables'!$C$235:$C$267,D36,'Measure Tables'!$CM$235:$CM$267))</f>
        <v>1.3689105963484196</v>
      </c>
      <c r="G36" s="488">
        <f t="shared" ref="G36:G40" si="3">(F36-E36)/E36</f>
        <v>0.25241771607284252</v>
      </c>
      <c r="H36" s="489">
        <f>(SUMIF('Measure Tables'!$C$235:$C$267,D36,'Measure Tables'!$BI$235:$BI$267)+SUMIF('Measure Tables'!$C$235:$C$267,D36,'Measure Tables'!$BW$235:$BW$267)+SUMIF('Measure Tables'!$C$235:$C$267,D36,'Measure Tables'!$CK$235:$CK$267))/(SUM('Measure Tables'!$BI$235:$BI$267)+SUM('Measure Tables'!$BW$235:$BW$267)+SUM('Measure Tables'!$CK$235:$CK$267))</f>
        <v>0.21850401341099618</v>
      </c>
    </row>
    <row r="37" spans="4:8">
      <c r="D37" s="485" t="s">
        <v>142</v>
      </c>
      <c r="E37" s="486">
        <f>(SUMIF('Measure Tables'!$C$235:$C$267,D37,'Measure Tables'!$BH$235:$BH$267)+SUMIF('Measure Tables'!$C$235:$C$267,D37,'Measure Tables'!$BV$235:$BV$267)+SUMIF('Measure Tables'!$C$235:$C$267,D37,'Measure Tables'!$CJ$235:$CJ$267))/(SUMIF('Measure Tables'!$C$235:$C$267,D37,'Measure Tables'!$BK$235:$BK$267)+SUMIF('Measure Tables'!$C$235:$C$267,D37,'Measure Tables'!$BY$235:$BY$267)+SUMIF('Measure Tables'!$C$235:$C$267,D37,'Measure Tables'!$CM$235:$CM$267))</f>
        <v>1.5141953787563409</v>
      </c>
      <c r="F37" s="487">
        <f>(SUMIF('Measure Tables'!$C$235:$C$267,D37,'Measure Tables'!$BH$235:$BH$267)+SUMIF('Measure Tables'!$C$235:$C$267,D37,'Measure Tables'!$BV$235:$BV$267)+SUMIF('Measure Tables'!$C$235:$C$267,D37,'Measure Tables'!$CJ$235:$CJ$267)+SUMIF('Measure Tables'!$C$235:$C$267,D37,'Measure Tables'!$BI$235:$BI$267)+SUMIF('Measure Tables'!$C$235:$C$267,D37,'Measure Tables'!$BW$235:$BW$267)+SUMIF('Measure Tables'!$C$235:$C$267,D37,'Measure Tables'!$CK$235:$CK$267))/(SUMIF('Measure Tables'!$C$235:$C$267,D37,'Measure Tables'!$BK$235:$BK$267)+SUMIF('Measure Tables'!$C$235:$C$267,D37,'Measure Tables'!$BY$235:$BY$267)+SUMIF('Measure Tables'!$C$235:$C$267,D37,'Measure Tables'!$CM$235:$CM$267))</f>
        <v>1.6484639339991494</v>
      </c>
      <c r="G37" s="488">
        <f t="shared" si="3"/>
        <v>8.8673203687286178E-2</v>
      </c>
      <c r="H37" s="489">
        <f>(SUMIF('Measure Tables'!$C$235:$C$267,D37,'Measure Tables'!$BI$235:$BI$267)+SUMIF('Measure Tables'!$C$235:$C$267,D37,'Measure Tables'!$BW$235:$BW$267)+SUMIF('Measure Tables'!$C$235:$C$267,D37,'Measure Tables'!$CK$235:$CK$267))/(SUM('Measure Tables'!$BI$235:$BI$267)+SUM('Measure Tables'!$BW$235:$BW$267)+SUM('Measure Tables'!$CK$235:$CK$267))</f>
        <v>0.60440502822622244</v>
      </c>
    </row>
    <row r="38" spans="4:8">
      <c r="D38" s="485" t="s">
        <v>173</v>
      </c>
      <c r="E38" s="486">
        <f>(SUMIF('Measure Tables'!$C$235:$C$267,D38,'Measure Tables'!$BH$235:$BH$267)+SUMIF('Measure Tables'!$C$235:$C$267,D38,'Measure Tables'!$BV$235:$BV$267)+SUMIF('Measure Tables'!$C$235:$C$267,D38,'Measure Tables'!$CJ$235:$CJ$267))/(SUMIF('Measure Tables'!$C$235:$C$267,D38,'Measure Tables'!$BK$235:$BK$267)+SUMIF('Measure Tables'!$C$235:$C$267,D38,'Measure Tables'!$BY$235:$BY$267)+SUMIF('Measure Tables'!$C$235:$C$267,D38,'Measure Tables'!$CM$235:$CM$267))</f>
        <v>0.38133056907129592</v>
      </c>
      <c r="F38" s="487">
        <f>(SUMIF('Measure Tables'!$C$235:$C$267,D38,'Measure Tables'!$BH$235:$BH$267)+SUMIF('Measure Tables'!$C$235:$C$267,D38,'Measure Tables'!$BV$235:$BV$267)+SUMIF('Measure Tables'!$C$235:$C$267,D38,'Measure Tables'!$CJ$235:$CJ$267)+SUMIF('Measure Tables'!$C$235:$C$267,D38,'Measure Tables'!$BI$235:$BI$267)+SUMIF('Measure Tables'!$C$235:$C$267,D38,'Measure Tables'!$BW$235:$BW$267)+SUMIF('Measure Tables'!$C$235:$C$267,D38,'Measure Tables'!$CK$235:$CK$267))/(SUMIF('Measure Tables'!$C$235:$C$267,D38,'Measure Tables'!$BK$235:$BK$267)+SUMIF('Measure Tables'!$C$235:$C$267,D38,'Measure Tables'!$BY$235:$BY$267)+SUMIF('Measure Tables'!$C$235:$C$267,D38,'Measure Tables'!$CM$235:$CM$267))</f>
        <v>0.38133056907129592</v>
      </c>
      <c r="G38" s="488">
        <f t="shared" si="3"/>
        <v>0</v>
      </c>
      <c r="H38" s="489">
        <f>(SUMIF('Measure Tables'!$C$235:$C$267,D38,'Measure Tables'!$BI$235:$BI$267)+SUMIF('Measure Tables'!$C$235:$C$267,D38,'Measure Tables'!$BW$235:$BW$267)+SUMIF('Measure Tables'!$C$235:$C$267,D38,'Measure Tables'!$CK$235:$CK$267))/(SUM('Measure Tables'!$BI$235:$BI$267)+SUM('Measure Tables'!$BW$235:$BW$267)+SUM('Measure Tables'!$CK$235:$CK$267))</f>
        <v>0</v>
      </c>
    </row>
    <row r="39" spans="4:8">
      <c r="D39" s="485" t="s">
        <v>138</v>
      </c>
      <c r="E39" s="486">
        <f>(SUMIF('Measure Tables'!$C$235:$C$267,D39,'Measure Tables'!$BH$235:$BH$267)+SUMIF('Measure Tables'!$C$235:$C$267,D39,'Measure Tables'!$BV$235:$BV$267)+SUMIF('Measure Tables'!$C$235:$C$267,D39,'Measure Tables'!$CJ$235:$CJ$267))/(SUMIF('Measure Tables'!$C$235:$C$267,D39,'Measure Tables'!$BK$235:$BK$267)+SUMIF('Measure Tables'!$C$235:$C$267,D39,'Measure Tables'!$BY$235:$BY$267)+SUMIF('Measure Tables'!$C$235:$C$267,D39,'Measure Tables'!$CM$235:$CM$267))</f>
        <v>1.0719125217621261</v>
      </c>
      <c r="F39" s="487">
        <f>(SUMIF('Measure Tables'!$C$235:$C$267,D39,'Measure Tables'!$BH$235:$BH$267)+SUMIF('Measure Tables'!$C$235:$C$267,D39,'Measure Tables'!$BV$235:$BV$267)+SUMIF('Measure Tables'!$C$235:$C$267,D39,'Measure Tables'!$CJ$235:$CJ$267)+SUMIF('Measure Tables'!$C$235:$C$267,D39,'Measure Tables'!$BI$235:$BI$267)+SUMIF('Measure Tables'!$C$235:$C$267,D39,'Measure Tables'!$BW$235:$BW$267)+SUMIF('Measure Tables'!$C$235:$C$267,D39,'Measure Tables'!$CK$235:$CK$267))/(SUMIF('Measure Tables'!$C$235:$C$267,D39,'Measure Tables'!$BK$235:$BK$267)+SUMIF('Measure Tables'!$C$235:$C$267,D39,'Measure Tables'!$BY$235:$BY$267)+SUMIF('Measure Tables'!$C$235:$C$267,D39,'Measure Tables'!$CM$235:$CM$267))</f>
        <v>1.0734128649688415</v>
      </c>
      <c r="G39" s="488">
        <f t="shared" si="3"/>
        <v>1.3996881053771996E-3</v>
      </c>
      <c r="H39" s="489">
        <f>(SUMIF('Measure Tables'!$C$235:$C$267,D39,'Measure Tables'!$BI$235:$BI$267)+SUMIF('Measure Tables'!$C$235:$C$267,D39,'Measure Tables'!$BW$235:$BW$267)+SUMIF('Measure Tables'!$C$235:$C$267,D39,'Measure Tables'!$CK$235:$CK$267))/(SUM('Measure Tables'!$BI$235:$BI$267)+SUM('Measure Tables'!$BW$235:$BW$267)+SUM('Measure Tables'!$CK$235:$CK$267))</f>
        <v>2.9732631736488762E-4</v>
      </c>
    </row>
    <row r="40" spans="4:8" ht="15.75" thickBot="1">
      <c r="D40" s="490" t="s">
        <v>552</v>
      </c>
      <c r="E40" s="491">
        <f>(SUMIF('Measure Tables'!$C$235:$C$267,'Measure Tables'!$C$223,'Measure Tables'!$BH$235:$BH$267)+SUMIF('Measure Tables'!$C$235:$C$267,'Measure Tables'!$C$223,'Measure Tables'!$BV$235:$BV$267)+SUMIF('Measure Tables'!$C$235:$C$267,'Measure Tables'!$C$223,'Measure Tables'!$CJ$235:$CJ$267))/(SUMIF('Measure Tables'!$C$235:$C$267,'Measure Tables'!$C$223,'Measure Tables'!$BK$235:$BK$267)+SUMIF('Measure Tables'!$C$235:$C$267,'Measure Tables'!$C$223,'Measure Tables'!$BY$235:$BY$267)+SUMIF('Measure Tables'!$C$235:$C$267,'Measure Tables'!$C$223,'Measure Tables'!$CM$235:$CM$267))</f>
        <v>5.1034545997928955</v>
      </c>
      <c r="F40" s="492">
        <f>(SUMIF('Measure Tables'!$C$235:$C$267,'Measure Tables'!$C$223,'Measure Tables'!$BH$235:$BH$267)+SUMIF('Measure Tables'!$C$235:$C$267,'Measure Tables'!$C$223,'Measure Tables'!$BV$235:$BV$267)+SUMIF('Measure Tables'!$C$235:$C$267,'Measure Tables'!$C$223,'Measure Tables'!$CJ$235:$CJ$267)+SUMIF('Measure Tables'!$C$235:$C$267,'Measure Tables'!$C$223,'Measure Tables'!$BI$235:$BI$267)+SUMIF('Measure Tables'!$C$235:$C$267,'Measure Tables'!$C$223,'Measure Tables'!$BW$235:$BW$267)+SUMIF('Measure Tables'!$C$235:$C$267,'Measure Tables'!$C$223,'Measure Tables'!$CK$235:$CK$267))/(SUMIF('Measure Tables'!$C$235:$C$267,'Measure Tables'!$C$223,'Measure Tables'!$BK$235:$BK$267)+SUMIF('Measure Tables'!$C$235:$C$267,'Measure Tables'!$C$223,'Measure Tables'!$BY$235:$BY$267)+SUMIF('Measure Tables'!$C$235:$C$267,'Measure Tables'!$C$223,'Measure Tables'!$CM$235:$CM$267))</f>
        <v>5.1034545997928955</v>
      </c>
      <c r="G40" s="493">
        <f t="shared" si="3"/>
        <v>0</v>
      </c>
      <c r="H40" s="494">
        <f>(SUMIF('Measure Tables'!$C$235:$C$267,D40,'Measure Tables'!$BI$235:$BI$267)+SUMIF('Measure Tables'!$C$235:$C$267,D40,'Measure Tables'!$BW$235:$BW$267)+SUMIF('Measure Tables'!$C$235:$C$267,D40,'Measure Tables'!$CK$235:$CK$267))/(SUM('Measure Tables'!$BI$235:$BI$267)+SUM('Measure Tables'!$BW$235:$BW$267)+SUM('Measure Tables'!$CK$235:$CK$267))</f>
        <v>0</v>
      </c>
    </row>
    <row r="41" spans="4:8" ht="15.75" thickBot="1"/>
    <row r="42" spans="4:8" ht="15.75" thickBot="1">
      <c r="D42" s="542" t="s">
        <v>554</v>
      </c>
      <c r="E42" s="543"/>
      <c r="F42" s="543"/>
      <c r="G42" s="543"/>
      <c r="H42" s="544"/>
    </row>
    <row r="43" spans="4:8" ht="15.75" thickBot="1">
      <c r="D43" s="477" t="s">
        <v>544</v>
      </c>
      <c r="E43" s="478" t="s">
        <v>545</v>
      </c>
      <c r="F43" s="478" t="s">
        <v>546</v>
      </c>
      <c r="G43" s="478" t="s">
        <v>547</v>
      </c>
      <c r="H43" s="479" t="s">
        <v>548</v>
      </c>
    </row>
    <row r="44" spans="4:8">
      <c r="D44" s="485" t="s">
        <v>163</v>
      </c>
      <c r="E44" s="486">
        <f>(SUMIF('Measure Tables'!$C$275:$C$283,D44,'Measure Tables'!$BH$275:$BH$283)+SUMIF('Measure Tables'!$C$275:$C$283,D44,'Measure Tables'!$BV$275:$BV$283)+SUMIF('Measure Tables'!$C$275:$C$283,D44,'Measure Tables'!$CJ$275:$CJ$283))/(SUMIF('Measure Tables'!$C$275:$C$283,D44,'Measure Tables'!$BK$275:$BK$283)+SUMIF('Measure Tables'!$C$275:$C$283,D44,'Measure Tables'!$BY$275:$BY$283)+SUMIF('Measure Tables'!$C$275:$C$283,D44,'Measure Tables'!$CM$275:$CM$283))</f>
        <v>0.30233429785920196</v>
      </c>
      <c r="F44" s="487">
        <f>(SUMIF('Measure Tables'!$C$275:$C$283,D44,'Measure Tables'!$BH$275:$BH$283)+SUMIF('Measure Tables'!$C$275:$C$283,D44,'Measure Tables'!$BV$275:$BV$283)+SUMIF('Measure Tables'!$C$275:$C$283,D44,'Measure Tables'!$CJ$275:$CJ$283)+SUMIF('Measure Tables'!$C$275:$C$283,D44,'Measure Tables'!$BI$275:$BI$283)+SUMIF('Measure Tables'!$C$275:$C$283,D44,'Measure Tables'!$BW$275:$BW$283)+SUMIF('Measure Tables'!$C$275:$C$283,D44,'Measure Tables'!$CK$275:$CK$283))/(SUMIF('Measure Tables'!$C$275:$C$283,D44,'Measure Tables'!$BK$275:$BK$283)+SUMIF('Measure Tables'!$C$275:$C$283,D44,'Measure Tables'!$BY$275:$BY$283)+SUMIF('Measure Tables'!$C$275:$C$283,D44,'Measure Tables'!$CM$275:$CM$283))</f>
        <v>0.30233429785920196</v>
      </c>
      <c r="G44" s="488">
        <f t="shared" ref="G44:G46" si="4">(F44-E44)/E44</f>
        <v>0</v>
      </c>
      <c r="H44" s="489">
        <f>(SUMIF('Measure Tables'!$C$275:$C$283,D44,'Measure Tables'!$BI$275:$BI$283)+SUMIF('Measure Tables'!$C$275:$C$283,D44,'Measure Tables'!$BW$275:$BW$283)+SUMIF('Measure Tables'!$C$275:$C$283,D44,'Measure Tables'!$CK$275:$CK$283))/(SUM('Measure Tables'!$BI$275:$BI$283)+SUM('Measure Tables'!$BW$275:$BW$283)+SUM('Measure Tables'!$CK$275:$CK$283))</f>
        <v>0</v>
      </c>
    </row>
    <row r="45" spans="4:8">
      <c r="D45" s="485" t="s">
        <v>142</v>
      </c>
      <c r="E45" s="486">
        <f>(SUMIF('Measure Tables'!$C$275:$C$283,D45,'Measure Tables'!$BH$275:$BH$283)+SUMIF('Measure Tables'!$C$275:$C$283,D45,'Measure Tables'!$BV$275:$BV$283)+SUMIF('Measure Tables'!$C$275:$C$283,D45,'Measure Tables'!$CJ$275:$CJ$283))/(SUMIF('Measure Tables'!$C$275:$C$283,D45,'Measure Tables'!$BK$275:$BK$283)+SUMIF('Measure Tables'!$C$275:$C$283,D45,'Measure Tables'!$BY$275:$BY$283)+SUMIF('Measure Tables'!$C$275:$C$283,D45,'Measure Tables'!$CM$275:$CM$283))</f>
        <v>0.53535593023367423</v>
      </c>
      <c r="F45" s="487">
        <f>(SUMIF('Measure Tables'!$C$275:$C$283,D45,'Measure Tables'!$BH$275:$BH$283)+SUMIF('Measure Tables'!$C$275:$C$283,D45,'Measure Tables'!$BV$275:$BV$283)+SUMIF('Measure Tables'!$C$275:$C$283,D45,'Measure Tables'!$CJ$275:$CJ$283)+SUMIF('Measure Tables'!$C$275:$C$283,D45,'Measure Tables'!$BI$275:$BI$283)+SUMIF('Measure Tables'!$C$275:$C$283,D45,'Measure Tables'!$BW$275:$BW$283)+SUMIF('Measure Tables'!$C$275:$C$283,D45,'Measure Tables'!$CK$275:$CK$283))/(SUMIF('Measure Tables'!$C$275:$C$283,D45,'Measure Tables'!$BK$275:$BK$283)+SUMIF('Measure Tables'!$C$275:$C$283,D45,'Measure Tables'!$BY$275:$BY$283)+SUMIF('Measure Tables'!$C$275:$C$283,D45,'Measure Tables'!$CM$275:$CM$283))</f>
        <v>0.53535593023367423</v>
      </c>
      <c r="G45" s="488">
        <f t="shared" si="4"/>
        <v>0</v>
      </c>
      <c r="H45" s="489">
        <f>(SUMIF('Measure Tables'!$C$275:$C$283,D45,'Measure Tables'!$BI$275:$BI$283)+SUMIF('Measure Tables'!$C$275:$C$283,D45,'Measure Tables'!$BW$275:$BW$283)+SUMIF('Measure Tables'!$C$275:$C$283,D45,'Measure Tables'!$CK$275:$CK$283))/(SUM('Measure Tables'!$BI$275:$BI$283)+SUM('Measure Tables'!$BW$275:$BW$283)+SUM('Measure Tables'!$CK$275:$CK$283))</f>
        <v>0</v>
      </c>
    </row>
    <row r="46" spans="4:8" ht="15.75" thickBot="1">
      <c r="D46" s="490" t="s">
        <v>173</v>
      </c>
      <c r="E46" s="491">
        <f>(SUMIF('Measure Tables'!$C$275:$C$283,D46,'Measure Tables'!$BH$275:$BH$283)+SUMIF('Measure Tables'!$C$275:$C$283,D46,'Measure Tables'!$BV$275:$BV$283)+SUMIF('Measure Tables'!$C$275:$C$283,D46,'Measure Tables'!$CJ$275:$CJ$283))/(SUMIF('Measure Tables'!$C$275:$C$283,D46,'Measure Tables'!$BK$275:$BK$283)+SUMIF('Measure Tables'!$C$275:$C$283,D46,'Measure Tables'!$BY$275:$BY$283)+SUMIF('Measure Tables'!$C$275:$C$283,D46,'Measure Tables'!$CM$275:$CM$283))</f>
        <v>2.6295194623906943</v>
      </c>
      <c r="F46" s="492">
        <f>(SUMIF('Measure Tables'!$C$275:$C$283,D46,'Measure Tables'!$BH$275:$BH$283)+SUMIF('Measure Tables'!$C$275:$C$283,D46,'Measure Tables'!$BV$275:$BV$283)+SUMIF('Measure Tables'!$C$275:$C$283,D46,'Measure Tables'!$CJ$275:$CJ$283)+SUMIF('Measure Tables'!$C$275:$C$283,D46,'Measure Tables'!$BI$275:$BI$283)+SUMIF('Measure Tables'!$C$275:$C$283,D46,'Measure Tables'!$BW$275:$BW$283)+SUMIF('Measure Tables'!$C$275:$C$283,D46,'Measure Tables'!$CK$275:$CK$283))/(SUMIF('Measure Tables'!$C$275:$C$283,D46,'Measure Tables'!$BK$275:$BK$283)+SUMIF('Measure Tables'!$C$275:$C$283,D46,'Measure Tables'!$BY$275:$BY$283)+SUMIF('Measure Tables'!$C$275:$C$283,D46,'Measure Tables'!$CM$275:$CM$283))</f>
        <v>3.0058696889854382</v>
      </c>
      <c r="G46" s="493">
        <f t="shared" si="4"/>
        <v>0.14312509642068802</v>
      </c>
      <c r="H46" s="494">
        <f>(SUMIF('Measure Tables'!$C$275:$C$283,D46,'Measure Tables'!$BI$275:$BI$283)+SUMIF('Measure Tables'!$C$275:$C$283,D46,'Measure Tables'!$BW$275:$BW$283)+SUMIF('Measure Tables'!$C$275:$C$283,D46,'Measure Tables'!$CK$275:$CK$283))/(SUM('Measure Tables'!$BI$275:$BI$283)+SUM('Measure Tables'!$BW$275:$BW$283)+SUM('Measure Tables'!$CK$275:$CK$283))</f>
        <v>1</v>
      </c>
    </row>
  </sheetData>
  <mergeCells count="6">
    <mergeCell ref="D42:H42"/>
    <mergeCell ref="D4:H4"/>
    <mergeCell ref="D14:H14"/>
    <mergeCell ref="D21:H21"/>
    <mergeCell ref="D26:H26"/>
    <mergeCell ref="D33:H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303D5DE39C96448D076F4DB7C9106E" ma:contentTypeVersion="0" ma:contentTypeDescription="Create a new document." ma:contentTypeScope="" ma:versionID="73e29f6073ab8f4e280284ba82875ba4">
  <xsd:schema xmlns:xsd="http://www.w3.org/2001/XMLSchema" xmlns:xs="http://www.w3.org/2001/XMLSchema" xmlns:p="http://schemas.microsoft.com/office/2006/metadata/properties" xmlns:ns2="a7ab817b-4faa-45d5-80bc-22d50aff3ce5" targetNamespace="http://schemas.microsoft.com/office/2006/metadata/properties" ma:root="true" ma:fieldsID="8ddff157fc7a8e93ba6ed58a8ef59be8" ns2:_="">
    <xsd:import namespace="a7ab817b-4faa-45d5-80bc-22d50aff3ce5"/>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ab817b-4faa-45d5-80bc-22d50aff3ce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a7ab817b-4faa-45d5-80bc-22d50aff3ce5">RT4TSYFRP5F3-667-8</_dlc_DocId>
    <_dlc_DocIdUrl xmlns="a7ab817b-4faa-45d5-80bc-22d50aff3ce5">
      <Url>https://collaboration.efficiencyns.ca/dsmplan/_layouts/15/DocIdRedir.aspx?ID=RT4TSYFRP5F3-667-8</Url>
      <Description>RT4TSYFRP5F3-667-8</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1A6612-C064-476D-BF57-D125E9E7BE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ab817b-4faa-45d5-80bc-22d50aff3c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FADC23-C0F3-45B4-ADE5-720D89943E1B}">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a7ab817b-4faa-45d5-80bc-22d50aff3ce5"/>
    <ds:schemaRef ds:uri="http://www.w3.org/XML/1998/namespace"/>
  </ds:schemaRefs>
</ds:datastoreItem>
</file>

<file path=customXml/itemProps3.xml><?xml version="1.0" encoding="utf-8"?>
<ds:datastoreItem xmlns:ds="http://schemas.openxmlformats.org/officeDocument/2006/customXml" ds:itemID="{D58C8EEB-A20F-41A5-82E7-509B7C83CEB2}">
  <ds:schemaRefs>
    <ds:schemaRef ds:uri="http://schemas.microsoft.com/sharepoint/events"/>
  </ds:schemaRefs>
</ds:datastoreItem>
</file>

<file path=customXml/itemProps4.xml><?xml version="1.0" encoding="utf-8"?>
<ds:datastoreItem xmlns:ds="http://schemas.openxmlformats.org/officeDocument/2006/customXml" ds:itemID="{646F5FAA-5DD6-424C-8965-55DA086015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Measure Tables</vt:lpstr>
      <vt:lpstr>TRC Figure</vt:lpstr>
      <vt:lpstr>2011 PA Study-Res</vt:lpstr>
      <vt:lpstr>Adaptation</vt:lpstr>
      <vt:lpstr>Sorted</vt:lpstr>
      <vt:lpstr>VEIC Flag</vt:lpstr>
      <vt:lpstr>Figures by Program and End Use </vt:lpstr>
      <vt:lpstr>measure_name</vt:lpstr>
      <vt:lpstr>perc_change</vt:lpstr>
      <vt:lpstr>RDR</vt:lpstr>
      <vt:lpstr>trc</vt:lpstr>
      <vt:lpstr>trc_neb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Malmgren</dc:creator>
  <cp:lastModifiedBy>Janet MacDonald</cp:lastModifiedBy>
  <cp:lastPrinted>2017-08-09T13:01:39Z</cp:lastPrinted>
  <dcterms:created xsi:type="dcterms:W3CDTF">2017-07-19T15:07:50Z</dcterms:created>
  <dcterms:modified xsi:type="dcterms:W3CDTF">2018-09-19T12:08:06Z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0x0101002B303D5DE39C96448D076F4DB7C9106E</vt:lpwstr>
  </property>
  <property fmtid="{D5CDD505-2E9C-101B-9397-08002B2CF9AE}" pid="3" name="_dlc_DocIdItemGuid">
    <vt:lpwstr>b4e7957f-c123-41ef-90b0-54fef5edc166</vt:lpwstr>
  </property>
</Properties>
</file>