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2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3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style9.xml" ContentType="application/vnd.ms-office.chartstyle+xml"/>
  <Override PartName="/xl/charts/colors9.xml" ContentType="application/vnd.ms-office.chartcolorsty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9.xml" ContentType="application/vnd.openxmlformats-officedocument.drawingml.chart+xml"/>
  <Override PartName="/xl/worksheets/sheet4.xml" ContentType="application/vnd.openxmlformats-officedocument.spreadsheetml.worksheet+xml"/>
  <Override PartName="/xl/charts/colors8.xml" ContentType="application/vnd.ms-office.chartcolorstyle+xml"/>
  <Override PartName="/xl/worksheets/sheet1.xml" ContentType="application/vnd.openxmlformats-officedocument.spreadsheetml.worksheet+xml"/>
  <Override PartName="/xl/charts/colors7.xml" ContentType="application/vnd.ms-office.chartcolorstyle+xml"/>
  <Override PartName="/xl/worksheets/sheet5.xml" ContentType="application/vnd.openxmlformats-officedocument.spreadsheetml.worksheet+xml"/>
  <Override PartName="/xl/charts/chart8.xml" ContentType="application/vnd.openxmlformats-officedocument.drawingml.chart+xml"/>
  <Override PartName="/xl/charts/style8.xml" ContentType="application/vnd.ms-office.chart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6.xml" ContentType="application/vnd.ms-office.chartcolorstyle+xml"/>
  <Override PartName="/xl/theme/theme1.xml" ContentType="application/vnd.openxmlformats-officedocument.them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charts/colors2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tyles.xml" ContentType="application/vnd.openxmlformats-officedocument.spreadsheetml.styles+xml"/>
  <Override PartName="/xl/charts/colors4.xml" ContentType="application/vnd.ms-office.chartcolorstyle+xml"/>
  <Override PartName="/xl/charts/style4.xml" ContentType="application/vnd.ms-office.chart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olors5.xml" ContentType="application/vnd.ms-office.chartcolorstyle+xml"/>
  <Override PartName="/xl/charts/style5.xml" ContentType="application/vnd.ms-office.chartstyle+xml"/>
  <Override PartName="/xl/charts/chart6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2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O:\Consulting\Projects &amp; Utility Info\Active\Nova Scotia\EfficiencyOne NEBs 2017\Final Deliverables\Revised Analysis\"/>
    </mc:Choice>
  </mc:AlternateContent>
  <bookViews>
    <workbookView xWindow="0" yWindow="0" windowWidth="19200" windowHeight="7155"/>
  </bookViews>
  <sheets>
    <sheet name="Measure Tables" sheetId="1" r:id="rId1"/>
    <sheet name="TRC Figure" sheetId="4" r:id="rId2"/>
    <sheet name="Adaptation" sheetId="3" r:id="rId3"/>
    <sheet name="Sorted" sheetId="5" r:id="rId4"/>
    <sheet name="VEIC Flag" sheetId="6" r:id="rId5"/>
    <sheet name="Figures by Program and End Use " sheetId="7" r:id="rId6"/>
  </sheets>
  <externalReferences>
    <externalReference r:id="rId7"/>
  </externalReferences>
  <definedNames>
    <definedName name="_xlnm._FilterDatabase" localSheetId="0" hidden="1">'Measure Tables'!$A$2:$AO$283</definedName>
    <definedName name="_xlnm._FilterDatabase" localSheetId="3" hidden="1">Sorted!$A$2:$E$239</definedName>
    <definedName name="B_Incent_Percent">'[1]Scenario Dashboard'!#REF!</definedName>
    <definedName name="Discount_Rate">'[1]Summary Parameters'!$C$19</definedName>
    <definedName name="Dual_Life_Split">'[1]Scenario Dashboard'!$M$27</definedName>
    <definedName name="measure_name">'TRC Figure'!$A$1:$A$203</definedName>
    <definedName name="perc_change">'TRC Figure'!$D$1:$D$203</definedName>
    <definedName name="RDR">'Measure Tables'!$R$3</definedName>
    <definedName name="ReEngage">'[1]Scenario Dashboard'!$B$107</definedName>
    <definedName name="RePartic">'[1]Scenario Dashboard'!$B$109</definedName>
    <definedName name="Scenario_Incent_Percent">'[1]Scenario Dashboard'!#REF!</definedName>
    <definedName name="trc">'TRC Figure'!$B$1:$B$203</definedName>
    <definedName name="trc_neb">'TRC Figure'!$C$1:$C$203</definedName>
    <definedName name="TRC_Screen">'[1]Scenario Dashboard'!$B$101</definedName>
  </definedNames>
  <calcPr calcId="171027"/>
</workbook>
</file>

<file path=xl/calcChain.xml><?xml version="1.0" encoding="utf-8"?>
<calcChain xmlns="http://schemas.openxmlformats.org/spreadsheetml/2006/main">
  <c r="AK207" i="1" l="1"/>
  <c r="AJ208" i="1"/>
  <c r="AJ207" i="1"/>
  <c r="AJ200" i="1"/>
  <c r="AJ199" i="1"/>
  <c r="AI208" i="1"/>
  <c r="AI207" i="1"/>
  <c r="AI200" i="1"/>
  <c r="AI199" i="1"/>
  <c r="AG208" i="1"/>
  <c r="AG207" i="1"/>
  <c r="AG200" i="1"/>
  <c r="AG199" i="1"/>
  <c r="AF208" i="1"/>
  <c r="AF207" i="1"/>
  <c r="AF200" i="1"/>
  <c r="AF199" i="1"/>
  <c r="AE208" i="1"/>
  <c r="AE207" i="1"/>
  <c r="AE200" i="1"/>
  <c r="AE199" i="1"/>
  <c r="AD208" i="1"/>
  <c r="AD207" i="1"/>
  <c r="AD200" i="1"/>
  <c r="AD199" i="1"/>
  <c r="AC208" i="1"/>
  <c r="AC207" i="1"/>
  <c r="AC200" i="1"/>
  <c r="AC199" i="1"/>
  <c r="AB208" i="1"/>
  <c r="AB207" i="1"/>
  <c r="AB200" i="1"/>
  <c r="AB199" i="1"/>
  <c r="AA208" i="1"/>
  <c r="AA207" i="1"/>
  <c r="AA200" i="1"/>
  <c r="AA199" i="1"/>
  <c r="Z208" i="1"/>
  <c r="Z207" i="1"/>
  <c r="Z200" i="1"/>
  <c r="Z199" i="1"/>
  <c r="CV208" i="1"/>
  <c r="CV207" i="1"/>
  <c r="CV200" i="1"/>
  <c r="CV199" i="1"/>
  <c r="AE183" i="1"/>
  <c r="AE182" i="1"/>
  <c r="AE181" i="1"/>
  <c r="AE180" i="1"/>
  <c r="AE179" i="1"/>
  <c r="AE178" i="1"/>
  <c r="AE177" i="1"/>
  <c r="AE176" i="1"/>
  <c r="AE175" i="1"/>
  <c r="AE174" i="1"/>
  <c r="AE173" i="1"/>
  <c r="AE172" i="1"/>
  <c r="AE171" i="1"/>
  <c r="AE170" i="1"/>
  <c r="AE169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E168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CV169" i="1"/>
  <c r="CV170" i="1"/>
  <c r="CV171" i="1"/>
  <c r="CV172" i="1"/>
  <c r="CV173" i="1"/>
  <c r="CV174" i="1"/>
  <c r="CV175" i="1"/>
  <c r="CV176" i="1"/>
  <c r="CV177" i="1"/>
  <c r="CV178" i="1"/>
  <c r="CV179" i="1"/>
  <c r="CV180" i="1"/>
  <c r="CV181" i="1"/>
  <c r="CV182" i="1"/>
  <c r="CV183" i="1"/>
  <c r="CV168" i="1"/>
  <c r="Z176" i="1"/>
  <c r="Z183" i="1"/>
  <c r="Z182" i="1"/>
  <c r="Z181" i="1"/>
  <c r="Z180" i="1"/>
  <c r="Z179" i="1"/>
  <c r="Z178" i="1"/>
  <c r="Z177" i="1"/>
  <c r="Z175" i="1"/>
  <c r="Z174" i="1"/>
  <c r="Z173" i="1"/>
  <c r="Z172" i="1"/>
  <c r="Z171" i="1"/>
  <c r="Z170" i="1"/>
  <c r="Z169" i="1"/>
  <c r="Z168" i="1"/>
  <c r="Z280" i="1" l="1"/>
  <c r="Z279" i="1"/>
  <c r="Z278" i="1"/>
  <c r="Z277" i="1"/>
  <c r="Y261" i="1" l="1"/>
  <c r="Y262" i="1"/>
  <c r="Q251" i="1"/>
  <c r="AD216" i="1"/>
  <c r="AD217" i="1"/>
  <c r="X5" i="1" l="1"/>
  <c r="X6" i="1"/>
  <c r="X7" i="1"/>
  <c r="X8" i="1"/>
  <c r="X9" i="1"/>
  <c r="X10" i="1"/>
  <c r="X11" i="1"/>
  <c r="X12" i="1"/>
  <c r="W18" i="1"/>
  <c r="W19" i="1"/>
  <c r="W20" i="1"/>
  <c r="X21" i="1"/>
  <c r="X22" i="1"/>
  <c r="X23" i="1"/>
  <c r="X27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X184" i="1"/>
  <c r="X185" i="1"/>
  <c r="X186" i="1"/>
  <c r="W187" i="1"/>
  <c r="W188" i="1"/>
  <c r="W189" i="1"/>
  <c r="W190" i="1"/>
  <c r="X191" i="1"/>
  <c r="W199" i="1"/>
  <c r="W200" i="1"/>
  <c r="W201" i="1"/>
  <c r="W202" i="1"/>
  <c r="W203" i="1"/>
  <c r="W204" i="1"/>
  <c r="W205" i="1"/>
  <c r="W207" i="1"/>
  <c r="W208" i="1"/>
  <c r="W216" i="1"/>
  <c r="W217" i="1"/>
  <c r="W218" i="1"/>
  <c r="W219" i="1"/>
  <c r="W220" i="1"/>
  <c r="W221" i="1"/>
  <c r="W222" i="1"/>
  <c r="W225" i="1"/>
  <c r="W235" i="1"/>
  <c r="W236" i="1"/>
  <c r="W237" i="1"/>
  <c r="W238" i="1"/>
  <c r="W239" i="1"/>
  <c r="W240" i="1"/>
  <c r="W241" i="1"/>
  <c r="W242" i="1"/>
  <c r="X243" i="1"/>
  <c r="X244" i="1"/>
  <c r="W245" i="1"/>
  <c r="X245" i="1"/>
  <c r="W246" i="1"/>
  <c r="X246" i="1"/>
  <c r="W265" i="1"/>
  <c r="W275" i="1"/>
  <c r="W276" i="1"/>
  <c r="W277" i="1"/>
  <c r="W278" i="1"/>
  <c r="W279" i="1"/>
  <c r="W280" i="1"/>
  <c r="E45" i="7" l="1"/>
  <c r="E46" i="7"/>
  <c r="E44" i="7"/>
  <c r="E40" i="7"/>
  <c r="E36" i="7"/>
  <c r="E37" i="7"/>
  <c r="E38" i="7"/>
  <c r="E39" i="7"/>
  <c r="E35" i="7"/>
  <c r="E31" i="7"/>
  <c r="E29" i="7"/>
  <c r="E30" i="7"/>
  <c r="E28" i="7"/>
  <c r="E24" i="7" l="1"/>
  <c r="E23" i="7"/>
  <c r="E17" i="7"/>
  <c r="E18" i="7"/>
  <c r="E19" i="7"/>
  <c r="E16" i="7"/>
  <c r="E12" i="7"/>
  <c r="E6" i="7"/>
  <c r="E7" i="7"/>
  <c r="E8" i="7"/>
  <c r="E9" i="7"/>
  <c r="E10" i="7"/>
  <c r="E11" i="7"/>
  <c r="BA210" i="1" l="1"/>
  <c r="BP146" i="1" l="1"/>
  <c r="BP147" i="1"/>
  <c r="BP148" i="1"/>
  <c r="BP149" i="1"/>
  <c r="BP150" i="1"/>
  <c r="Z252" i="1" l="1"/>
  <c r="Z253" i="1"/>
  <c r="BC11" i="4" l="1"/>
  <c r="BC12" i="4"/>
  <c r="BC13" i="4"/>
  <c r="BX206" i="1" l="1"/>
  <c r="BX205" i="1"/>
  <c r="BX204" i="1"/>
  <c r="BX203" i="1"/>
  <c r="BX202" i="1"/>
  <c r="BX201" i="1"/>
  <c r="BJ206" i="1"/>
  <c r="BJ205" i="1"/>
  <c r="BJ204" i="1"/>
  <c r="BJ203" i="1"/>
  <c r="BJ202" i="1"/>
  <c r="BJ201" i="1"/>
  <c r="AV206" i="1"/>
  <c r="AW206" i="1" s="1"/>
  <c r="AV205" i="1"/>
  <c r="AW205" i="1" s="1"/>
  <c r="AV204" i="1"/>
  <c r="AW204" i="1" s="1"/>
  <c r="AV203" i="1"/>
  <c r="AW203" i="1" s="1"/>
  <c r="AV202" i="1"/>
  <c r="AW202" i="1" s="1"/>
  <c r="AV201" i="1"/>
  <c r="AW201" i="1" s="1"/>
  <c r="S283" i="1"/>
  <c r="S282" i="1"/>
  <c r="S281" i="1"/>
  <c r="S266" i="1"/>
  <c r="S265" i="1"/>
  <c r="S264" i="1"/>
  <c r="S263" i="1"/>
  <c r="S260" i="1"/>
  <c r="S259" i="1"/>
  <c r="S242" i="1"/>
  <c r="S241" i="1"/>
  <c r="S240" i="1"/>
  <c r="S239" i="1"/>
  <c r="S238" i="1"/>
  <c r="S237" i="1"/>
  <c r="S236" i="1"/>
  <c r="S235" i="1"/>
  <c r="S227" i="1"/>
  <c r="S226" i="1"/>
  <c r="S225" i="1"/>
  <c r="S224" i="1"/>
  <c r="S223" i="1"/>
  <c r="S222" i="1"/>
  <c r="S221" i="1"/>
  <c r="S220" i="1"/>
  <c r="S219" i="1"/>
  <c r="S217" i="1"/>
  <c r="S216" i="1"/>
  <c r="S158" i="1"/>
  <c r="S157" i="1"/>
  <c r="S156" i="1"/>
  <c r="S155" i="1"/>
  <c r="S154" i="1"/>
  <c r="S153" i="1"/>
  <c r="S152" i="1"/>
  <c r="S151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6" i="1"/>
  <c r="S25" i="1"/>
  <c r="S24" i="1"/>
  <c r="S17" i="1"/>
  <c r="S16" i="1"/>
  <c r="S15" i="1"/>
  <c r="S14" i="1"/>
  <c r="S13" i="1"/>
  <c r="R283" i="1"/>
  <c r="R282" i="1"/>
  <c r="R281" i="1"/>
  <c r="R280" i="1"/>
  <c r="R279" i="1"/>
  <c r="R278" i="1"/>
  <c r="R277" i="1"/>
  <c r="R276" i="1"/>
  <c r="R275" i="1"/>
  <c r="R266" i="1"/>
  <c r="R264" i="1"/>
  <c r="R263" i="1"/>
  <c r="R260" i="1"/>
  <c r="R259" i="1"/>
  <c r="R244" i="1"/>
  <c r="R243" i="1"/>
  <c r="R227" i="1"/>
  <c r="R226" i="1"/>
  <c r="R224" i="1"/>
  <c r="R223" i="1"/>
  <c r="R218" i="1"/>
  <c r="R208" i="1"/>
  <c r="R207" i="1"/>
  <c r="R200" i="1"/>
  <c r="R199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BX260" i="1" l="1"/>
  <c r="CD260" i="1" s="1"/>
  <c r="BJ32" i="1"/>
  <c r="BP32" i="1" s="1"/>
  <c r="BJ44" i="1"/>
  <c r="BK44" i="1" s="1"/>
  <c r="BX264" i="1"/>
  <c r="BY264" i="1" s="1"/>
  <c r="BJ128" i="1"/>
  <c r="BJ140" i="1"/>
  <c r="AV17" i="1"/>
  <c r="AV141" i="1"/>
  <c r="BJ156" i="1"/>
  <c r="BX281" i="1"/>
  <c r="AV156" i="1"/>
  <c r="AV133" i="1"/>
  <c r="BX33" i="1"/>
  <c r="AV37" i="1"/>
  <c r="AV45" i="1"/>
  <c r="BJ53" i="1"/>
  <c r="BX266" i="1"/>
  <c r="BX283" i="1"/>
  <c r="BJ14" i="1"/>
  <c r="AV31" i="1"/>
  <c r="BJ43" i="1"/>
  <c r="AV47" i="1"/>
  <c r="AV55" i="1"/>
  <c r="BJ59" i="1"/>
  <c r="BX123" i="1"/>
  <c r="AV127" i="1"/>
  <c r="AV143" i="1"/>
  <c r="BX154" i="1"/>
  <c r="AV226" i="1"/>
  <c r="BJ39" i="1"/>
  <c r="AV39" i="1"/>
  <c r="AV43" i="1"/>
  <c r="BX35" i="1"/>
  <c r="BJ35" i="1"/>
  <c r="AV35" i="1"/>
  <c r="BJ135" i="1"/>
  <c r="AV135" i="1"/>
  <c r="AV139" i="1"/>
  <c r="BX139" i="1"/>
  <c r="AV154" i="1"/>
  <c r="BX14" i="1"/>
  <c r="BJ139" i="1"/>
  <c r="BX51" i="1"/>
  <c r="AV51" i="1"/>
  <c r="BJ55" i="1"/>
  <c r="BX55" i="1"/>
  <c r="BX59" i="1"/>
  <c r="AV59" i="1"/>
  <c r="BJ123" i="1"/>
  <c r="AV123" i="1"/>
  <c r="BX131" i="1"/>
  <c r="BJ131" i="1"/>
  <c r="AV131" i="1"/>
  <c r="BJ158" i="1"/>
  <c r="BX158" i="1"/>
  <c r="AV158" i="1"/>
  <c r="BX43" i="1"/>
  <c r="BX156" i="1"/>
  <c r="AV53" i="1"/>
  <c r="BJ28" i="1"/>
  <c r="BX28" i="1"/>
  <c r="BJ52" i="1"/>
  <c r="BX52" i="1"/>
  <c r="BJ124" i="1"/>
  <c r="BX124" i="1"/>
  <c r="BJ223" i="1"/>
  <c r="BX223" i="1"/>
  <c r="BX44" i="1"/>
  <c r="BX32" i="1"/>
  <c r="BX53" i="1"/>
  <c r="BX140" i="1"/>
  <c r="BJ15" i="1"/>
  <c r="AV15" i="1"/>
  <c r="BX15" i="1"/>
  <c r="BX24" i="1"/>
  <c r="BJ24" i="1"/>
  <c r="BJ36" i="1"/>
  <c r="BX36" i="1"/>
  <c r="BJ40" i="1"/>
  <c r="BX40" i="1"/>
  <c r="BJ48" i="1"/>
  <c r="BX48" i="1"/>
  <c r="BJ56" i="1"/>
  <c r="BX56" i="1"/>
  <c r="BJ132" i="1"/>
  <c r="BX132" i="1"/>
  <c r="BJ136" i="1"/>
  <c r="BX136" i="1"/>
  <c r="BJ151" i="1"/>
  <c r="BX151" i="1"/>
  <c r="BJ155" i="1"/>
  <c r="BX155" i="1"/>
  <c r="BJ227" i="1"/>
  <c r="BX227" i="1"/>
  <c r="BX128" i="1"/>
  <c r="BJ16" i="1"/>
  <c r="BX16" i="1"/>
  <c r="BJ25" i="1"/>
  <c r="BX25" i="1"/>
  <c r="AV25" i="1"/>
  <c r="BJ29" i="1"/>
  <c r="BX29" i="1"/>
  <c r="BJ33" i="1"/>
  <c r="AV33" i="1"/>
  <c r="BJ37" i="1"/>
  <c r="BX37" i="1"/>
  <c r="BJ41" i="1"/>
  <c r="BX41" i="1"/>
  <c r="AV41" i="1"/>
  <c r="BJ45" i="1"/>
  <c r="BX45" i="1"/>
  <c r="BJ49" i="1"/>
  <c r="BX49" i="1"/>
  <c r="AV49" i="1"/>
  <c r="BJ57" i="1"/>
  <c r="BX57" i="1"/>
  <c r="AV57" i="1"/>
  <c r="BJ125" i="1"/>
  <c r="BX125" i="1"/>
  <c r="BJ129" i="1"/>
  <c r="AV129" i="1"/>
  <c r="BJ133" i="1"/>
  <c r="BX133" i="1"/>
  <c r="BJ137" i="1"/>
  <c r="BX137" i="1"/>
  <c r="AV137" i="1"/>
  <c r="BJ141" i="1"/>
  <c r="BX141" i="1"/>
  <c r="BJ152" i="1"/>
  <c r="BX152" i="1"/>
  <c r="AV152" i="1"/>
  <c r="BJ224" i="1"/>
  <c r="BX224" i="1"/>
  <c r="AV224" i="1"/>
  <c r="BJ259" i="1"/>
  <c r="BX259" i="1"/>
  <c r="BJ263" i="1"/>
  <c r="BX263" i="1"/>
  <c r="BJ282" i="1"/>
  <c r="BX282" i="1"/>
  <c r="AV29" i="1"/>
  <c r="AV125" i="1"/>
  <c r="BX129" i="1"/>
  <c r="BJ13" i="1"/>
  <c r="BX13" i="1"/>
  <c r="BJ17" i="1"/>
  <c r="BX17" i="1"/>
  <c r="BJ26" i="1"/>
  <c r="BX26" i="1"/>
  <c r="BJ30" i="1"/>
  <c r="BX30" i="1"/>
  <c r="BJ34" i="1"/>
  <c r="BX34" i="1"/>
  <c r="BJ38" i="1"/>
  <c r="BX38" i="1"/>
  <c r="BJ42" i="1"/>
  <c r="BX42" i="1"/>
  <c r="BJ46" i="1"/>
  <c r="BX46" i="1"/>
  <c r="BJ50" i="1"/>
  <c r="BX50" i="1"/>
  <c r="BJ54" i="1"/>
  <c r="BX54" i="1"/>
  <c r="BJ58" i="1"/>
  <c r="BX58" i="1"/>
  <c r="BJ122" i="1"/>
  <c r="BX122" i="1"/>
  <c r="BJ126" i="1"/>
  <c r="BX126" i="1"/>
  <c r="BJ130" i="1"/>
  <c r="BX130" i="1"/>
  <c r="BJ134" i="1"/>
  <c r="BX134" i="1"/>
  <c r="BJ138" i="1"/>
  <c r="BX138" i="1"/>
  <c r="BJ142" i="1"/>
  <c r="BX142" i="1"/>
  <c r="BJ153" i="1"/>
  <c r="BX153" i="1"/>
  <c r="BJ157" i="1"/>
  <c r="BX157" i="1"/>
  <c r="AV13" i="1"/>
  <c r="BJ31" i="1"/>
  <c r="BX31" i="1"/>
  <c r="BJ47" i="1"/>
  <c r="BX47" i="1"/>
  <c r="BJ127" i="1"/>
  <c r="BX127" i="1"/>
  <c r="BJ143" i="1"/>
  <c r="BX143" i="1"/>
  <c r="BJ226" i="1"/>
  <c r="BX226" i="1"/>
  <c r="BJ51" i="1"/>
  <c r="BJ154" i="1"/>
  <c r="BX39" i="1"/>
  <c r="BX135" i="1"/>
  <c r="BJ266" i="1"/>
  <c r="AV266" i="1"/>
  <c r="BJ281" i="1"/>
  <c r="AV281" i="1"/>
  <c r="AV16" i="1"/>
  <c r="AV24" i="1"/>
  <c r="AV28" i="1"/>
  <c r="AV32" i="1"/>
  <c r="AV36" i="1"/>
  <c r="AV40" i="1"/>
  <c r="AV44" i="1"/>
  <c r="AV48" i="1"/>
  <c r="AV52" i="1"/>
  <c r="AV56" i="1"/>
  <c r="AV124" i="1"/>
  <c r="AV128" i="1"/>
  <c r="AV132" i="1"/>
  <c r="AV136" i="1"/>
  <c r="AV140" i="1"/>
  <c r="AV151" i="1"/>
  <c r="AV155" i="1"/>
  <c r="AV263" i="1"/>
  <c r="BJ260" i="1"/>
  <c r="AV260" i="1"/>
  <c r="BJ264" i="1"/>
  <c r="AV264" i="1"/>
  <c r="BJ283" i="1"/>
  <c r="AV283" i="1"/>
  <c r="AV14" i="1"/>
  <c r="AV26" i="1"/>
  <c r="AV30" i="1"/>
  <c r="AV34" i="1"/>
  <c r="AV38" i="1"/>
  <c r="AV42" i="1"/>
  <c r="AV46" i="1"/>
  <c r="AV50" i="1"/>
  <c r="AV54" i="1"/>
  <c r="AV58" i="1"/>
  <c r="AV122" i="1"/>
  <c r="AV126" i="1"/>
  <c r="AV130" i="1"/>
  <c r="AV134" i="1"/>
  <c r="AV138" i="1"/>
  <c r="AV142" i="1"/>
  <c r="AV153" i="1"/>
  <c r="AV157" i="1"/>
  <c r="AV223" i="1"/>
  <c r="AV227" i="1"/>
  <c r="AV259" i="1"/>
  <c r="AV282" i="1"/>
  <c r="BK32" i="1" l="1"/>
  <c r="BY260" i="1"/>
  <c r="CD264" i="1"/>
  <c r="BP44" i="1"/>
  <c r="F38" i="7"/>
  <c r="G38" i="7" s="1"/>
  <c r="F7" i="7"/>
  <c r="G7" i="7" s="1"/>
  <c r="F9" i="7"/>
  <c r="G9" i="7" s="1"/>
  <c r="F45" i="7"/>
  <c r="G45" i="7" s="1"/>
  <c r="F18" i="7"/>
  <c r="G18" i="7" s="1"/>
  <c r="F44" i="7"/>
  <c r="G44" i="7" s="1"/>
  <c r="F40" i="7"/>
  <c r="G40" i="7" s="1"/>
  <c r="F8" i="7"/>
  <c r="G8" i="7" s="1"/>
  <c r="BB227" i="1"/>
  <c r="AW227" i="1"/>
  <c r="BB142" i="1"/>
  <c r="AW142" i="1"/>
  <c r="BB126" i="1"/>
  <c r="AW126" i="1"/>
  <c r="BB50" i="1"/>
  <c r="AW50" i="1"/>
  <c r="BB34" i="1"/>
  <c r="AW34" i="1"/>
  <c r="BB283" i="1"/>
  <c r="AW283" i="1"/>
  <c r="BB260" i="1"/>
  <c r="AW260" i="1"/>
  <c r="BB151" i="1"/>
  <c r="AW151" i="1"/>
  <c r="BB128" i="1"/>
  <c r="AW128" i="1"/>
  <c r="BB48" i="1"/>
  <c r="AW48" i="1"/>
  <c r="BB32" i="1"/>
  <c r="AW32" i="1"/>
  <c r="BB281" i="1"/>
  <c r="AW281" i="1"/>
  <c r="CD135" i="1"/>
  <c r="BY135" i="1"/>
  <c r="CD226" i="1"/>
  <c r="BY226" i="1"/>
  <c r="CD127" i="1"/>
  <c r="BY127" i="1"/>
  <c r="CD31" i="1"/>
  <c r="BY31" i="1"/>
  <c r="BP157" i="1"/>
  <c r="BK157" i="1"/>
  <c r="BP142" i="1"/>
  <c r="BK142" i="1"/>
  <c r="BP134" i="1"/>
  <c r="BK134" i="1"/>
  <c r="BP126" i="1"/>
  <c r="BK126" i="1"/>
  <c r="BP58" i="1"/>
  <c r="BK58" i="1"/>
  <c r="BP50" i="1"/>
  <c r="BK50" i="1"/>
  <c r="BP42" i="1"/>
  <c r="BK42" i="1"/>
  <c r="BP34" i="1"/>
  <c r="BK34" i="1"/>
  <c r="BP26" i="1"/>
  <c r="BK26" i="1"/>
  <c r="BP13" i="1"/>
  <c r="BK13" i="1"/>
  <c r="CD282" i="1"/>
  <c r="BY282" i="1"/>
  <c r="CD259" i="1"/>
  <c r="BY259" i="1"/>
  <c r="BP224" i="1"/>
  <c r="BK224" i="1"/>
  <c r="CD141" i="1"/>
  <c r="BY141" i="1"/>
  <c r="BP137" i="1"/>
  <c r="BK137" i="1"/>
  <c r="BP129" i="1"/>
  <c r="BK129" i="1"/>
  <c r="CD57" i="1"/>
  <c r="BY57" i="1"/>
  <c r="BP49" i="1"/>
  <c r="BK49" i="1"/>
  <c r="CD41" i="1"/>
  <c r="BY41" i="1"/>
  <c r="BB33" i="1"/>
  <c r="AW33" i="1"/>
  <c r="BB25" i="1"/>
  <c r="AW25" i="1"/>
  <c r="BP16" i="1"/>
  <c r="BK16" i="1"/>
  <c r="CD155" i="1"/>
  <c r="BY155" i="1"/>
  <c r="CD136" i="1"/>
  <c r="BY136" i="1"/>
  <c r="CD56" i="1"/>
  <c r="BY56" i="1"/>
  <c r="CD40" i="1"/>
  <c r="BY40" i="1"/>
  <c r="BP24" i="1"/>
  <c r="BK24" i="1"/>
  <c r="BP15" i="1"/>
  <c r="BK15" i="1"/>
  <c r="CD44" i="1"/>
  <c r="BY44" i="1"/>
  <c r="BP124" i="1"/>
  <c r="BK124" i="1"/>
  <c r="BP28" i="1"/>
  <c r="BK28" i="1"/>
  <c r="BB158" i="1"/>
  <c r="AW158" i="1"/>
  <c r="BP131" i="1"/>
  <c r="BK131" i="1"/>
  <c r="BB59" i="1"/>
  <c r="AW59" i="1"/>
  <c r="BB51" i="1"/>
  <c r="AW51" i="1"/>
  <c r="BB154" i="1"/>
  <c r="AW154" i="1"/>
  <c r="BP135" i="1"/>
  <c r="BK135" i="1"/>
  <c r="BB43" i="1"/>
  <c r="AW43" i="1"/>
  <c r="CD154" i="1"/>
  <c r="BY154" i="1"/>
  <c r="BP59" i="1"/>
  <c r="BK59" i="1"/>
  <c r="BB31" i="1"/>
  <c r="AW31" i="1"/>
  <c r="BP53" i="1"/>
  <c r="BK53" i="1"/>
  <c r="BB133" i="1"/>
  <c r="AW133" i="1"/>
  <c r="BB141" i="1"/>
  <c r="AW141" i="1"/>
  <c r="BB223" i="1"/>
  <c r="AW223" i="1"/>
  <c r="BB138" i="1"/>
  <c r="AW138" i="1"/>
  <c r="BB122" i="1"/>
  <c r="AW122" i="1"/>
  <c r="BB46" i="1"/>
  <c r="AW46" i="1"/>
  <c r="BB30" i="1"/>
  <c r="AW30" i="1"/>
  <c r="BP283" i="1"/>
  <c r="BK283" i="1"/>
  <c r="BP260" i="1"/>
  <c r="BK260" i="1"/>
  <c r="BB140" i="1"/>
  <c r="AW140" i="1"/>
  <c r="BB124" i="1"/>
  <c r="AW124" i="1"/>
  <c r="BB44" i="1"/>
  <c r="AW44" i="1"/>
  <c r="BB28" i="1"/>
  <c r="AW28" i="1"/>
  <c r="BP281" i="1"/>
  <c r="BK281" i="1"/>
  <c r="CD39" i="1"/>
  <c r="BY39" i="1"/>
  <c r="BP226" i="1"/>
  <c r="BK226" i="1"/>
  <c r="BP127" i="1"/>
  <c r="BK127" i="1"/>
  <c r="BP31" i="1"/>
  <c r="BK31" i="1"/>
  <c r="CD153" i="1"/>
  <c r="BY153" i="1"/>
  <c r="CD138" i="1"/>
  <c r="BY138" i="1"/>
  <c r="CD130" i="1"/>
  <c r="BY130" i="1"/>
  <c r="CD122" i="1"/>
  <c r="BY122" i="1"/>
  <c r="CD54" i="1"/>
  <c r="BY54" i="1"/>
  <c r="CD46" i="1"/>
  <c r="BY46" i="1"/>
  <c r="CD38" i="1"/>
  <c r="BY38" i="1"/>
  <c r="CD30" i="1"/>
  <c r="BY30" i="1"/>
  <c r="CD17" i="1"/>
  <c r="BY17" i="1"/>
  <c r="CD129" i="1"/>
  <c r="BY129" i="1"/>
  <c r="BP282" i="1"/>
  <c r="BK282" i="1"/>
  <c r="BP259" i="1"/>
  <c r="BK259" i="1"/>
  <c r="BB152" i="1"/>
  <c r="AW152" i="1"/>
  <c r="BP141" i="1"/>
  <c r="BK141" i="1"/>
  <c r="CD133" i="1"/>
  <c r="BY133" i="1"/>
  <c r="CD125" i="1"/>
  <c r="BY125" i="1"/>
  <c r="BP57" i="1"/>
  <c r="BK57" i="1"/>
  <c r="CD45" i="1"/>
  <c r="BY45" i="1"/>
  <c r="BP41" i="1"/>
  <c r="BK41" i="1"/>
  <c r="BP33" i="1"/>
  <c r="BK33" i="1"/>
  <c r="CD25" i="1"/>
  <c r="BY25" i="1"/>
  <c r="CD128" i="1"/>
  <c r="BY128" i="1"/>
  <c r="BP155" i="1"/>
  <c r="BK155" i="1"/>
  <c r="BP136" i="1"/>
  <c r="BK136" i="1"/>
  <c r="BP56" i="1"/>
  <c r="BK56" i="1"/>
  <c r="BP40" i="1"/>
  <c r="BK40" i="1"/>
  <c r="CD24" i="1"/>
  <c r="BY24" i="1"/>
  <c r="CD140" i="1"/>
  <c r="BY140" i="1"/>
  <c r="CD223" i="1"/>
  <c r="BY223" i="1"/>
  <c r="CD52" i="1"/>
  <c r="BY52" i="1"/>
  <c r="BB53" i="1"/>
  <c r="AW53" i="1"/>
  <c r="CD158" i="1"/>
  <c r="BY158" i="1"/>
  <c r="CD131" i="1"/>
  <c r="BY131" i="1"/>
  <c r="CD59" i="1"/>
  <c r="BY59" i="1"/>
  <c r="CD51" i="1"/>
  <c r="BY51" i="1"/>
  <c r="CD139" i="1"/>
  <c r="BY139" i="1"/>
  <c r="BB35" i="1"/>
  <c r="AW35" i="1"/>
  <c r="BB39" i="1"/>
  <c r="AW39" i="1"/>
  <c r="BB143" i="1"/>
  <c r="AW143" i="1"/>
  <c r="BB55" i="1"/>
  <c r="AW55" i="1"/>
  <c r="BP14" i="1"/>
  <c r="BK14" i="1"/>
  <c r="BB45" i="1"/>
  <c r="AW45" i="1"/>
  <c r="BB156" i="1"/>
  <c r="AW156" i="1"/>
  <c r="BB17" i="1"/>
  <c r="AW17" i="1"/>
  <c r="BB282" i="1"/>
  <c r="AW282" i="1"/>
  <c r="BB157" i="1"/>
  <c r="AW157" i="1"/>
  <c r="BB134" i="1"/>
  <c r="AW134" i="1"/>
  <c r="BB58" i="1"/>
  <c r="AW58" i="1"/>
  <c r="BB42" i="1"/>
  <c r="AW42" i="1"/>
  <c r="BB26" i="1"/>
  <c r="AW26" i="1"/>
  <c r="BB264" i="1"/>
  <c r="AW264" i="1"/>
  <c r="BB263" i="1"/>
  <c r="AW263" i="1"/>
  <c r="BB136" i="1"/>
  <c r="AW136" i="1"/>
  <c r="BB56" i="1"/>
  <c r="AW56" i="1"/>
  <c r="BB40" i="1"/>
  <c r="AW40" i="1"/>
  <c r="BB24" i="1"/>
  <c r="AW24" i="1"/>
  <c r="BB266" i="1"/>
  <c r="AW266" i="1"/>
  <c r="BP154" i="1"/>
  <c r="BK154" i="1"/>
  <c r="CD143" i="1"/>
  <c r="BY143" i="1"/>
  <c r="CD47" i="1"/>
  <c r="BY47" i="1"/>
  <c r="BB13" i="1"/>
  <c r="AW13" i="1"/>
  <c r="BP153" i="1"/>
  <c r="BK153" i="1"/>
  <c r="BP138" i="1"/>
  <c r="BK138" i="1"/>
  <c r="BP130" i="1"/>
  <c r="BK130" i="1"/>
  <c r="BP122" i="1"/>
  <c r="BK122" i="1"/>
  <c r="BP54" i="1"/>
  <c r="BK54" i="1"/>
  <c r="BP46" i="1"/>
  <c r="BK46" i="1"/>
  <c r="BP38" i="1"/>
  <c r="BK38" i="1"/>
  <c r="BP30" i="1"/>
  <c r="BK30" i="1"/>
  <c r="BP17" i="1"/>
  <c r="BK17" i="1"/>
  <c r="BB125" i="1"/>
  <c r="AW125" i="1"/>
  <c r="CD263" i="1"/>
  <c r="BY263" i="1"/>
  <c r="BB224" i="1"/>
  <c r="AW224" i="1"/>
  <c r="CD152" i="1"/>
  <c r="BY152" i="1"/>
  <c r="BB137" i="1"/>
  <c r="AW137" i="1"/>
  <c r="BP133" i="1"/>
  <c r="BK133" i="1"/>
  <c r="BP125" i="1"/>
  <c r="BK125" i="1"/>
  <c r="BB49" i="1"/>
  <c r="AW49" i="1"/>
  <c r="BP45" i="1"/>
  <c r="BK45" i="1"/>
  <c r="CD37" i="1"/>
  <c r="BY37" i="1"/>
  <c r="CD29" i="1"/>
  <c r="BY29" i="1"/>
  <c r="BP25" i="1"/>
  <c r="BK25" i="1"/>
  <c r="CD227" i="1"/>
  <c r="BY227" i="1"/>
  <c r="CD151" i="1"/>
  <c r="BY151" i="1"/>
  <c r="CD132" i="1"/>
  <c r="BY132" i="1"/>
  <c r="CD48" i="1"/>
  <c r="BY48" i="1"/>
  <c r="CD36" i="1"/>
  <c r="BY36" i="1"/>
  <c r="CD15" i="1"/>
  <c r="BY15" i="1"/>
  <c r="CD53" i="1"/>
  <c r="BY53" i="1"/>
  <c r="BP223" i="1"/>
  <c r="BK223" i="1"/>
  <c r="BP52" i="1"/>
  <c r="BK52" i="1"/>
  <c r="CD156" i="1"/>
  <c r="BY156" i="1"/>
  <c r="BP158" i="1"/>
  <c r="BK158" i="1"/>
  <c r="BB123" i="1"/>
  <c r="AW123" i="1"/>
  <c r="CD55" i="1"/>
  <c r="BY55" i="1"/>
  <c r="BP139" i="1"/>
  <c r="BK139" i="1"/>
  <c r="BB139" i="1"/>
  <c r="AW139" i="1"/>
  <c r="BP35" i="1"/>
  <c r="BK35" i="1"/>
  <c r="BP39" i="1"/>
  <c r="BK39" i="1"/>
  <c r="BB127" i="1"/>
  <c r="AW127" i="1"/>
  <c r="BB47" i="1"/>
  <c r="AW47" i="1"/>
  <c r="CD283" i="1"/>
  <c r="BY283" i="1"/>
  <c r="BB37" i="1"/>
  <c r="AW37" i="1"/>
  <c r="CD281" i="1"/>
  <c r="BY281" i="1"/>
  <c r="BP140" i="1"/>
  <c r="BK140" i="1"/>
  <c r="BB259" i="1"/>
  <c r="AW259" i="1"/>
  <c r="BB153" i="1"/>
  <c r="AW153" i="1"/>
  <c r="BB130" i="1"/>
  <c r="AW130" i="1"/>
  <c r="BB54" i="1"/>
  <c r="AW54" i="1"/>
  <c r="BB38" i="1"/>
  <c r="AW38" i="1"/>
  <c r="BB14" i="1"/>
  <c r="AW14" i="1"/>
  <c r="BP264" i="1"/>
  <c r="BK264" i="1"/>
  <c r="BB155" i="1"/>
  <c r="AW155" i="1"/>
  <c r="BB132" i="1"/>
  <c r="AW132" i="1"/>
  <c r="BB52" i="1"/>
  <c r="AW52" i="1"/>
  <c r="BB36" i="1"/>
  <c r="AW36" i="1"/>
  <c r="BB16" i="1"/>
  <c r="AW16" i="1"/>
  <c r="BP266" i="1"/>
  <c r="BK266" i="1"/>
  <c r="BP51" i="1"/>
  <c r="BK51" i="1"/>
  <c r="BP143" i="1"/>
  <c r="BK143" i="1"/>
  <c r="BP47" i="1"/>
  <c r="BK47" i="1"/>
  <c r="CD157" i="1"/>
  <c r="BY157" i="1"/>
  <c r="CD142" i="1"/>
  <c r="BY142" i="1"/>
  <c r="CD134" i="1"/>
  <c r="BY134" i="1"/>
  <c r="CD126" i="1"/>
  <c r="BY126" i="1"/>
  <c r="CD58" i="1"/>
  <c r="BY58" i="1"/>
  <c r="CD50" i="1"/>
  <c r="BY50" i="1"/>
  <c r="CD42" i="1"/>
  <c r="BY42" i="1"/>
  <c r="CD34" i="1"/>
  <c r="BY34" i="1"/>
  <c r="CD26" i="1"/>
  <c r="BY26" i="1"/>
  <c r="CD13" i="1"/>
  <c r="BY13" i="1"/>
  <c r="BB29" i="1"/>
  <c r="AW29" i="1"/>
  <c r="BP263" i="1"/>
  <c r="BK263" i="1"/>
  <c r="CD224" i="1"/>
  <c r="BY224" i="1"/>
  <c r="BP152" i="1"/>
  <c r="BK152" i="1"/>
  <c r="CD137" i="1"/>
  <c r="BY137" i="1"/>
  <c r="BB129" i="1"/>
  <c r="AW129" i="1"/>
  <c r="BB57" i="1"/>
  <c r="AW57" i="1"/>
  <c r="CD49" i="1"/>
  <c r="BY49" i="1"/>
  <c r="BB41" i="1"/>
  <c r="AW41" i="1"/>
  <c r="BP37" i="1"/>
  <c r="BK37" i="1"/>
  <c r="BP29" i="1"/>
  <c r="BK29" i="1"/>
  <c r="CD16" i="1"/>
  <c r="BY16" i="1"/>
  <c r="BP227" i="1"/>
  <c r="BK227" i="1"/>
  <c r="BP151" i="1"/>
  <c r="BK151" i="1"/>
  <c r="BP132" i="1"/>
  <c r="BK132" i="1"/>
  <c r="BP48" i="1"/>
  <c r="BK48" i="1"/>
  <c r="BP36" i="1"/>
  <c r="BK36" i="1"/>
  <c r="BB15" i="1"/>
  <c r="AW15" i="1"/>
  <c r="CD32" i="1"/>
  <c r="BY32" i="1"/>
  <c r="CD124" i="1"/>
  <c r="BY124" i="1"/>
  <c r="CD28" i="1"/>
  <c r="BY28" i="1"/>
  <c r="CD43" i="1"/>
  <c r="BY43" i="1"/>
  <c r="BB131" i="1"/>
  <c r="AW131" i="1"/>
  <c r="BP123" i="1"/>
  <c r="BK123" i="1"/>
  <c r="BP55" i="1"/>
  <c r="BK55" i="1"/>
  <c r="CD14" i="1"/>
  <c r="BY14" i="1"/>
  <c r="BB135" i="1"/>
  <c r="AW135" i="1"/>
  <c r="CD35" i="1"/>
  <c r="BY35" i="1"/>
  <c r="BB226" i="1"/>
  <c r="AW226" i="1"/>
  <c r="CD123" i="1"/>
  <c r="BY123" i="1"/>
  <c r="BP43" i="1"/>
  <c r="BK43" i="1"/>
  <c r="CD266" i="1"/>
  <c r="BY266" i="1"/>
  <c r="CD33" i="1"/>
  <c r="BY33" i="1"/>
  <c r="BP156" i="1"/>
  <c r="BK156" i="1"/>
  <c r="BP128" i="1"/>
  <c r="BK128" i="1"/>
  <c r="AB276" i="1"/>
  <c r="AA276" i="1"/>
  <c r="AB280" i="1"/>
  <c r="AB279" i="1"/>
  <c r="AB278" i="1"/>
  <c r="AB277" i="1"/>
  <c r="AA280" i="1"/>
  <c r="AA279" i="1"/>
  <c r="AA278" i="1"/>
  <c r="S280" i="1"/>
  <c r="S279" i="1"/>
  <c r="S278" i="1"/>
  <c r="S277" i="1"/>
  <c r="AB275" i="1"/>
  <c r="AA275" i="1"/>
  <c r="AA277" i="1" s="1"/>
  <c r="Z267" i="1"/>
  <c r="S267" i="1" s="1"/>
  <c r="AG267" i="1"/>
  <c r="AB267" i="1"/>
  <c r="AA267" i="1"/>
  <c r="AB262" i="1"/>
  <c r="AA262" i="1"/>
  <c r="R262" i="1"/>
  <c r="R261" i="1"/>
  <c r="AB261" i="1"/>
  <c r="AA261" i="1"/>
  <c r="AE255" i="1"/>
  <c r="AG255" i="1"/>
  <c r="AA255" i="1"/>
  <c r="AG258" i="1"/>
  <c r="AI258" i="1" s="1"/>
  <c r="AG256" i="1"/>
  <c r="AE256" i="1"/>
  <c r="AA256" i="1"/>
  <c r="AE254" i="1"/>
  <c r="AG254" i="1"/>
  <c r="Z254" i="1"/>
  <c r="S254" i="1" s="1"/>
  <c r="AA254" i="1"/>
  <c r="S253" i="1"/>
  <c r="AG257" i="1"/>
  <c r="AE257" i="1"/>
  <c r="AA257" i="1"/>
  <c r="AG253" i="1"/>
  <c r="AE253" i="1"/>
  <c r="AA253" i="1"/>
  <c r="AE252" i="1"/>
  <c r="AG252" i="1"/>
  <c r="AA252" i="1"/>
  <c r="AE251" i="1"/>
  <c r="AG251" i="1"/>
  <c r="AA251" i="1"/>
  <c r="BX279" i="1" l="1"/>
  <c r="AV279" i="1"/>
  <c r="BJ279" i="1"/>
  <c r="AI280" i="1"/>
  <c r="BX277" i="1"/>
  <c r="AV277" i="1"/>
  <c r="BJ277" i="1"/>
  <c r="AV278" i="1"/>
  <c r="BX278" i="1"/>
  <c r="BJ278" i="1"/>
  <c r="BJ280" i="1"/>
  <c r="AV280" i="1"/>
  <c r="BX280" i="1"/>
  <c r="AI255" i="1"/>
  <c r="AI276" i="1"/>
  <c r="Z276" i="1" s="1"/>
  <c r="S276" i="1" s="1"/>
  <c r="AI252" i="1"/>
  <c r="AI261" i="1"/>
  <c r="Z262" i="1"/>
  <c r="S262" i="1" s="1"/>
  <c r="BX262" i="1" s="1"/>
  <c r="AI275" i="1"/>
  <c r="Z275" i="1" s="1"/>
  <c r="S275" i="1" s="1"/>
  <c r="AI279" i="1"/>
  <c r="AI251" i="1"/>
  <c r="AI254" i="1"/>
  <c r="AI278" i="1"/>
  <c r="AI256" i="1"/>
  <c r="AI267" i="1"/>
  <c r="AI277" i="1"/>
  <c r="Z261" i="1"/>
  <c r="S261" i="1" s="1"/>
  <c r="AV261" i="1" s="1"/>
  <c r="AI262" i="1"/>
  <c r="AI253" i="1"/>
  <c r="AI257" i="1"/>
  <c r="AJ137" i="1"/>
  <c r="AI137" i="1"/>
  <c r="AH137" i="1"/>
  <c r="AF137" i="1"/>
  <c r="AE137" i="1"/>
  <c r="AD137" i="1"/>
  <c r="AC137" i="1"/>
  <c r="AB137" i="1"/>
  <c r="AA137" i="1"/>
  <c r="AJ136" i="1"/>
  <c r="AI136" i="1"/>
  <c r="AH136" i="1"/>
  <c r="AF136" i="1"/>
  <c r="AE136" i="1"/>
  <c r="AD136" i="1"/>
  <c r="AC136" i="1"/>
  <c r="AB136" i="1"/>
  <c r="AA136" i="1"/>
  <c r="AJ135" i="1"/>
  <c r="AI135" i="1"/>
  <c r="AH135" i="1"/>
  <c r="AF135" i="1"/>
  <c r="AE135" i="1"/>
  <c r="AD135" i="1"/>
  <c r="AC135" i="1"/>
  <c r="AB135" i="1"/>
  <c r="AA135" i="1"/>
  <c r="AJ134" i="1"/>
  <c r="AI134" i="1"/>
  <c r="AH134" i="1"/>
  <c r="AF134" i="1"/>
  <c r="AE134" i="1"/>
  <c r="AD134" i="1"/>
  <c r="AC134" i="1"/>
  <c r="AB134" i="1"/>
  <c r="AA134" i="1"/>
  <c r="AF133" i="1"/>
  <c r="AJ133" i="1"/>
  <c r="AI133" i="1"/>
  <c r="AH133" i="1"/>
  <c r="AE133" i="1"/>
  <c r="AD133" i="1"/>
  <c r="AC133" i="1"/>
  <c r="AB133" i="1"/>
  <c r="AA133" i="1"/>
  <c r="AE59" i="1"/>
  <c r="AE58" i="1"/>
  <c r="AE57" i="1"/>
  <c r="AE56" i="1"/>
  <c r="AE26" i="1"/>
  <c r="AE25" i="1"/>
  <c r="BB280" i="1" l="1"/>
  <c r="AW280" i="1"/>
  <c r="BB278" i="1"/>
  <c r="AW278" i="1"/>
  <c r="BB261" i="1"/>
  <c r="AW261" i="1"/>
  <c r="BP280" i="1"/>
  <c r="BK280" i="1"/>
  <c r="BP277" i="1"/>
  <c r="BK277" i="1"/>
  <c r="BP279" i="1"/>
  <c r="BK279" i="1"/>
  <c r="CD262" i="1"/>
  <c r="BY262" i="1"/>
  <c r="BP278" i="1"/>
  <c r="BK278" i="1"/>
  <c r="BB277" i="1"/>
  <c r="AW277" i="1"/>
  <c r="BB279" i="1"/>
  <c r="AW279" i="1"/>
  <c r="CD280" i="1"/>
  <c r="BY280" i="1"/>
  <c r="CD278" i="1"/>
  <c r="BY278" i="1"/>
  <c r="CD277" i="1"/>
  <c r="BY277" i="1"/>
  <c r="CD279" i="1"/>
  <c r="BY279" i="1"/>
  <c r="BX275" i="1"/>
  <c r="AV275" i="1"/>
  <c r="BJ275" i="1"/>
  <c r="BX261" i="1"/>
  <c r="BJ261" i="1"/>
  <c r="BJ262" i="1"/>
  <c r="BX276" i="1"/>
  <c r="AV276" i="1"/>
  <c r="BJ276" i="1"/>
  <c r="AV262" i="1"/>
  <c r="AJ26" i="1"/>
  <c r="AI26" i="1"/>
  <c r="AH26" i="1"/>
  <c r="AF26" i="1"/>
  <c r="AD26" i="1"/>
  <c r="AC26" i="1"/>
  <c r="AB26" i="1"/>
  <c r="AA26" i="1"/>
  <c r="AJ25" i="1"/>
  <c r="AI25" i="1"/>
  <c r="AH25" i="1"/>
  <c r="AF25" i="1"/>
  <c r="AD25" i="1"/>
  <c r="AC25" i="1"/>
  <c r="AB25" i="1"/>
  <c r="AA25" i="1"/>
  <c r="AJ59" i="1"/>
  <c r="AJ58" i="1"/>
  <c r="AJ57" i="1"/>
  <c r="AI59" i="1"/>
  <c r="AI58" i="1"/>
  <c r="AI57" i="1"/>
  <c r="AH59" i="1"/>
  <c r="AH58" i="1"/>
  <c r="AH57" i="1"/>
  <c r="AF59" i="1"/>
  <c r="AF58" i="1"/>
  <c r="AF57" i="1"/>
  <c r="AD59" i="1"/>
  <c r="AD58" i="1"/>
  <c r="AD57" i="1"/>
  <c r="AC59" i="1"/>
  <c r="AC58" i="1"/>
  <c r="AC57" i="1"/>
  <c r="AB59" i="1"/>
  <c r="AB58" i="1"/>
  <c r="AB57" i="1"/>
  <c r="AA59" i="1"/>
  <c r="AA58" i="1"/>
  <c r="AA57" i="1"/>
  <c r="AI56" i="1"/>
  <c r="AJ56" i="1"/>
  <c r="AH56" i="1"/>
  <c r="AF56" i="1"/>
  <c r="AD56" i="1"/>
  <c r="AC56" i="1"/>
  <c r="AB56" i="1"/>
  <c r="AA56" i="1"/>
  <c r="AA158" i="1"/>
  <c r="AA157" i="1"/>
  <c r="AB157" i="1" s="1"/>
  <c r="AC157" i="1" s="1"/>
  <c r="AD157" i="1" s="1"/>
  <c r="AE157" i="1" s="1"/>
  <c r="AA156" i="1"/>
  <c r="AB156" i="1" s="1"/>
  <c r="AC156" i="1" s="1"/>
  <c r="AD156" i="1" s="1"/>
  <c r="AE156" i="1" s="1"/>
  <c r="AA155" i="1"/>
  <c r="AB155" i="1" s="1"/>
  <c r="AC155" i="1" s="1"/>
  <c r="AD155" i="1" s="1"/>
  <c r="AE155" i="1" s="1"/>
  <c r="AA154" i="1"/>
  <c r="AB154" i="1" s="1"/>
  <c r="AC154" i="1" s="1"/>
  <c r="AD154" i="1" s="1"/>
  <c r="AE154" i="1" s="1"/>
  <c r="AA153" i="1"/>
  <c r="AB153" i="1" s="1"/>
  <c r="AC153" i="1" s="1"/>
  <c r="AD153" i="1" s="1"/>
  <c r="AE153" i="1" s="1"/>
  <c r="AA152" i="1"/>
  <c r="AB152" i="1" s="1"/>
  <c r="AC152" i="1" s="1"/>
  <c r="AD152" i="1" s="1"/>
  <c r="AE152" i="1" s="1"/>
  <c r="AA151" i="1"/>
  <c r="AB151" i="1" s="1"/>
  <c r="AC151" i="1" s="1"/>
  <c r="AD151" i="1" s="1"/>
  <c r="AE151" i="1" s="1"/>
  <c r="AA55" i="1"/>
  <c r="AB55" i="1" s="1"/>
  <c r="AC55" i="1" s="1"/>
  <c r="AD55" i="1" s="1"/>
  <c r="AE55" i="1" s="1"/>
  <c r="AA54" i="1"/>
  <c r="AB54" i="1" s="1"/>
  <c r="AC54" i="1" s="1"/>
  <c r="AD54" i="1" s="1"/>
  <c r="AE54" i="1" s="1"/>
  <c r="AA53" i="1"/>
  <c r="AB53" i="1" s="1"/>
  <c r="AC53" i="1" s="1"/>
  <c r="AD53" i="1" s="1"/>
  <c r="AE53" i="1" s="1"/>
  <c r="AA52" i="1"/>
  <c r="AB52" i="1" s="1"/>
  <c r="AC52" i="1" s="1"/>
  <c r="AD52" i="1" s="1"/>
  <c r="AE52" i="1" s="1"/>
  <c r="AA51" i="1"/>
  <c r="AB51" i="1" s="1"/>
  <c r="AC51" i="1" s="1"/>
  <c r="AD51" i="1" s="1"/>
  <c r="AE51" i="1" s="1"/>
  <c r="AA50" i="1"/>
  <c r="AB50" i="1" s="1"/>
  <c r="AC50" i="1" s="1"/>
  <c r="AD50" i="1" s="1"/>
  <c r="AE50" i="1" s="1"/>
  <c r="AA49" i="1"/>
  <c r="AB49" i="1" s="1"/>
  <c r="AC49" i="1" s="1"/>
  <c r="AD49" i="1" s="1"/>
  <c r="AE49" i="1" s="1"/>
  <c r="AA48" i="1"/>
  <c r="AB48" i="1" s="1"/>
  <c r="AC48" i="1" s="1"/>
  <c r="AD48" i="1" s="1"/>
  <c r="AE48" i="1" s="1"/>
  <c r="AA47" i="1"/>
  <c r="AB47" i="1" s="1"/>
  <c r="AC47" i="1" s="1"/>
  <c r="AD47" i="1" s="1"/>
  <c r="AE47" i="1" s="1"/>
  <c r="AA46" i="1"/>
  <c r="AB46" i="1" s="1"/>
  <c r="AC46" i="1" s="1"/>
  <c r="AD46" i="1" s="1"/>
  <c r="AE46" i="1" s="1"/>
  <c r="AA45" i="1"/>
  <c r="AB45" i="1" s="1"/>
  <c r="AC45" i="1" s="1"/>
  <c r="AD45" i="1" s="1"/>
  <c r="AE45" i="1" s="1"/>
  <c r="AA44" i="1"/>
  <c r="AB44" i="1" s="1"/>
  <c r="AC44" i="1" s="1"/>
  <c r="AD44" i="1" s="1"/>
  <c r="AE44" i="1" s="1"/>
  <c r="AA43" i="1"/>
  <c r="AB43" i="1" s="1"/>
  <c r="AC43" i="1" s="1"/>
  <c r="AD43" i="1" s="1"/>
  <c r="AE43" i="1" s="1"/>
  <c r="AA42" i="1"/>
  <c r="AB42" i="1" s="1"/>
  <c r="AC42" i="1" s="1"/>
  <c r="AD42" i="1" s="1"/>
  <c r="AE42" i="1" s="1"/>
  <c r="AA41" i="1"/>
  <c r="AB41" i="1" s="1"/>
  <c r="AC41" i="1" s="1"/>
  <c r="AD41" i="1" s="1"/>
  <c r="AE41" i="1" s="1"/>
  <c r="AA40" i="1"/>
  <c r="AB40" i="1" s="1"/>
  <c r="AC40" i="1" s="1"/>
  <c r="AD40" i="1" s="1"/>
  <c r="AE40" i="1" s="1"/>
  <c r="AA39" i="1"/>
  <c r="AB39" i="1" s="1"/>
  <c r="AC39" i="1" s="1"/>
  <c r="AD39" i="1" s="1"/>
  <c r="AE39" i="1" s="1"/>
  <c r="AA38" i="1"/>
  <c r="AB38" i="1" s="1"/>
  <c r="AC38" i="1" s="1"/>
  <c r="AD38" i="1" s="1"/>
  <c r="AE38" i="1" s="1"/>
  <c r="AA37" i="1"/>
  <c r="AB37" i="1" s="1"/>
  <c r="AC37" i="1" s="1"/>
  <c r="AD37" i="1" s="1"/>
  <c r="AE37" i="1" s="1"/>
  <c r="AA36" i="1"/>
  <c r="AB36" i="1" s="1"/>
  <c r="AC36" i="1" s="1"/>
  <c r="AD36" i="1" s="1"/>
  <c r="AE36" i="1" s="1"/>
  <c r="AA35" i="1"/>
  <c r="AB35" i="1" s="1"/>
  <c r="AC35" i="1" s="1"/>
  <c r="AD35" i="1" s="1"/>
  <c r="AE35" i="1" s="1"/>
  <c r="AA34" i="1"/>
  <c r="AB34" i="1" s="1"/>
  <c r="AC34" i="1" s="1"/>
  <c r="AD34" i="1" s="1"/>
  <c r="AE34" i="1" s="1"/>
  <c r="AA33" i="1"/>
  <c r="AB33" i="1" s="1"/>
  <c r="AC33" i="1" s="1"/>
  <c r="AD33" i="1" s="1"/>
  <c r="AE33" i="1" s="1"/>
  <c r="AA32" i="1"/>
  <c r="AB32" i="1" s="1"/>
  <c r="AC32" i="1" s="1"/>
  <c r="AD32" i="1" s="1"/>
  <c r="AE32" i="1" s="1"/>
  <c r="AA31" i="1"/>
  <c r="AB31" i="1" s="1"/>
  <c r="AC31" i="1" s="1"/>
  <c r="AD31" i="1" s="1"/>
  <c r="AE31" i="1" s="1"/>
  <c r="AA30" i="1"/>
  <c r="AB30" i="1" s="1"/>
  <c r="AC30" i="1" s="1"/>
  <c r="AD30" i="1" s="1"/>
  <c r="AE30" i="1" s="1"/>
  <c r="AA29" i="1"/>
  <c r="AB29" i="1" s="1"/>
  <c r="AC29" i="1" s="1"/>
  <c r="AD29" i="1" s="1"/>
  <c r="AE29" i="1" s="1"/>
  <c r="AA28" i="1"/>
  <c r="AB28" i="1" s="1"/>
  <c r="AC28" i="1" s="1"/>
  <c r="AD28" i="1" s="1"/>
  <c r="AE28" i="1" s="1"/>
  <c r="AF158" i="1"/>
  <c r="AH158" i="1" s="1"/>
  <c r="AI158" i="1" s="1"/>
  <c r="AJ158" i="1" s="1"/>
  <c r="AF157" i="1"/>
  <c r="AH157" i="1" s="1"/>
  <c r="AI157" i="1" s="1"/>
  <c r="AJ157" i="1" s="1"/>
  <c r="AF156" i="1"/>
  <c r="AH156" i="1" s="1"/>
  <c r="AI156" i="1" s="1"/>
  <c r="AJ156" i="1" s="1"/>
  <c r="AF155" i="1"/>
  <c r="AH155" i="1" s="1"/>
  <c r="AI155" i="1" s="1"/>
  <c r="AJ155" i="1" s="1"/>
  <c r="AF154" i="1"/>
  <c r="AH154" i="1" s="1"/>
  <c r="AI154" i="1" s="1"/>
  <c r="AJ154" i="1" s="1"/>
  <c r="AF153" i="1"/>
  <c r="AH153" i="1" s="1"/>
  <c r="AI153" i="1" s="1"/>
  <c r="AJ153" i="1" s="1"/>
  <c r="AF152" i="1"/>
  <c r="AH152" i="1" s="1"/>
  <c r="AI152" i="1" s="1"/>
  <c r="AJ152" i="1" s="1"/>
  <c r="AF151" i="1"/>
  <c r="AH151" i="1" s="1"/>
  <c r="AI151" i="1" s="1"/>
  <c r="AJ151" i="1" s="1"/>
  <c r="AF55" i="1"/>
  <c r="AH55" i="1" s="1"/>
  <c r="AI55" i="1" s="1"/>
  <c r="AJ55" i="1" s="1"/>
  <c r="AF54" i="1"/>
  <c r="AH54" i="1" s="1"/>
  <c r="AI54" i="1" s="1"/>
  <c r="AJ54" i="1" s="1"/>
  <c r="AF53" i="1"/>
  <c r="AH53" i="1" s="1"/>
  <c r="AI53" i="1" s="1"/>
  <c r="AJ53" i="1" s="1"/>
  <c r="AF52" i="1"/>
  <c r="AH52" i="1" s="1"/>
  <c r="AI52" i="1" s="1"/>
  <c r="AJ52" i="1" s="1"/>
  <c r="AF51" i="1"/>
  <c r="AH51" i="1" s="1"/>
  <c r="AI51" i="1" s="1"/>
  <c r="AJ51" i="1" s="1"/>
  <c r="AF50" i="1"/>
  <c r="AH50" i="1" s="1"/>
  <c r="AI50" i="1" s="1"/>
  <c r="AJ50" i="1" s="1"/>
  <c r="AF49" i="1"/>
  <c r="AH49" i="1" s="1"/>
  <c r="AI49" i="1" s="1"/>
  <c r="AJ49" i="1" s="1"/>
  <c r="AF48" i="1"/>
  <c r="AH48" i="1" s="1"/>
  <c r="AI48" i="1" s="1"/>
  <c r="AJ48" i="1" s="1"/>
  <c r="AF47" i="1"/>
  <c r="AH47" i="1" s="1"/>
  <c r="AI47" i="1" s="1"/>
  <c r="AJ47" i="1" s="1"/>
  <c r="AF46" i="1"/>
  <c r="AH46" i="1" s="1"/>
  <c r="AI46" i="1" s="1"/>
  <c r="AJ46" i="1" s="1"/>
  <c r="AF45" i="1"/>
  <c r="AH45" i="1" s="1"/>
  <c r="AI45" i="1" s="1"/>
  <c r="AJ45" i="1" s="1"/>
  <c r="AF44" i="1"/>
  <c r="AH44" i="1" s="1"/>
  <c r="AI44" i="1" s="1"/>
  <c r="AJ44" i="1" s="1"/>
  <c r="AF43" i="1"/>
  <c r="AH43" i="1" s="1"/>
  <c r="AI43" i="1" s="1"/>
  <c r="AJ43" i="1" s="1"/>
  <c r="AF42" i="1"/>
  <c r="AH42" i="1" s="1"/>
  <c r="AI42" i="1" s="1"/>
  <c r="AJ42" i="1" s="1"/>
  <c r="AF41" i="1"/>
  <c r="AH41" i="1" s="1"/>
  <c r="AI41" i="1" s="1"/>
  <c r="AJ41" i="1" s="1"/>
  <c r="AF40" i="1"/>
  <c r="AH40" i="1" s="1"/>
  <c r="AI40" i="1" s="1"/>
  <c r="AJ40" i="1" s="1"/>
  <c r="AF39" i="1"/>
  <c r="AH39" i="1" s="1"/>
  <c r="AI39" i="1" s="1"/>
  <c r="AJ39" i="1" s="1"/>
  <c r="AF38" i="1"/>
  <c r="AH38" i="1" s="1"/>
  <c r="AI38" i="1" s="1"/>
  <c r="AJ38" i="1" s="1"/>
  <c r="AF37" i="1"/>
  <c r="AH37" i="1" s="1"/>
  <c r="AI37" i="1" s="1"/>
  <c r="AJ37" i="1" s="1"/>
  <c r="AF36" i="1"/>
  <c r="AH36" i="1" s="1"/>
  <c r="AI36" i="1" s="1"/>
  <c r="AJ36" i="1" s="1"/>
  <c r="AF35" i="1"/>
  <c r="AH35" i="1" s="1"/>
  <c r="AI35" i="1" s="1"/>
  <c r="AJ35" i="1" s="1"/>
  <c r="AF34" i="1"/>
  <c r="AH34" i="1" s="1"/>
  <c r="AI34" i="1" s="1"/>
  <c r="AJ34" i="1" s="1"/>
  <c r="AF33" i="1"/>
  <c r="AH33" i="1" s="1"/>
  <c r="AI33" i="1" s="1"/>
  <c r="AJ33" i="1" s="1"/>
  <c r="AF32" i="1"/>
  <c r="AH32" i="1" s="1"/>
  <c r="AI32" i="1" s="1"/>
  <c r="AJ32" i="1" s="1"/>
  <c r="AF31" i="1"/>
  <c r="AH31" i="1" s="1"/>
  <c r="AI31" i="1" s="1"/>
  <c r="AJ31" i="1" s="1"/>
  <c r="AF30" i="1"/>
  <c r="AH30" i="1" s="1"/>
  <c r="AI30" i="1" s="1"/>
  <c r="AJ30" i="1" s="1"/>
  <c r="AF29" i="1"/>
  <c r="AH29" i="1" s="1"/>
  <c r="AI29" i="1" s="1"/>
  <c r="AJ29" i="1" s="1"/>
  <c r="AF28" i="1"/>
  <c r="AH28" i="1" s="1"/>
  <c r="AI28" i="1" s="1"/>
  <c r="AJ28" i="1" s="1"/>
  <c r="AF143" i="1"/>
  <c r="AF142" i="1"/>
  <c r="AI142" i="1" s="1"/>
  <c r="AF141" i="1"/>
  <c r="AI141" i="1" s="1"/>
  <c r="AF140" i="1"/>
  <c r="AI140" i="1" s="1"/>
  <c r="AF139" i="1"/>
  <c r="AI139" i="1" s="1"/>
  <c r="AF138" i="1"/>
  <c r="AI138" i="1" s="1"/>
  <c r="AF24" i="1"/>
  <c r="AI24" i="1" s="1"/>
  <c r="AF17" i="1"/>
  <c r="AI17" i="1" s="1"/>
  <c r="AF16" i="1"/>
  <c r="AI16" i="1" s="1"/>
  <c r="AF15" i="1"/>
  <c r="AI15" i="1" s="1"/>
  <c r="AF14" i="1"/>
  <c r="AI14" i="1" s="1"/>
  <c r="AF13" i="1"/>
  <c r="AI13" i="1" s="1"/>
  <c r="AI143" i="1"/>
  <c r="AB143" i="1"/>
  <c r="AD143" i="1" s="1"/>
  <c r="AB142" i="1"/>
  <c r="AD142" i="1" s="1"/>
  <c r="AB141" i="1"/>
  <c r="AD141" i="1" s="1"/>
  <c r="AB140" i="1"/>
  <c r="AD140" i="1" s="1"/>
  <c r="AB139" i="1"/>
  <c r="AD139" i="1" s="1"/>
  <c r="AB138" i="1"/>
  <c r="AD138" i="1" s="1"/>
  <c r="AB24" i="1"/>
  <c r="AD24" i="1" s="1"/>
  <c r="AB17" i="1"/>
  <c r="AD17" i="1" s="1"/>
  <c r="AB16" i="1"/>
  <c r="AD16" i="1" s="1"/>
  <c r="AB15" i="1"/>
  <c r="AD15" i="1" s="1"/>
  <c r="AB14" i="1"/>
  <c r="AD14" i="1" s="1"/>
  <c r="AB13" i="1"/>
  <c r="AD13" i="1" s="1"/>
  <c r="AA143" i="1"/>
  <c r="AC143" i="1" s="1"/>
  <c r="AE143" i="1" s="1"/>
  <c r="AH143" i="1" s="1"/>
  <c r="AJ143" i="1" s="1"/>
  <c r="AA142" i="1"/>
  <c r="AC142" i="1" s="1"/>
  <c r="AE142" i="1" s="1"/>
  <c r="AH142" i="1" s="1"/>
  <c r="AJ142" i="1" s="1"/>
  <c r="AA141" i="1"/>
  <c r="AC141" i="1" s="1"/>
  <c r="AE141" i="1" s="1"/>
  <c r="AH141" i="1" s="1"/>
  <c r="AJ141" i="1" s="1"/>
  <c r="AA140" i="1"/>
  <c r="AC140" i="1" s="1"/>
  <c r="AE140" i="1" s="1"/>
  <c r="AH140" i="1" s="1"/>
  <c r="AJ140" i="1" s="1"/>
  <c r="AA139" i="1"/>
  <c r="AC139" i="1" s="1"/>
  <c r="AE139" i="1" s="1"/>
  <c r="AH139" i="1" s="1"/>
  <c r="AJ139" i="1" s="1"/>
  <c r="AA138" i="1"/>
  <c r="AC138" i="1" s="1"/>
  <c r="AE138" i="1" s="1"/>
  <c r="AH138" i="1" s="1"/>
  <c r="AJ138" i="1" s="1"/>
  <c r="AA24" i="1"/>
  <c r="AC24" i="1" s="1"/>
  <c r="AE24" i="1" s="1"/>
  <c r="AH24" i="1" s="1"/>
  <c r="AJ24" i="1" s="1"/>
  <c r="AA17" i="1"/>
  <c r="AC17" i="1" s="1"/>
  <c r="AE17" i="1" s="1"/>
  <c r="AH17" i="1" s="1"/>
  <c r="AJ17" i="1" s="1"/>
  <c r="AA16" i="1"/>
  <c r="AC16" i="1" s="1"/>
  <c r="AE16" i="1" s="1"/>
  <c r="AH16" i="1" s="1"/>
  <c r="AJ16" i="1" s="1"/>
  <c r="AA15" i="1"/>
  <c r="AC15" i="1" s="1"/>
  <c r="AE15" i="1" s="1"/>
  <c r="AH15" i="1" s="1"/>
  <c r="AJ15" i="1" s="1"/>
  <c r="AA14" i="1"/>
  <c r="AC14" i="1" s="1"/>
  <c r="AE14" i="1" s="1"/>
  <c r="AH14" i="1" s="1"/>
  <c r="AJ14" i="1" s="1"/>
  <c r="AA13" i="1"/>
  <c r="AC13" i="1" s="1"/>
  <c r="AE13" i="1" s="1"/>
  <c r="AH13" i="1" s="1"/>
  <c r="AJ13" i="1" s="1"/>
  <c r="F46" i="7" l="1"/>
  <c r="G46" i="7" s="1"/>
  <c r="H46" i="7"/>
  <c r="H45" i="7"/>
  <c r="H44" i="7"/>
  <c r="CD261" i="1"/>
  <c r="BY261" i="1"/>
  <c r="CD276" i="1"/>
  <c r="BY276" i="1"/>
  <c r="BP275" i="1"/>
  <c r="BK275" i="1"/>
  <c r="BB262" i="1"/>
  <c r="AW262" i="1"/>
  <c r="BP262" i="1"/>
  <c r="BK262" i="1"/>
  <c r="BB275" i="1"/>
  <c r="AW275" i="1"/>
  <c r="BB276" i="1"/>
  <c r="AW276" i="1"/>
  <c r="BP276" i="1"/>
  <c r="BK276" i="1"/>
  <c r="BP261" i="1"/>
  <c r="BK261" i="1"/>
  <c r="CD275" i="1"/>
  <c r="BY275" i="1"/>
  <c r="AK151" i="1"/>
  <c r="AK155" i="1"/>
  <c r="AK153" i="1"/>
  <c r="AK152" i="1"/>
  <c r="AK156" i="1"/>
  <c r="AK154" i="1"/>
  <c r="AK157" i="1"/>
  <c r="AB158" i="1"/>
  <c r="AC158" i="1" s="1"/>
  <c r="AD158" i="1" s="1"/>
  <c r="AE158" i="1" s="1"/>
  <c r="CB290" i="1"/>
  <c r="AK158" i="1" l="1"/>
  <c r="B29" i="5"/>
  <c r="B215" i="5"/>
  <c r="B212" i="5"/>
  <c r="B206" i="5"/>
  <c r="B203" i="5"/>
  <c r="B202" i="5"/>
  <c r="B201" i="5"/>
  <c r="B198" i="5"/>
  <c r="B196" i="5"/>
  <c r="B195" i="5"/>
  <c r="B194" i="5"/>
  <c r="B193" i="5"/>
  <c r="B191" i="5"/>
  <c r="B186" i="5"/>
  <c r="B185" i="5"/>
  <c r="B184" i="5"/>
  <c r="B183" i="5"/>
  <c r="B182" i="5"/>
  <c r="B181" i="5"/>
  <c r="B175" i="5"/>
  <c r="B173" i="5"/>
  <c r="B171" i="5"/>
  <c r="B166" i="5"/>
  <c r="B165" i="5"/>
  <c r="B163" i="5"/>
  <c r="B157" i="5"/>
  <c r="B156" i="5"/>
  <c r="B155" i="5"/>
  <c r="B152" i="5"/>
  <c r="B151" i="5"/>
  <c r="B150" i="5"/>
  <c r="B149" i="5"/>
  <c r="B147" i="5"/>
  <c r="B144" i="5"/>
  <c r="B141" i="5"/>
  <c r="B125" i="5"/>
  <c r="B122" i="5"/>
  <c r="B115" i="5"/>
  <c r="B114" i="5"/>
  <c r="B113" i="5"/>
  <c r="B112" i="5"/>
  <c r="B111" i="5"/>
  <c r="B110" i="5"/>
  <c r="B109" i="5"/>
  <c r="B107" i="5"/>
  <c r="B92" i="5"/>
  <c r="B91" i="5"/>
  <c r="B90" i="5"/>
  <c r="B88" i="5"/>
  <c r="B87" i="5"/>
  <c r="B86" i="5"/>
  <c r="B85" i="5"/>
  <c r="B80" i="5"/>
  <c r="B78" i="5"/>
  <c r="B76" i="5"/>
  <c r="B72" i="5"/>
  <c r="B71" i="5"/>
  <c r="B65" i="5"/>
  <c r="B64" i="5"/>
  <c r="B61" i="5"/>
  <c r="B60" i="5"/>
  <c r="B54" i="5"/>
  <c r="B52" i="5"/>
  <c r="B51" i="5"/>
  <c r="B50" i="5"/>
  <c r="B47" i="5"/>
  <c r="B43" i="5"/>
  <c r="B39" i="5"/>
  <c r="B33" i="5"/>
  <c r="B32" i="5"/>
  <c r="B30" i="5"/>
  <c r="B27" i="5"/>
  <c r="B26" i="5"/>
  <c r="B25" i="5"/>
  <c r="B24" i="5"/>
  <c r="B17" i="5"/>
  <c r="B15" i="5"/>
  <c r="B14" i="5"/>
  <c r="B8" i="5"/>
  <c r="B6" i="5"/>
  <c r="B5" i="5"/>
  <c r="B4" i="5"/>
  <c r="B2" i="5"/>
  <c r="B19" i="5"/>
  <c r="B187" i="5"/>
  <c r="B28" i="5"/>
  <c r="B13" i="5"/>
  <c r="B59" i="5"/>
  <c r="B199" i="5"/>
  <c r="B219" i="5"/>
  <c r="B145" i="5"/>
  <c r="B11" i="5"/>
  <c r="B9" i="5"/>
  <c r="B143" i="5"/>
  <c r="B3" i="5"/>
  <c r="B209" i="5"/>
  <c r="B10" i="5"/>
  <c r="B190" i="5"/>
  <c r="B69" i="5"/>
  <c r="B74" i="5"/>
  <c r="B200" i="5"/>
  <c r="B192" i="5"/>
  <c r="B81" i="5"/>
  <c r="B82" i="5"/>
  <c r="B105" i="5"/>
  <c r="B164" i="5"/>
  <c r="B217" i="5"/>
  <c r="B233" i="5"/>
  <c r="B239" i="5"/>
  <c r="B211" i="5"/>
  <c r="B132" i="5"/>
  <c r="B12" i="5"/>
  <c r="B134" i="5"/>
  <c r="B48" i="5"/>
  <c r="B139" i="5"/>
  <c r="B131" i="5"/>
  <c r="B142" i="5"/>
  <c r="B220" i="5"/>
  <c r="B100" i="5"/>
  <c r="B23" i="5"/>
  <c r="B108" i="5"/>
  <c r="B221" i="5"/>
  <c r="B154" i="5"/>
  <c r="B169" i="5"/>
  <c r="B172" i="5"/>
  <c r="B222" i="5"/>
  <c r="B235" i="5"/>
  <c r="B180" i="5"/>
  <c r="B179" i="5"/>
  <c r="B178" i="5"/>
  <c r="B177" i="5"/>
  <c r="B176" i="5"/>
  <c r="B153" i="5"/>
  <c r="B40" i="5"/>
  <c r="B106" i="5"/>
  <c r="B123" i="5"/>
  <c r="B162" i="5"/>
  <c r="B232" i="5"/>
  <c r="B167" i="5"/>
  <c r="B133" i="5"/>
  <c r="B53" i="5"/>
  <c r="B146" i="5"/>
  <c r="B102" i="5"/>
  <c r="B140" i="5"/>
  <c r="B79" i="5"/>
  <c r="B34" i="5"/>
  <c r="B137" i="5"/>
  <c r="B104" i="5"/>
  <c r="B35" i="5"/>
  <c r="B98" i="5"/>
  <c r="B73" i="5"/>
  <c r="B31" i="5"/>
  <c r="B135" i="5"/>
  <c r="B36" i="5"/>
  <c r="B101" i="5"/>
  <c r="B77" i="5"/>
  <c r="B124" i="5"/>
  <c r="B44" i="5"/>
  <c r="B189" i="5"/>
  <c r="B84" i="5"/>
  <c r="B229" i="5"/>
  <c r="B63" i="5"/>
  <c r="B216" i="5"/>
  <c r="B46" i="5"/>
  <c r="B230" i="5"/>
  <c r="B37" i="5"/>
  <c r="B188" i="5"/>
  <c r="B89" i="5"/>
  <c r="B128" i="5"/>
  <c r="B7" i="5"/>
  <c r="B174" i="5"/>
  <c r="B218" i="5"/>
  <c r="B49" i="5"/>
  <c r="B45" i="5"/>
  <c r="B70" i="5"/>
  <c r="B121" i="5"/>
  <c r="B120" i="5"/>
  <c r="B119" i="5"/>
  <c r="B118" i="5"/>
  <c r="B117" i="5"/>
  <c r="B97" i="5"/>
  <c r="B96" i="5"/>
  <c r="B95" i="5"/>
  <c r="B94" i="5"/>
  <c r="B93" i="5"/>
  <c r="B42" i="5"/>
  <c r="B41" i="5"/>
  <c r="B21" i="5"/>
  <c r="B158" i="5"/>
  <c r="B136" i="5"/>
  <c r="B223" i="5"/>
  <c r="B38" i="5"/>
  <c r="B148" i="5"/>
  <c r="B161" i="5"/>
  <c r="B20" i="5"/>
  <c r="B83" i="5"/>
  <c r="B22" i="5"/>
  <c r="B103" i="5"/>
  <c r="B16" i="5"/>
  <c r="B62" i="5"/>
  <c r="B75" i="5"/>
  <c r="B18" i="5"/>
  <c r="B170" i="5"/>
  <c r="B116" i="5"/>
  <c r="B168" i="5"/>
  <c r="B208" i="5"/>
  <c r="B234" i="5"/>
  <c r="B228" i="5"/>
  <c r="B214" i="5"/>
  <c r="B213" i="5"/>
  <c r="B99" i="5"/>
  <c r="B67" i="5"/>
  <c r="B138" i="5"/>
  <c r="B160" i="5"/>
  <c r="B159" i="5"/>
  <c r="B68" i="5"/>
  <c r="B130" i="5"/>
  <c r="B227" i="5"/>
  <c r="B207" i="5"/>
  <c r="B58" i="5"/>
  <c r="B57" i="5"/>
  <c r="B197" i="5"/>
  <c r="B129" i="5"/>
  <c r="B224" i="5"/>
  <c r="BD15" i="5"/>
  <c r="BC15" i="5"/>
  <c r="B127" i="5"/>
  <c r="BD14" i="5"/>
  <c r="BC14" i="5"/>
  <c r="B226" i="5"/>
  <c r="BD13" i="5"/>
  <c r="BC13" i="5"/>
  <c r="B204" i="5"/>
  <c r="BD12" i="5"/>
  <c r="BC12" i="5"/>
  <c r="B56" i="5"/>
  <c r="BD11" i="5"/>
  <c r="BC11" i="5"/>
  <c r="B225" i="5"/>
  <c r="BD10" i="5"/>
  <c r="BC10" i="5"/>
  <c r="B126" i="5"/>
  <c r="BD9" i="5"/>
  <c r="BC9" i="5"/>
  <c r="B205" i="5"/>
  <c r="BD8" i="5"/>
  <c r="BC8" i="5"/>
  <c r="B55" i="5"/>
  <c r="BD7" i="5"/>
  <c r="BC7" i="5"/>
  <c r="B231" i="5"/>
  <c r="BD6" i="5"/>
  <c r="BC6" i="5"/>
  <c r="B210" i="5"/>
  <c r="BD5" i="5"/>
  <c r="BC5" i="5"/>
  <c r="B238" i="5"/>
  <c r="BD4" i="5"/>
  <c r="BC4" i="5"/>
  <c r="B237" i="5"/>
  <c r="B236" i="5"/>
  <c r="B66" i="5"/>
  <c r="AK143" i="1" l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6" i="1"/>
  <c r="AK25" i="1"/>
  <c r="AK24" i="1"/>
  <c r="AK17" i="1"/>
  <c r="AK16" i="1"/>
  <c r="AK15" i="1"/>
  <c r="AK14" i="1"/>
  <c r="AK13" i="1"/>
  <c r="BD4" i="4" l="1"/>
  <c r="BD5" i="4"/>
  <c r="BD6" i="4"/>
  <c r="BD7" i="4"/>
  <c r="BD8" i="4"/>
  <c r="BD9" i="4"/>
  <c r="BD10" i="4"/>
  <c r="BD11" i="4"/>
  <c r="BD12" i="4"/>
  <c r="BD13" i="4"/>
  <c r="BD14" i="4"/>
  <c r="BD3" i="4"/>
  <c r="BC14" i="4"/>
  <c r="BC10" i="4"/>
  <c r="BC9" i="4"/>
  <c r="BC8" i="4"/>
  <c r="BC7" i="4"/>
  <c r="BC6" i="4"/>
  <c r="BC5" i="4"/>
  <c r="BC3" i="4"/>
  <c r="BC4" i="4"/>
  <c r="B101" i="4"/>
  <c r="B151" i="4"/>
  <c r="B140" i="4"/>
  <c r="B149" i="4"/>
  <c r="B139" i="4"/>
  <c r="B154" i="4"/>
  <c r="B142" i="4"/>
  <c r="B148" i="4"/>
  <c r="B145" i="4"/>
  <c r="B157" i="4"/>
  <c r="B181" i="4"/>
  <c r="B147" i="4"/>
  <c r="B143" i="4"/>
  <c r="B158" i="4"/>
  <c r="B230" i="4"/>
  <c r="B155" i="4"/>
  <c r="B227" i="4"/>
  <c r="B123" i="4"/>
  <c r="B114" i="4"/>
  <c r="B121" i="4"/>
  <c r="B122" i="4"/>
  <c r="B125" i="4"/>
  <c r="B126" i="4"/>
  <c r="B127" i="4"/>
  <c r="B156" i="4"/>
  <c r="B159" i="4"/>
  <c r="B160" i="4"/>
  <c r="B32" i="4"/>
  <c r="B111" i="4"/>
  <c r="B33" i="4"/>
  <c r="B131" i="4"/>
  <c r="B115" i="4"/>
  <c r="B130" i="4"/>
  <c r="B119" i="4"/>
  <c r="B183" i="4"/>
  <c r="B228" i="4"/>
  <c r="B180" i="4"/>
  <c r="B171" i="4"/>
  <c r="B205" i="4"/>
  <c r="B28" i="4"/>
  <c r="B27" i="4"/>
  <c r="B26" i="4"/>
  <c r="B102" i="4"/>
  <c r="B118" i="4"/>
  <c r="B23" i="4"/>
  <c r="B203" i="4"/>
  <c r="B182" i="4"/>
  <c r="B169" i="4"/>
  <c r="B238" i="4"/>
  <c r="B172" i="4"/>
  <c r="B164" i="4"/>
  <c r="B177" i="4"/>
  <c r="B175" i="4"/>
  <c r="B176" i="4"/>
  <c r="B174" i="4"/>
  <c r="B234" i="4"/>
  <c r="B235" i="4"/>
  <c r="B233" i="4"/>
  <c r="B192" i="4"/>
  <c r="B193" i="4"/>
  <c r="B190" i="4"/>
  <c r="B206" i="4"/>
  <c r="B207" i="4"/>
  <c r="B204" i="4"/>
  <c r="B212" i="4"/>
  <c r="B213" i="4"/>
  <c r="B211" i="4"/>
  <c r="B208" i="4"/>
  <c r="B209" i="4"/>
  <c r="B210" i="4"/>
  <c r="B197" i="4"/>
  <c r="B198" i="4"/>
  <c r="B196" i="4"/>
  <c r="B191" i="4"/>
  <c r="B188" i="4"/>
  <c r="B189" i="4"/>
  <c r="B187" i="4"/>
  <c r="B223" i="4"/>
  <c r="B225" i="4"/>
  <c r="B218" i="4"/>
  <c r="B220" i="4"/>
  <c r="B69" i="4"/>
  <c r="B103" i="4"/>
  <c r="B84" i="4"/>
  <c r="B89" i="4"/>
  <c r="B96" i="4"/>
  <c r="B91" i="4"/>
  <c r="B99" i="4"/>
  <c r="B41" i="4"/>
  <c r="B45" i="4"/>
  <c r="B50" i="4"/>
  <c r="B38" i="4"/>
  <c r="B100" i="4"/>
  <c r="B67" i="4"/>
  <c r="B74" i="4"/>
  <c r="B78" i="4"/>
  <c r="B76" i="4"/>
  <c r="B98" i="4"/>
  <c r="B64" i="4"/>
  <c r="B70" i="4"/>
  <c r="B82" i="4"/>
  <c r="B77" i="4"/>
  <c r="B47" i="4"/>
  <c r="B53" i="4"/>
  <c r="B52" i="4"/>
  <c r="B105" i="4"/>
  <c r="B86" i="4"/>
  <c r="B95" i="4"/>
  <c r="B92" i="4"/>
  <c r="B104" i="4"/>
  <c r="B85" i="4"/>
  <c r="B87" i="4"/>
  <c r="B93" i="4"/>
  <c r="B90" i="4"/>
  <c r="B97" i="4"/>
  <c r="B66" i="4"/>
  <c r="B73" i="4"/>
  <c r="B81" i="4"/>
  <c r="B75" i="4"/>
  <c r="B110" i="4"/>
  <c r="B106" i="4"/>
  <c r="B107" i="4"/>
  <c r="B108" i="4"/>
  <c r="B109" i="4"/>
  <c r="B59" i="4"/>
  <c r="B60" i="4"/>
  <c r="B61" i="4"/>
  <c r="B62" i="4"/>
  <c r="B63" i="4"/>
  <c r="B54" i="4"/>
  <c r="B55" i="4"/>
  <c r="B56" i="4"/>
  <c r="B57" i="4"/>
  <c r="B58" i="4"/>
  <c r="B35" i="4"/>
  <c r="B43" i="4"/>
  <c r="B46" i="4"/>
  <c r="B49" i="4"/>
  <c r="B39" i="4"/>
  <c r="B42" i="4"/>
  <c r="B44" i="4"/>
  <c r="B51" i="4"/>
  <c r="B37" i="4"/>
  <c r="B229" i="4"/>
  <c r="B236" i="4"/>
  <c r="B194" i="4"/>
  <c r="B201" i="4"/>
  <c r="B219" i="4"/>
  <c r="B166" i="4"/>
  <c r="B224" i="4"/>
  <c r="B226" i="4"/>
  <c r="B202" i="4"/>
  <c r="B222" i="4"/>
  <c r="B167" i="4"/>
  <c r="B199" i="4"/>
  <c r="B200" i="4"/>
  <c r="B170" i="4"/>
  <c r="B168" i="4"/>
  <c r="B184" i="4"/>
  <c r="B221" i="4"/>
  <c r="B232" i="4"/>
  <c r="B217" i="4"/>
  <c r="B163" i="4"/>
  <c r="B214" i="4"/>
  <c r="B237" i="4"/>
  <c r="B165" i="4"/>
  <c r="B162" i="4"/>
  <c r="B215" i="4"/>
  <c r="B216" i="4"/>
  <c r="B185" i="4"/>
  <c r="B186" i="4"/>
  <c r="B178" i="4"/>
  <c r="B179" i="4"/>
  <c r="B83" i="4"/>
  <c r="B88" i="4"/>
  <c r="B94" i="4"/>
  <c r="B68" i="4"/>
  <c r="B72" i="4"/>
  <c r="B80" i="4"/>
  <c r="B65" i="4"/>
  <c r="B71" i="4"/>
  <c r="B79" i="4"/>
  <c r="B21" i="4"/>
  <c r="B15" i="4"/>
  <c r="B13" i="4"/>
  <c r="B10" i="4"/>
  <c r="B22" i="4"/>
  <c r="B16" i="4"/>
  <c r="B14" i="4"/>
  <c r="B9" i="4"/>
  <c r="B19" i="4"/>
  <c r="B18" i="4"/>
  <c r="B11" i="4"/>
  <c r="B7" i="4"/>
  <c r="B20" i="4"/>
  <c r="B17" i="4"/>
  <c r="B12" i="4"/>
  <c r="B8" i="4"/>
  <c r="B2" i="4"/>
  <c r="B3" i="4"/>
  <c r="B4" i="4"/>
  <c r="B24" i="4"/>
  <c r="B25" i="4"/>
  <c r="B29" i="4"/>
  <c r="B30" i="4"/>
  <c r="B6" i="4"/>
  <c r="B36" i="4"/>
  <c r="B34" i="4"/>
  <c r="B135" i="4"/>
  <c r="B134" i="4"/>
  <c r="B153" i="4"/>
  <c r="B152" i="4"/>
  <c r="B1" i="4"/>
  <c r="B133" i="4"/>
  <c r="B40" i="4"/>
  <c r="B124" i="4"/>
  <c r="B138" i="4"/>
  <c r="B173" i="4"/>
  <c r="B161" i="4"/>
  <c r="B146" i="4"/>
  <c r="B195" i="4"/>
  <c r="B231" i="4"/>
  <c r="B137" i="4"/>
  <c r="B144" i="4"/>
  <c r="B136" i="4"/>
  <c r="B141" i="4"/>
  <c r="B117" i="4"/>
  <c r="B132" i="4"/>
  <c r="B120" i="4"/>
  <c r="B116" i="4"/>
  <c r="B150" i="4"/>
  <c r="B128" i="4"/>
  <c r="B112" i="4"/>
  <c r="B48" i="4"/>
  <c r="B31" i="4"/>
  <c r="B5" i="4"/>
  <c r="B113" i="4"/>
  <c r="B129" i="4"/>
  <c r="S200" i="1" l="1"/>
  <c r="S199" i="1" l="1"/>
  <c r="BJ200" i="1"/>
  <c r="AV200" i="1"/>
  <c r="BX200" i="1"/>
  <c r="F24" i="7" l="1"/>
  <c r="G24" i="7" s="1"/>
  <c r="CD200" i="1"/>
  <c r="BY200" i="1"/>
  <c r="BP200" i="1"/>
  <c r="BK200" i="1"/>
  <c r="BB200" i="1"/>
  <c r="AW200" i="1"/>
  <c r="AV199" i="1"/>
  <c r="BJ199" i="1"/>
  <c r="BX199" i="1"/>
  <c r="AK200" i="1"/>
  <c r="AK199" i="1"/>
  <c r="A276" i="1"/>
  <c r="A277" i="1"/>
  <c r="A278" i="1"/>
  <c r="A279" i="1"/>
  <c r="A280" i="1"/>
  <c r="A281" i="1"/>
  <c r="A282" i="1"/>
  <c r="A283" i="1"/>
  <c r="A27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35" i="1"/>
  <c r="A217" i="1"/>
  <c r="A218" i="1"/>
  <c r="A219" i="1"/>
  <c r="A220" i="1"/>
  <c r="A221" i="1"/>
  <c r="A222" i="1"/>
  <c r="A223" i="1"/>
  <c r="A224" i="1"/>
  <c r="A225" i="1"/>
  <c r="A226" i="1"/>
  <c r="A227" i="1"/>
  <c r="A216" i="1"/>
  <c r="A200" i="1"/>
  <c r="A201" i="1"/>
  <c r="A202" i="1"/>
  <c r="A203" i="1"/>
  <c r="A204" i="1"/>
  <c r="A205" i="1"/>
  <c r="A206" i="1"/>
  <c r="A207" i="1"/>
  <c r="A208" i="1"/>
  <c r="A199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52" i="1"/>
  <c r="A153" i="1"/>
  <c r="A154" i="1"/>
  <c r="A155" i="1"/>
  <c r="A156" i="1"/>
  <c r="A157" i="1"/>
  <c r="A151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5" i="1"/>
  <c r="T59" i="1"/>
  <c r="T55" i="1"/>
  <c r="T51" i="1"/>
  <c r="T47" i="1"/>
  <c r="T43" i="1"/>
  <c r="T39" i="1"/>
  <c r="T35" i="1"/>
  <c r="T31" i="1"/>
  <c r="F23" i="7" l="1"/>
  <c r="G23" i="7" s="1"/>
  <c r="H23" i="7"/>
  <c r="H24" i="7"/>
  <c r="CD199" i="1"/>
  <c r="BY199" i="1"/>
  <c r="BP199" i="1"/>
  <c r="BK199" i="1"/>
  <c r="BB199" i="1"/>
  <c r="AW199" i="1"/>
  <c r="A214" i="4"/>
  <c r="A163" i="5"/>
  <c r="A221" i="4"/>
  <c r="A182" i="5"/>
  <c r="A200" i="4"/>
  <c r="A114" i="5"/>
  <c r="A202" i="4"/>
  <c r="A122" i="5"/>
  <c r="A219" i="4"/>
  <c r="A175" i="5"/>
  <c r="A229" i="4"/>
  <c r="A195" i="5"/>
  <c r="A42" i="4"/>
  <c r="A22" i="5"/>
  <c r="A43" i="4"/>
  <c r="A83" i="5"/>
  <c r="A56" i="4"/>
  <c r="A95" i="5"/>
  <c r="A62" i="4"/>
  <c r="A120" i="5"/>
  <c r="A109" i="4"/>
  <c r="A179" i="5"/>
  <c r="A110" i="4"/>
  <c r="A180" i="5"/>
  <c r="A66" i="4"/>
  <c r="A49" i="5"/>
  <c r="A87" i="4"/>
  <c r="A31" i="5"/>
  <c r="A95" i="4"/>
  <c r="A140" i="5"/>
  <c r="A53" i="4"/>
  <c r="A42" i="5"/>
  <c r="A70" i="4"/>
  <c r="A128" i="5"/>
  <c r="A78" i="4"/>
  <c r="A229" i="5"/>
  <c r="A38" i="4"/>
  <c r="A75" i="5"/>
  <c r="A99" i="4"/>
  <c r="A167" i="5"/>
  <c r="A84" i="4"/>
  <c r="A101" i="5"/>
  <c r="A218" i="4"/>
  <c r="A173" i="5"/>
  <c r="A189" i="4"/>
  <c r="A87" i="5"/>
  <c r="A198" i="4"/>
  <c r="A112" i="5"/>
  <c r="A208" i="4"/>
  <c r="A150" i="5"/>
  <c r="A204" i="4"/>
  <c r="A141" i="5"/>
  <c r="A193" i="4"/>
  <c r="A92" i="5"/>
  <c r="A234" i="4"/>
  <c r="A203" i="5"/>
  <c r="A177" i="4"/>
  <c r="A54" i="5"/>
  <c r="A169" i="4"/>
  <c r="A32" i="5"/>
  <c r="A118" i="4"/>
  <c r="A100" i="5"/>
  <c r="A28" i="4"/>
  <c r="A99" i="5"/>
  <c r="A228" i="4"/>
  <c r="A194" i="5"/>
  <c r="A115" i="4"/>
  <c r="A221" i="5"/>
  <c r="A32" i="4"/>
  <c r="A234" i="5"/>
  <c r="A185" i="4"/>
  <c r="A78" i="5"/>
  <c r="A6" i="4"/>
  <c r="A231" i="5"/>
  <c r="A24" i="4"/>
  <c r="A159" i="5"/>
  <c r="A8" i="4"/>
  <c r="A205" i="5"/>
  <c r="A7" i="4"/>
  <c r="A55" i="5"/>
  <c r="A9" i="4"/>
  <c r="A126" i="5"/>
  <c r="A10" i="4"/>
  <c r="A225" i="5"/>
  <c r="A79" i="4"/>
  <c r="A84" i="5"/>
  <c r="A72" i="4"/>
  <c r="A188" i="5"/>
  <c r="A83" i="4"/>
  <c r="A77" i="5"/>
  <c r="A153" i="4"/>
  <c r="A28" i="5"/>
  <c r="A161" i="4"/>
  <c r="A14" i="5"/>
  <c r="A40" i="4"/>
  <c r="A16" i="5"/>
  <c r="A137" i="4"/>
  <c r="A200" i="5"/>
  <c r="A230" i="4"/>
  <c r="A196" i="5"/>
  <c r="A181" i="4"/>
  <c r="A65" i="5"/>
  <c r="A142" i="4"/>
  <c r="A10" i="5"/>
  <c r="A140" i="4"/>
  <c r="A69" i="5"/>
  <c r="A5" i="4"/>
  <c r="A210" i="5"/>
  <c r="A128" i="4"/>
  <c r="A211" i="5"/>
  <c r="A132" i="4"/>
  <c r="A164" i="5"/>
  <c r="A144" i="4"/>
  <c r="A209" i="5"/>
  <c r="A156" i="4"/>
  <c r="A2" i="5"/>
  <c r="A122" i="4"/>
  <c r="A142" i="5"/>
  <c r="A163" i="4"/>
  <c r="A17" i="5"/>
  <c r="A184" i="4"/>
  <c r="A76" i="5"/>
  <c r="A199" i="4"/>
  <c r="A113" i="5"/>
  <c r="A226" i="4"/>
  <c r="A191" i="5"/>
  <c r="A201" i="4"/>
  <c r="A115" i="5"/>
  <c r="A37" i="4"/>
  <c r="A18" i="5"/>
  <c r="A39" i="4"/>
  <c r="A62" i="5"/>
  <c r="A35" i="4"/>
  <c r="A116" i="5"/>
  <c r="A55" i="4"/>
  <c r="A94" i="5"/>
  <c r="A61" i="4"/>
  <c r="A119" i="5"/>
  <c r="A108" i="4"/>
  <c r="A178" i="5"/>
  <c r="A75" i="4"/>
  <c r="A46" i="5"/>
  <c r="A97" i="4"/>
  <c r="A53" i="5"/>
  <c r="A85" i="4"/>
  <c r="A36" i="5"/>
  <c r="A86" i="4"/>
  <c r="A135" i="5"/>
  <c r="A47" i="4"/>
  <c r="A38" i="5"/>
  <c r="A64" i="4"/>
  <c r="A70" i="5"/>
  <c r="A74" i="4"/>
  <c r="A230" i="5"/>
  <c r="A50" i="4"/>
  <c r="A158" i="5"/>
  <c r="A91" i="4"/>
  <c r="A104" i="5"/>
  <c r="A103" i="4"/>
  <c r="A106" i="5"/>
  <c r="A225" i="4"/>
  <c r="A186" i="5"/>
  <c r="A188" i="4"/>
  <c r="A86" i="5"/>
  <c r="A197" i="4"/>
  <c r="A111" i="5"/>
  <c r="A211" i="4"/>
  <c r="A155" i="5"/>
  <c r="A207" i="4"/>
  <c r="A149" i="5"/>
  <c r="A192" i="4"/>
  <c r="A91" i="5"/>
  <c r="A174" i="4"/>
  <c r="A50" i="5"/>
  <c r="A164" i="4"/>
  <c r="A24" i="5"/>
  <c r="A182" i="4"/>
  <c r="A71" i="5"/>
  <c r="A102" i="4"/>
  <c r="A123" i="5"/>
  <c r="A205" i="4"/>
  <c r="A144" i="5"/>
  <c r="A183" i="4"/>
  <c r="A72" i="5"/>
  <c r="A131" i="4"/>
  <c r="A217" i="5"/>
  <c r="A165" i="4"/>
  <c r="A25" i="5"/>
  <c r="A216" i="4"/>
  <c r="A166" i="5"/>
  <c r="A30" i="4"/>
  <c r="A214" i="5"/>
  <c r="A4" i="4"/>
  <c r="A238" i="5"/>
  <c r="A12" i="4"/>
  <c r="A204" i="5"/>
  <c r="A11" i="4"/>
  <c r="A56" i="5"/>
  <c r="A14" i="4"/>
  <c r="A127" i="5"/>
  <c r="A13" i="4"/>
  <c r="A226" i="5"/>
  <c r="A71" i="4"/>
  <c r="A89" i="5"/>
  <c r="A68" i="4"/>
  <c r="A174" i="5"/>
  <c r="A179" i="4"/>
  <c r="A61" i="5"/>
  <c r="A231" i="4"/>
  <c r="A198" i="5"/>
  <c r="A173" i="4"/>
  <c r="A47" i="5"/>
  <c r="A133" i="4"/>
  <c r="A105" i="5"/>
  <c r="A123" i="4"/>
  <c r="A48" i="5"/>
  <c r="A158" i="4"/>
  <c r="A5" i="5"/>
  <c r="A157" i="4"/>
  <c r="A4" i="5"/>
  <c r="A154" i="4"/>
  <c r="A187" i="5"/>
  <c r="A151" i="4"/>
  <c r="A199" i="5"/>
  <c r="A31" i="4"/>
  <c r="A228" i="5"/>
  <c r="A150" i="4"/>
  <c r="A219" i="5"/>
  <c r="A117" i="4"/>
  <c r="A23" i="5"/>
  <c r="A114" i="4"/>
  <c r="A146" i="5"/>
  <c r="A127" i="4"/>
  <c r="A132" i="5"/>
  <c r="A121" i="4"/>
  <c r="A154" i="5"/>
  <c r="A129" i="4"/>
  <c r="A239" i="5"/>
  <c r="A217" i="4"/>
  <c r="A171" i="5"/>
  <c r="A168" i="4"/>
  <c r="A30" i="5"/>
  <c r="A167" i="4"/>
  <c r="A27" i="5"/>
  <c r="A224" i="4"/>
  <c r="A185" i="5"/>
  <c r="A194" i="4"/>
  <c r="A107" i="5"/>
  <c r="A51" i="4"/>
  <c r="A21" i="5"/>
  <c r="A49" i="4"/>
  <c r="A136" i="5"/>
  <c r="A58" i="4"/>
  <c r="A97" i="5"/>
  <c r="A54" i="4"/>
  <c r="A93" i="5"/>
  <c r="A60" i="4"/>
  <c r="A118" i="5"/>
  <c r="A107" i="4"/>
  <c r="A177" i="5"/>
  <c r="A81" i="4"/>
  <c r="A44" i="5"/>
  <c r="A90" i="4"/>
  <c r="A35" i="5"/>
  <c r="A104" i="4"/>
  <c r="A40" i="5"/>
  <c r="A105" i="4"/>
  <c r="A153" i="5"/>
  <c r="A77" i="4"/>
  <c r="A63" i="5"/>
  <c r="A98" i="4"/>
  <c r="A133" i="5"/>
  <c r="A67" i="4"/>
  <c r="A218" i="5"/>
  <c r="A45" i="4"/>
  <c r="A161" i="5"/>
  <c r="A96" i="4"/>
  <c r="A102" i="5"/>
  <c r="A69" i="4"/>
  <c r="A7" i="5"/>
  <c r="A223" i="4"/>
  <c r="A184" i="5"/>
  <c r="A191" i="4"/>
  <c r="A90" i="5"/>
  <c r="A210" i="4"/>
  <c r="A152" i="5"/>
  <c r="A213" i="4"/>
  <c r="A157" i="5"/>
  <c r="A206" i="4"/>
  <c r="A147" i="5"/>
  <c r="A233" i="4"/>
  <c r="A202" i="5"/>
  <c r="A176" i="4"/>
  <c r="A52" i="5"/>
  <c r="A172" i="4"/>
  <c r="A43" i="5"/>
  <c r="A203" i="4"/>
  <c r="A125" i="5"/>
  <c r="A26" i="4"/>
  <c r="A138" i="5"/>
  <c r="A171" i="4"/>
  <c r="A39" i="5"/>
  <c r="A119" i="4"/>
  <c r="A220" i="5"/>
  <c r="A33" i="4"/>
  <c r="A208" i="5"/>
  <c r="A178" i="4"/>
  <c r="A60" i="5"/>
  <c r="A215" i="4"/>
  <c r="A165" i="5"/>
  <c r="A29" i="4"/>
  <c r="A213" i="5"/>
  <c r="A3" i="4"/>
  <c r="A237" i="5"/>
  <c r="A17" i="4"/>
  <c r="A197" i="5"/>
  <c r="A18" i="4"/>
  <c r="A57" i="5"/>
  <c r="A16" i="4"/>
  <c r="A129" i="5"/>
  <c r="A15" i="4"/>
  <c r="A224" i="5"/>
  <c r="A65" i="4"/>
  <c r="A45" i="5"/>
  <c r="A94" i="4"/>
  <c r="A79" i="5"/>
  <c r="A195" i="4"/>
  <c r="A109" i="5"/>
  <c r="A138" i="4"/>
  <c r="A74" i="5"/>
  <c r="A1" i="4"/>
  <c r="A66" i="5"/>
  <c r="A227" i="4"/>
  <c r="A193" i="5"/>
  <c r="A143" i="4"/>
  <c r="A9" i="5"/>
  <c r="A145" i="4"/>
  <c r="A3" i="5"/>
  <c r="A139" i="4"/>
  <c r="A169" i="5"/>
  <c r="A101" i="4"/>
  <c r="A162" i="5"/>
  <c r="A48" i="4"/>
  <c r="A223" i="5"/>
  <c r="A116" i="4"/>
  <c r="A108" i="5"/>
  <c r="A141" i="4"/>
  <c r="A190" i="5"/>
  <c r="A160" i="4"/>
  <c r="A8" i="5"/>
  <c r="A126" i="4"/>
  <c r="A134" i="5"/>
  <c r="A237" i="4"/>
  <c r="A215" i="5"/>
  <c r="A232" i="4"/>
  <c r="A201" i="5"/>
  <c r="A170" i="4"/>
  <c r="A33" i="5"/>
  <c r="A222" i="4"/>
  <c r="A183" i="5"/>
  <c r="A166" i="4"/>
  <c r="A26" i="5"/>
  <c r="A236" i="4"/>
  <c r="A212" i="5"/>
  <c r="A44" i="4"/>
  <c r="A20" i="5"/>
  <c r="A46" i="4"/>
  <c r="A148" i="5"/>
  <c r="A57" i="4"/>
  <c r="A96" i="5"/>
  <c r="A63" i="4"/>
  <c r="A121" i="5"/>
  <c r="A59" i="4"/>
  <c r="A117" i="5"/>
  <c r="A106" i="4"/>
  <c r="A176" i="5"/>
  <c r="A73" i="4"/>
  <c r="A37" i="5"/>
  <c r="A93" i="4"/>
  <c r="A34" i="5"/>
  <c r="A92" i="4"/>
  <c r="A137" i="5"/>
  <c r="A52" i="4"/>
  <c r="A41" i="5"/>
  <c r="A82" i="4"/>
  <c r="A124" i="5"/>
  <c r="A76" i="4"/>
  <c r="A216" i="5"/>
  <c r="A100" i="4"/>
  <c r="A232" i="5"/>
  <c r="A41" i="4"/>
  <c r="A103" i="5"/>
  <c r="A89" i="4"/>
  <c r="A98" i="5"/>
  <c r="A220" i="4"/>
  <c r="A181" i="5"/>
  <c r="A187" i="4"/>
  <c r="A85" i="5"/>
  <c r="A196" i="4"/>
  <c r="A110" i="5"/>
  <c r="A209" i="4"/>
  <c r="A151" i="5"/>
  <c r="A212" i="4"/>
  <c r="A156" i="5"/>
  <c r="A190" i="4"/>
  <c r="A88" i="5"/>
  <c r="A235" i="4"/>
  <c r="A206" i="5"/>
  <c r="A175" i="4"/>
  <c r="A51" i="5"/>
  <c r="A238" i="4"/>
  <c r="A29" i="5"/>
  <c r="A23" i="4"/>
  <c r="A68" i="5"/>
  <c r="A27" i="4"/>
  <c r="A67" i="5"/>
  <c r="A180" i="4"/>
  <c r="A64" i="5"/>
  <c r="A130" i="4"/>
  <c r="A233" i="5"/>
  <c r="A111" i="4"/>
  <c r="A235" i="5"/>
  <c r="A186" i="4"/>
  <c r="A80" i="5"/>
  <c r="A162" i="4"/>
  <c r="A15" i="5"/>
  <c r="A25" i="4"/>
  <c r="A160" i="5"/>
  <c r="A2" i="4"/>
  <c r="A236" i="5"/>
  <c r="A20" i="4"/>
  <c r="A207" i="5"/>
  <c r="A19" i="4"/>
  <c r="A58" i="5"/>
  <c r="A22" i="4"/>
  <c r="A130" i="5"/>
  <c r="A21" i="4"/>
  <c r="A227" i="5"/>
  <c r="A80" i="4"/>
  <c r="A189" i="5"/>
  <c r="A88" i="4"/>
  <c r="A73" i="5"/>
  <c r="A146" i="4"/>
  <c r="A143" i="5"/>
  <c r="A124" i="4"/>
  <c r="A12" i="5"/>
  <c r="A152" i="4"/>
  <c r="A13" i="5"/>
  <c r="A155" i="4"/>
  <c r="A19" i="5"/>
  <c r="A147" i="4"/>
  <c r="A59" i="5"/>
  <c r="A148" i="4"/>
  <c r="A11" i="5"/>
  <c r="A149" i="4"/>
  <c r="A145" i="5"/>
  <c r="A113" i="4"/>
  <c r="A172" i="5"/>
  <c r="A112" i="4"/>
  <c r="A222" i="5"/>
  <c r="A120" i="4"/>
  <c r="A131" i="5"/>
  <c r="A136" i="4"/>
  <c r="A192" i="5"/>
  <c r="A159" i="4"/>
  <c r="A6" i="5"/>
  <c r="A125" i="4"/>
  <c r="A139" i="5"/>
  <c r="C175" i="4"/>
  <c r="C51" i="5"/>
  <c r="C206" i="5"/>
  <c r="C190" i="4"/>
  <c r="C88" i="5"/>
  <c r="C156" i="5"/>
  <c r="C209" i="4"/>
  <c r="C151" i="5"/>
  <c r="C110" i="5"/>
  <c r="C187" i="4"/>
  <c r="C85" i="5"/>
  <c r="C181" i="5"/>
  <c r="T260" i="1"/>
  <c r="C181" i="4" s="1"/>
  <c r="A36" i="4"/>
  <c r="A170" i="5"/>
  <c r="A134" i="4"/>
  <c r="A82" i="5"/>
  <c r="A34" i="4"/>
  <c r="A168" i="5"/>
  <c r="A135" i="4"/>
  <c r="A81" i="5"/>
  <c r="T15" i="1"/>
  <c r="T123" i="1"/>
  <c r="T127" i="1"/>
  <c r="T131" i="1"/>
  <c r="T135" i="1"/>
  <c r="T139" i="1"/>
  <c r="T154" i="1"/>
  <c r="T158" i="1"/>
  <c r="T16" i="1"/>
  <c r="T24" i="1"/>
  <c r="T28" i="1"/>
  <c r="T32" i="1"/>
  <c r="T36" i="1"/>
  <c r="C233" i="4" s="1"/>
  <c r="T40" i="1"/>
  <c r="C206" i="4" s="1"/>
  <c r="T44" i="1"/>
  <c r="T48" i="1"/>
  <c r="T52" i="1"/>
  <c r="T56" i="1"/>
  <c r="C223" i="4" s="1"/>
  <c r="T124" i="1"/>
  <c r="T128" i="1"/>
  <c r="T132" i="1"/>
  <c r="T136" i="1"/>
  <c r="T140" i="1"/>
  <c r="T151" i="1"/>
  <c r="T155" i="1"/>
  <c r="T13" i="1"/>
  <c r="T17" i="1"/>
  <c r="T25" i="1"/>
  <c r="T29" i="1"/>
  <c r="T33" i="1"/>
  <c r="T37" i="1"/>
  <c r="T41" i="1"/>
  <c r="T45" i="1"/>
  <c r="T49" i="1"/>
  <c r="C197" i="4" s="1"/>
  <c r="T53" i="1"/>
  <c r="T57" i="1"/>
  <c r="T125" i="1"/>
  <c r="T129" i="1"/>
  <c r="T133" i="1"/>
  <c r="T137" i="1"/>
  <c r="T141" i="1"/>
  <c r="T152" i="1"/>
  <c r="T156" i="1"/>
  <c r="T227" i="1"/>
  <c r="T281" i="1"/>
  <c r="C196" i="4"/>
  <c r="C220" i="4"/>
  <c r="C222" i="4"/>
  <c r="C164" i="4"/>
  <c r="C236" i="4"/>
  <c r="T30" i="1"/>
  <c r="T42" i="1"/>
  <c r="T50" i="1"/>
  <c r="T122" i="1"/>
  <c r="T126" i="1"/>
  <c r="T130" i="1"/>
  <c r="T134" i="1"/>
  <c r="T142" i="1"/>
  <c r="T153" i="1"/>
  <c r="T157" i="1"/>
  <c r="T259" i="1"/>
  <c r="C174" i="4"/>
  <c r="T14" i="1"/>
  <c r="T26" i="1"/>
  <c r="T34" i="1"/>
  <c r="T38" i="1"/>
  <c r="T46" i="1"/>
  <c r="T54" i="1"/>
  <c r="T58" i="1"/>
  <c r="C212" i="4"/>
  <c r="C235" i="4"/>
  <c r="T263" i="1"/>
  <c r="T199" i="1"/>
  <c r="T200" i="1"/>
  <c r="T264" i="1"/>
  <c r="T226" i="1"/>
  <c r="T224" i="1"/>
  <c r="T223" i="1"/>
  <c r="T143" i="1"/>
  <c r="T138" i="1"/>
  <c r="T283" i="1"/>
  <c r="T266" i="1"/>
  <c r="T282" i="1"/>
  <c r="C237" i="4" l="1"/>
  <c r="C215" i="5"/>
  <c r="C158" i="4"/>
  <c r="C5" i="5"/>
  <c r="C194" i="5"/>
  <c r="C157" i="4"/>
  <c r="C4" i="5"/>
  <c r="C112" i="5"/>
  <c r="C156" i="4"/>
  <c r="C2" i="5"/>
  <c r="C201" i="4"/>
  <c r="C115" i="5"/>
  <c r="C211" i="4"/>
  <c r="C155" i="5"/>
  <c r="C185" i="4"/>
  <c r="C78" i="5"/>
  <c r="C191" i="4"/>
  <c r="C90" i="5"/>
  <c r="C171" i="4"/>
  <c r="C39" i="5"/>
  <c r="C8" i="5"/>
  <c r="C161" i="4"/>
  <c r="C14" i="5"/>
  <c r="C173" i="5"/>
  <c r="C203" i="5"/>
  <c r="C165" i="5"/>
  <c r="C175" i="5"/>
  <c r="C54" i="5"/>
  <c r="C186" i="4"/>
  <c r="C80" i="5"/>
  <c r="C113" i="5"/>
  <c r="C188" i="4"/>
  <c r="C86" i="5"/>
  <c r="C91" i="5"/>
  <c r="C205" i="4"/>
  <c r="C144" i="5"/>
  <c r="C217" i="4"/>
  <c r="C171" i="5"/>
  <c r="C194" i="4"/>
  <c r="C107" i="5"/>
  <c r="C213" i="4"/>
  <c r="C157" i="5"/>
  <c r="C172" i="4"/>
  <c r="C43" i="5"/>
  <c r="C216" i="4"/>
  <c r="C166" i="5"/>
  <c r="C166" i="4"/>
  <c r="C26" i="5"/>
  <c r="C221" i="4"/>
  <c r="C182" i="5"/>
  <c r="C195" i="4"/>
  <c r="C109" i="5"/>
  <c r="C87" i="5"/>
  <c r="C32" i="5"/>
  <c r="C163" i="5"/>
  <c r="C195" i="5"/>
  <c r="C15" i="5"/>
  <c r="C191" i="5"/>
  <c r="C111" i="5"/>
  <c r="C50" i="5"/>
  <c r="C183" i="4"/>
  <c r="C72" i="5"/>
  <c r="C168" i="4"/>
  <c r="C30" i="5"/>
  <c r="C184" i="5"/>
  <c r="C147" i="5"/>
  <c r="C203" i="4"/>
  <c r="C125" i="5"/>
  <c r="C232" i="4"/>
  <c r="C201" i="5"/>
  <c r="C212" i="5"/>
  <c r="C6" i="5"/>
  <c r="C230" i="4"/>
  <c r="C196" i="5"/>
  <c r="C150" i="5"/>
  <c r="C114" i="5"/>
  <c r="C163" i="4"/>
  <c r="C17" i="5"/>
  <c r="C24" i="5"/>
  <c r="C167" i="4"/>
  <c r="C27" i="5"/>
  <c r="C202" i="5"/>
  <c r="C170" i="4"/>
  <c r="C33" i="5"/>
  <c r="C180" i="4"/>
  <c r="C64" i="5"/>
  <c r="C227" i="4"/>
  <c r="C193" i="5"/>
  <c r="C173" i="4"/>
  <c r="C47" i="5"/>
  <c r="C92" i="5"/>
  <c r="C199" i="4"/>
  <c r="C60" i="5"/>
  <c r="C122" i="5"/>
  <c r="C141" i="5"/>
  <c r="C231" i="4"/>
  <c r="C198" i="5"/>
  <c r="C184" i="4"/>
  <c r="C76" i="5"/>
  <c r="C225" i="4"/>
  <c r="C186" i="5"/>
  <c r="C207" i="4"/>
  <c r="C149" i="5"/>
  <c r="C182" i="4"/>
  <c r="C71" i="5"/>
  <c r="C165" i="4"/>
  <c r="C25" i="5"/>
  <c r="C185" i="5"/>
  <c r="C210" i="4"/>
  <c r="C152" i="5"/>
  <c r="C52" i="5"/>
  <c r="C179" i="4"/>
  <c r="C61" i="5"/>
  <c r="C183" i="5"/>
  <c r="C65" i="5"/>
  <c r="C168" i="5"/>
  <c r="C36" i="4"/>
  <c r="C170" i="5"/>
  <c r="C226" i="4"/>
  <c r="C162" i="4"/>
  <c r="C192" i="4"/>
  <c r="C224" i="4"/>
  <c r="C176" i="4"/>
  <c r="C169" i="4"/>
  <c r="C215" i="4"/>
  <c r="C208" i="4"/>
  <c r="C214" i="4"/>
  <c r="C229" i="4"/>
  <c r="C198" i="4"/>
  <c r="C189" i="4"/>
  <c r="C219" i="4"/>
  <c r="C193" i="4"/>
  <c r="C228" i="4"/>
  <c r="C200" i="4"/>
  <c r="C204" i="4"/>
  <c r="C218" i="4"/>
  <c r="C234" i="4"/>
  <c r="C178" i="4"/>
  <c r="C202" i="4"/>
  <c r="C177" i="4"/>
  <c r="C34" i="4"/>
  <c r="C159" i="4"/>
  <c r="C160" i="4"/>
  <c r="Q283" i="1"/>
  <c r="U283" i="1" s="1"/>
  <c r="Q282" i="1"/>
  <c r="U282" i="1" s="1"/>
  <c r="Q281" i="1"/>
  <c r="U281" i="1" s="1"/>
  <c r="Q280" i="1"/>
  <c r="Q279" i="1"/>
  <c r="Q278" i="1"/>
  <c r="Q277" i="1"/>
  <c r="Q276" i="1"/>
  <c r="Q275" i="1"/>
  <c r="Q267" i="1"/>
  <c r="Q266" i="1"/>
  <c r="U266" i="1" s="1"/>
  <c r="Q265" i="1"/>
  <c r="Q264" i="1"/>
  <c r="U264" i="1" s="1"/>
  <c r="Q263" i="1"/>
  <c r="U263" i="1" s="1"/>
  <c r="Q262" i="1"/>
  <c r="Q261" i="1"/>
  <c r="Q260" i="1"/>
  <c r="U260" i="1" s="1"/>
  <c r="Q259" i="1"/>
  <c r="U259" i="1" s="1"/>
  <c r="Q258" i="1"/>
  <c r="Q257" i="1"/>
  <c r="Q256" i="1"/>
  <c r="Q255" i="1"/>
  <c r="Q254" i="1"/>
  <c r="Q253" i="1"/>
  <c r="Q252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27" i="1"/>
  <c r="U227" i="1" s="1"/>
  <c r="Q226" i="1"/>
  <c r="U226" i="1" s="1"/>
  <c r="Q225" i="1"/>
  <c r="Q224" i="1"/>
  <c r="U224" i="1" s="1"/>
  <c r="Q223" i="1"/>
  <c r="U223" i="1" s="1"/>
  <c r="Q222" i="1"/>
  <c r="Q221" i="1"/>
  <c r="Q220" i="1"/>
  <c r="Q219" i="1"/>
  <c r="Q218" i="1"/>
  <c r="Q217" i="1"/>
  <c r="Q216" i="1"/>
  <c r="Q208" i="1"/>
  <c r="Q207" i="1"/>
  <c r="Q200" i="1"/>
  <c r="U200" i="1" s="1"/>
  <c r="Q199" i="1"/>
  <c r="U199" i="1" s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U158" i="1" s="1"/>
  <c r="Q157" i="1"/>
  <c r="U157" i="1" s="1"/>
  <c r="Q156" i="1"/>
  <c r="U156" i="1" s="1"/>
  <c r="Q155" i="1"/>
  <c r="U155" i="1" s="1"/>
  <c r="Q154" i="1"/>
  <c r="U154" i="1" s="1"/>
  <c r="Q153" i="1"/>
  <c r="U153" i="1" s="1"/>
  <c r="Q152" i="1"/>
  <c r="U152" i="1" s="1"/>
  <c r="Q151" i="1"/>
  <c r="U151" i="1" s="1"/>
  <c r="Q143" i="1"/>
  <c r="U143" i="1" s="1"/>
  <c r="Q142" i="1"/>
  <c r="U142" i="1" s="1"/>
  <c r="Q141" i="1"/>
  <c r="U141" i="1" s="1"/>
  <c r="Q140" i="1"/>
  <c r="U140" i="1" s="1"/>
  <c r="Q139" i="1"/>
  <c r="U139" i="1" s="1"/>
  <c r="Q138" i="1"/>
  <c r="U138" i="1" s="1"/>
  <c r="Q137" i="1"/>
  <c r="U137" i="1" s="1"/>
  <c r="Q136" i="1"/>
  <c r="U136" i="1" s="1"/>
  <c r="Q135" i="1"/>
  <c r="U135" i="1" s="1"/>
  <c r="Q134" i="1"/>
  <c r="U134" i="1" s="1"/>
  <c r="Q133" i="1"/>
  <c r="U133" i="1" s="1"/>
  <c r="Q132" i="1"/>
  <c r="U132" i="1" s="1"/>
  <c r="Q131" i="1"/>
  <c r="U131" i="1" s="1"/>
  <c r="Q130" i="1"/>
  <c r="U130" i="1" s="1"/>
  <c r="Q129" i="1"/>
  <c r="U129" i="1" s="1"/>
  <c r="Q128" i="1"/>
  <c r="U128" i="1" s="1"/>
  <c r="Q127" i="1"/>
  <c r="U127" i="1" s="1"/>
  <c r="Q126" i="1"/>
  <c r="U126" i="1" s="1"/>
  <c r="Q125" i="1"/>
  <c r="U125" i="1" s="1"/>
  <c r="Q124" i="1"/>
  <c r="U124" i="1" s="1"/>
  <c r="Q123" i="1"/>
  <c r="U123" i="1" s="1"/>
  <c r="Q122" i="1"/>
  <c r="U122" i="1" s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U59" i="1" s="1"/>
  <c r="Q58" i="1"/>
  <c r="U58" i="1" s="1"/>
  <c r="Q57" i="1"/>
  <c r="U57" i="1" s="1"/>
  <c r="Q56" i="1"/>
  <c r="U56" i="1" s="1"/>
  <c r="Q55" i="1"/>
  <c r="U55" i="1" s="1"/>
  <c r="Q54" i="1"/>
  <c r="U54" i="1" s="1"/>
  <c r="Q53" i="1"/>
  <c r="U53" i="1" s="1"/>
  <c r="Q52" i="1"/>
  <c r="U52" i="1" s="1"/>
  <c r="Q51" i="1"/>
  <c r="U51" i="1" s="1"/>
  <c r="Q50" i="1"/>
  <c r="U50" i="1" s="1"/>
  <c r="Q49" i="1"/>
  <c r="U49" i="1" s="1"/>
  <c r="Q48" i="1"/>
  <c r="U48" i="1" s="1"/>
  <c r="Q47" i="1"/>
  <c r="U47" i="1" s="1"/>
  <c r="Q46" i="1"/>
  <c r="U46" i="1" s="1"/>
  <c r="Q45" i="1"/>
  <c r="U45" i="1" s="1"/>
  <c r="Q44" i="1"/>
  <c r="U44" i="1" s="1"/>
  <c r="Q43" i="1"/>
  <c r="U43" i="1" s="1"/>
  <c r="Q42" i="1"/>
  <c r="U42" i="1" s="1"/>
  <c r="Q41" i="1"/>
  <c r="U41" i="1" s="1"/>
  <c r="Q40" i="1"/>
  <c r="U40" i="1" s="1"/>
  <c r="Q39" i="1"/>
  <c r="U39" i="1" s="1"/>
  <c r="Q38" i="1"/>
  <c r="U38" i="1" s="1"/>
  <c r="Q37" i="1"/>
  <c r="U37" i="1" s="1"/>
  <c r="Q36" i="1"/>
  <c r="U36" i="1" s="1"/>
  <c r="Q35" i="1"/>
  <c r="U35" i="1" s="1"/>
  <c r="Q34" i="1"/>
  <c r="U34" i="1" s="1"/>
  <c r="Q33" i="1"/>
  <c r="U33" i="1" s="1"/>
  <c r="Q32" i="1"/>
  <c r="U32" i="1" s="1"/>
  <c r="Q31" i="1"/>
  <c r="U31" i="1" s="1"/>
  <c r="Q30" i="1"/>
  <c r="U30" i="1" s="1"/>
  <c r="Q29" i="1"/>
  <c r="U29" i="1" s="1"/>
  <c r="Q28" i="1"/>
  <c r="U28" i="1" s="1"/>
  <c r="Q27" i="1"/>
  <c r="Q26" i="1"/>
  <c r="U26" i="1" s="1"/>
  <c r="Q25" i="1"/>
  <c r="U25" i="1" s="1"/>
  <c r="Q24" i="1"/>
  <c r="U24" i="1" s="1"/>
  <c r="Q23" i="1"/>
  <c r="Q22" i="1"/>
  <c r="Q21" i="1"/>
  <c r="Q20" i="1"/>
  <c r="Q19" i="1"/>
  <c r="Q18" i="1"/>
  <c r="Q17" i="1"/>
  <c r="U17" i="1" s="1"/>
  <c r="Q16" i="1"/>
  <c r="U16" i="1" s="1"/>
  <c r="Q15" i="1"/>
  <c r="U15" i="1" s="1"/>
  <c r="Q14" i="1"/>
  <c r="U14" i="1" s="1"/>
  <c r="Q13" i="1"/>
  <c r="U13" i="1" s="1"/>
  <c r="Q12" i="1"/>
  <c r="Q11" i="1"/>
  <c r="Q10" i="1"/>
  <c r="Q9" i="1"/>
  <c r="Q8" i="1"/>
  <c r="Q7" i="1"/>
  <c r="Q6" i="1"/>
  <c r="Q5" i="1"/>
  <c r="D171" i="4" l="1"/>
  <c r="D39" i="5"/>
  <c r="D203" i="4"/>
  <c r="D125" i="5"/>
  <c r="D172" i="4"/>
  <c r="D43" i="5"/>
  <c r="D233" i="4"/>
  <c r="D202" i="5"/>
  <c r="D206" i="4"/>
  <c r="D147" i="5"/>
  <c r="D213" i="4"/>
  <c r="D157" i="5"/>
  <c r="D210" i="4"/>
  <c r="D152" i="5"/>
  <c r="D191" i="4"/>
  <c r="D90" i="5"/>
  <c r="D223" i="4"/>
  <c r="D184" i="5"/>
  <c r="D194" i="4"/>
  <c r="D107" i="5"/>
  <c r="D224" i="4"/>
  <c r="D185" i="5"/>
  <c r="D167" i="4"/>
  <c r="D27" i="5"/>
  <c r="D168" i="4"/>
  <c r="D30" i="5"/>
  <c r="D217" i="4"/>
  <c r="D171" i="5"/>
  <c r="D165" i="4"/>
  <c r="D25" i="5"/>
  <c r="D185" i="4"/>
  <c r="D78" i="5"/>
  <c r="D173" i="4"/>
  <c r="D47" i="5"/>
  <c r="D231" i="4"/>
  <c r="D198" i="5"/>
  <c r="D227" i="4"/>
  <c r="D193" i="5"/>
  <c r="D156" i="4"/>
  <c r="D2" i="5"/>
  <c r="D228" i="4"/>
  <c r="D194" i="5"/>
  <c r="D169" i="4"/>
  <c r="D32" i="5"/>
  <c r="D177" i="4"/>
  <c r="D54" i="5"/>
  <c r="D234" i="4"/>
  <c r="D203" i="5"/>
  <c r="D193" i="4"/>
  <c r="D92" i="5"/>
  <c r="D204" i="4"/>
  <c r="D141" i="5"/>
  <c r="D208" i="4"/>
  <c r="D150" i="5"/>
  <c r="D198" i="4"/>
  <c r="D112" i="5"/>
  <c r="D189" i="4"/>
  <c r="D87" i="5"/>
  <c r="D218" i="4"/>
  <c r="D173" i="5"/>
  <c r="D229" i="4"/>
  <c r="D195" i="5"/>
  <c r="D219" i="4"/>
  <c r="D175" i="5"/>
  <c r="D202" i="4"/>
  <c r="D122" i="5"/>
  <c r="D200" i="4"/>
  <c r="D114" i="5"/>
  <c r="D221" i="4"/>
  <c r="D182" i="5"/>
  <c r="D214" i="4"/>
  <c r="D163" i="5"/>
  <c r="D215" i="4"/>
  <c r="D165" i="5"/>
  <c r="D178" i="4"/>
  <c r="D60" i="5"/>
  <c r="D181" i="4"/>
  <c r="D65" i="5"/>
  <c r="D230" i="4"/>
  <c r="D196" i="5"/>
  <c r="D160" i="4"/>
  <c r="D8" i="5"/>
  <c r="D180" i="4"/>
  <c r="D64" i="5"/>
  <c r="D175" i="4"/>
  <c r="D51" i="5"/>
  <c r="D235" i="4"/>
  <c r="D206" i="5"/>
  <c r="D190" i="4"/>
  <c r="D88" i="5"/>
  <c r="D212" i="4"/>
  <c r="D156" i="5"/>
  <c r="D209" i="4"/>
  <c r="D151" i="5"/>
  <c r="D196" i="4"/>
  <c r="D110" i="5"/>
  <c r="D187" i="4"/>
  <c r="D85" i="5"/>
  <c r="D220" i="4"/>
  <c r="D181" i="5"/>
  <c r="D236" i="4"/>
  <c r="D212" i="5"/>
  <c r="D166" i="4"/>
  <c r="D26" i="5"/>
  <c r="D222" i="4"/>
  <c r="D183" i="5"/>
  <c r="D170" i="4"/>
  <c r="D33" i="5"/>
  <c r="D232" i="4"/>
  <c r="D201" i="5"/>
  <c r="D237" i="4"/>
  <c r="D215" i="5"/>
  <c r="D216" i="4"/>
  <c r="D166" i="5"/>
  <c r="D179" i="4"/>
  <c r="D61" i="5"/>
  <c r="D195" i="4"/>
  <c r="D109" i="5"/>
  <c r="D176" i="4"/>
  <c r="D52" i="5"/>
  <c r="D183" i="4"/>
  <c r="D72" i="5"/>
  <c r="D205" i="4"/>
  <c r="D144" i="5"/>
  <c r="D182" i="4"/>
  <c r="D71" i="5"/>
  <c r="D164" i="4"/>
  <c r="D24" i="5"/>
  <c r="D174" i="4"/>
  <c r="D50" i="5"/>
  <c r="D192" i="4"/>
  <c r="D91" i="5"/>
  <c r="D207" i="4"/>
  <c r="D149" i="5"/>
  <c r="D211" i="4"/>
  <c r="D155" i="5"/>
  <c r="D197" i="4"/>
  <c r="D111" i="5"/>
  <c r="D188" i="4"/>
  <c r="D86" i="5"/>
  <c r="D225" i="4"/>
  <c r="D186" i="5"/>
  <c r="D201" i="4"/>
  <c r="D115" i="5"/>
  <c r="D226" i="4"/>
  <c r="D191" i="5"/>
  <c r="D199" i="4"/>
  <c r="D113" i="5"/>
  <c r="D184" i="4"/>
  <c r="D76" i="5"/>
  <c r="D163" i="4"/>
  <c r="D17" i="5"/>
  <c r="D162" i="4"/>
  <c r="D15" i="5"/>
  <c r="D186" i="4"/>
  <c r="D80" i="5"/>
  <c r="D161" i="4"/>
  <c r="D14" i="5"/>
  <c r="D157" i="4"/>
  <c r="D4" i="5"/>
  <c r="D158" i="4"/>
  <c r="D5" i="5"/>
  <c r="D159" i="4"/>
  <c r="D6" i="5"/>
  <c r="D34" i="4"/>
  <c r="D168" i="5"/>
  <c r="D36" i="4"/>
  <c r="D170" i="5"/>
  <c r="S207" i="1"/>
  <c r="S208" i="1"/>
  <c r="BX208" i="1" l="1"/>
  <c r="BJ208" i="1"/>
  <c r="AV208" i="1"/>
  <c r="BX207" i="1"/>
  <c r="AV207" i="1"/>
  <c r="BJ207" i="1"/>
  <c r="T207" i="1"/>
  <c r="T208" i="1"/>
  <c r="T275" i="1"/>
  <c r="T262" i="1"/>
  <c r="T261" i="1"/>
  <c r="Z258" i="1"/>
  <c r="S258" i="1" s="1"/>
  <c r="Z257" i="1"/>
  <c r="S257" i="1" s="1"/>
  <c r="Z256" i="1"/>
  <c r="S256" i="1" s="1"/>
  <c r="Z255" i="1"/>
  <c r="S255" i="1" s="1"/>
  <c r="S252" i="1"/>
  <c r="Z251" i="1"/>
  <c r="S251" i="1" s="1"/>
  <c r="Z250" i="1"/>
  <c r="S250" i="1" s="1"/>
  <c r="Z249" i="1"/>
  <c r="S249" i="1" s="1"/>
  <c r="Z248" i="1"/>
  <c r="S248" i="1" s="1"/>
  <c r="Z247" i="1"/>
  <c r="S247" i="1" s="1"/>
  <c r="CD207" i="1" l="1"/>
  <c r="BY207" i="1"/>
  <c r="CD208" i="1"/>
  <c r="BY208" i="1"/>
  <c r="BP207" i="1"/>
  <c r="BK207" i="1"/>
  <c r="BP208" i="1"/>
  <c r="BK208" i="1"/>
  <c r="BB207" i="1"/>
  <c r="AW207" i="1"/>
  <c r="BB208" i="1"/>
  <c r="AW208" i="1"/>
  <c r="C81" i="5"/>
  <c r="C135" i="4"/>
  <c r="U208" i="1"/>
  <c r="D134" i="4" s="1"/>
  <c r="AA247" i="1"/>
  <c r="AI247" i="1" s="1"/>
  <c r="C134" i="4"/>
  <c r="C82" i="5"/>
  <c r="AA249" i="1"/>
  <c r="AI249" i="1" s="1"/>
  <c r="U207" i="1"/>
  <c r="D81" i="5" s="1"/>
  <c r="AV209" i="1"/>
  <c r="AK208" i="1"/>
  <c r="BX209" i="1"/>
  <c r="AA248" i="1"/>
  <c r="AI248" i="1" s="1"/>
  <c r="AA250" i="1"/>
  <c r="AI250" i="1" s="1"/>
  <c r="BJ209" i="1"/>
  <c r="BK209" i="1" s="1"/>
  <c r="C59" i="5"/>
  <c r="C9" i="5"/>
  <c r="C146" i="5"/>
  <c r="C114" i="4"/>
  <c r="U275" i="1"/>
  <c r="C147" i="4"/>
  <c r="U261" i="1"/>
  <c r="C143" i="4"/>
  <c r="U262" i="1"/>
  <c r="BX210" i="1" l="1"/>
  <c r="BY209" i="1"/>
  <c r="BJ210" i="1"/>
  <c r="AV210" i="1"/>
  <c r="AW209" i="1"/>
  <c r="D135" i="4"/>
  <c r="D82" i="5"/>
  <c r="D114" i="4"/>
  <c r="D146" i="5"/>
  <c r="D143" i="4"/>
  <c r="D9" i="5"/>
  <c r="D147" i="4"/>
  <c r="D59" i="5"/>
  <c r="Z191" i="1"/>
  <c r="S191" i="1" s="1"/>
  <c r="AV191" i="1" l="1"/>
  <c r="BX191" i="1"/>
  <c r="BJ191" i="1"/>
  <c r="AB191" i="1"/>
  <c r="AD191" i="1" s="1"/>
  <c r="AA191" i="1"/>
  <c r="AF191" i="1"/>
  <c r="AI191" i="1" s="1"/>
  <c r="T191" i="1"/>
  <c r="D33" i="3"/>
  <c r="D36" i="3"/>
  <c r="Z244" i="1"/>
  <c r="S244" i="1" s="1"/>
  <c r="Z243" i="1"/>
  <c r="S243" i="1" s="1"/>
  <c r="Z246" i="1"/>
  <c r="S246" i="1" s="1"/>
  <c r="Z245" i="1"/>
  <c r="S245" i="1" s="1"/>
  <c r="CD191" i="1" l="1"/>
  <c r="BY191" i="1"/>
  <c r="BB191" i="1"/>
  <c r="AW191" i="1"/>
  <c r="J31" i="3"/>
  <c r="R251" i="1" s="1"/>
  <c r="BX251" i="1" s="1"/>
  <c r="L31" i="3"/>
  <c r="BP191" i="1"/>
  <c r="BK191" i="1"/>
  <c r="AV243" i="1"/>
  <c r="BJ243" i="1"/>
  <c r="BX243" i="1"/>
  <c r="AV244" i="1"/>
  <c r="BJ244" i="1"/>
  <c r="BX244" i="1"/>
  <c r="R246" i="1"/>
  <c r="BX246" i="1" s="1"/>
  <c r="R245" i="1"/>
  <c r="BX245" i="1" s="1"/>
  <c r="R265" i="1"/>
  <c r="BX265" i="1" s="1"/>
  <c r="R256" i="1"/>
  <c r="BX256" i="1" s="1"/>
  <c r="R252" i="1"/>
  <c r="BX252" i="1" s="1"/>
  <c r="R248" i="1"/>
  <c r="BX248" i="1" s="1"/>
  <c r="R250" i="1"/>
  <c r="BX250" i="1" s="1"/>
  <c r="R255" i="1"/>
  <c r="BX255" i="1" s="1"/>
  <c r="R247" i="1"/>
  <c r="BX247" i="1" s="1"/>
  <c r="R254" i="1"/>
  <c r="BX254" i="1" s="1"/>
  <c r="R267" i="1"/>
  <c r="BX267" i="1" s="1"/>
  <c r="R257" i="1"/>
  <c r="BX257" i="1" s="1"/>
  <c r="R253" i="1"/>
  <c r="BX253" i="1" s="1"/>
  <c r="R249" i="1"/>
  <c r="BX249" i="1" s="1"/>
  <c r="R258" i="1"/>
  <c r="BX258" i="1" s="1"/>
  <c r="AH246" i="1"/>
  <c r="AI246" i="1" s="1"/>
  <c r="T243" i="1"/>
  <c r="AH243" i="1"/>
  <c r="AI243" i="1" s="1"/>
  <c r="T244" i="1"/>
  <c r="AH244" i="1"/>
  <c r="AI244" i="1" s="1"/>
  <c r="AH245" i="1"/>
  <c r="AI245" i="1" s="1"/>
  <c r="C6" i="4"/>
  <c r="C231" i="5"/>
  <c r="AC191" i="1"/>
  <c r="AE191" i="1" s="1"/>
  <c r="AH191" i="1" s="1"/>
  <c r="AJ191" i="1" s="1"/>
  <c r="U191" i="1"/>
  <c r="D6" i="4" s="1"/>
  <c r="Z190" i="1"/>
  <c r="S190" i="1" s="1"/>
  <c r="Z188" i="1"/>
  <c r="S188" i="1" s="1"/>
  <c r="Z187" i="1"/>
  <c r="S187" i="1" s="1"/>
  <c r="Z189" i="1"/>
  <c r="S189" i="1" s="1"/>
  <c r="Z186" i="1"/>
  <c r="S186" i="1" s="1"/>
  <c r="Z185" i="1"/>
  <c r="S185" i="1" s="1"/>
  <c r="Z184" i="1"/>
  <c r="S184" i="1" s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Z7" i="1"/>
  <c r="S7" i="1" s="1"/>
  <c r="Z8" i="1"/>
  <c r="S8" i="1" s="1"/>
  <c r="Z27" i="1"/>
  <c r="S27" i="1" s="1"/>
  <c r="Z23" i="1"/>
  <c r="S23" i="1" s="1"/>
  <c r="Z22" i="1"/>
  <c r="S22" i="1" s="1"/>
  <c r="Z21" i="1"/>
  <c r="S21" i="1" s="1"/>
  <c r="Z12" i="1"/>
  <c r="S12" i="1" s="1"/>
  <c r="Z11" i="1"/>
  <c r="S11" i="1" s="1"/>
  <c r="Z10" i="1"/>
  <c r="S10" i="1" s="1"/>
  <c r="Z9" i="1"/>
  <c r="S9" i="1" s="1"/>
  <c r="Z6" i="1"/>
  <c r="S6" i="1" s="1"/>
  <c r="Z5" i="1"/>
  <c r="S5" i="1" s="1"/>
  <c r="CD243" i="1" l="1"/>
  <c r="BY243" i="1"/>
  <c r="BB244" i="1"/>
  <c r="AW244" i="1"/>
  <c r="CD244" i="1"/>
  <c r="BY244" i="1"/>
  <c r="BP243" i="1"/>
  <c r="BK243" i="1"/>
  <c r="BP244" i="1"/>
  <c r="BK244" i="1"/>
  <c r="BB243" i="1"/>
  <c r="AW243" i="1"/>
  <c r="CD247" i="1"/>
  <c r="BY247" i="1"/>
  <c r="CD252" i="1"/>
  <c r="BY252" i="1"/>
  <c r="CD257" i="1"/>
  <c r="BY257" i="1"/>
  <c r="CD256" i="1"/>
  <c r="BY256" i="1"/>
  <c r="CD258" i="1"/>
  <c r="BY258" i="1"/>
  <c r="CD267" i="1"/>
  <c r="BY267" i="1"/>
  <c r="CD250" i="1"/>
  <c r="BY250" i="1"/>
  <c r="CD265" i="1"/>
  <c r="BY265" i="1"/>
  <c r="CD253" i="1"/>
  <c r="BY253" i="1"/>
  <c r="CD246" i="1"/>
  <c r="BY246" i="1"/>
  <c r="CD255" i="1"/>
  <c r="BY255" i="1"/>
  <c r="CD251" i="1"/>
  <c r="BY251" i="1"/>
  <c r="CD249" i="1"/>
  <c r="BY249" i="1"/>
  <c r="CD254" i="1"/>
  <c r="BY254" i="1"/>
  <c r="CD248" i="1"/>
  <c r="BY248" i="1"/>
  <c r="CD245" i="1"/>
  <c r="BY245" i="1"/>
  <c r="BJ27" i="1"/>
  <c r="AV27" i="1"/>
  <c r="BX27" i="1"/>
  <c r="BJ173" i="1"/>
  <c r="BX173" i="1"/>
  <c r="AV173" i="1"/>
  <c r="BJ181" i="1"/>
  <c r="AV181" i="1"/>
  <c r="BX181" i="1"/>
  <c r="BJ188" i="1"/>
  <c r="AV188" i="1"/>
  <c r="BX188" i="1"/>
  <c r="BJ9" i="1"/>
  <c r="BX9" i="1"/>
  <c r="AV9" i="1"/>
  <c r="AV8" i="1"/>
  <c r="BJ8" i="1"/>
  <c r="BX8" i="1"/>
  <c r="AV174" i="1"/>
  <c r="BX174" i="1"/>
  <c r="BJ174" i="1"/>
  <c r="AV10" i="1"/>
  <c r="BJ10" i="1"/>
  <c r="BX10" i="1"/>
  <c r="BJ22" i="1"/>
  <c r="BX22" i="1"/>
  <c r="AV22" i="1"/>
  <c r="BJ7" i="1"/>
  <c r="AV7" i="1"/>
  <c r="BX7" i="1"/>
  <c r="BJ171" i="1"/>
  <c r="AV171" i="1"/>
  <c r="BX171" i="1"/>
  <c r="BJ175" i="1"/>
  <c r="AV175" i="1"/>
  <c r="BX175" i="1"/>
  <c r="BJ179" i="1"/>
  <c r="BX179" i="1"/>
  <c r="AV179" i="1"/>
  <c r="BJ183" i="1"/>
  <c r="BX183" i="1"/>
  <c r="AV183" i="1"/>
  <c r="BJ189" i="1"/>
  <c r="AV189" i="1"/>
  <c r="BX189" i="1"/>
  <c r="AV5" i="1"/>
  <c r="BX5" i="1"/>
  <c r="BJ5" i="1"/>
  <c r="AV11" i="1"/>
  <c r="BX11" i="1"/>
  <c r="BJ11" i="1"/>
  <c r="AV23" i="1"/>
  <c r="BX23" i="1"/>
  <c r="BJ23" i="1"/>
  <c r="AV172" i="1"/>
  <c r="BJ172" i="1"/>
  <c r="BX172" i="1"/>
  <c r="AV176" i="1"/>
  <c r="BJ176" i="1"/>
  <c r="BX176" i="1"/>
  <c r="AV180" i="1"/>
  <c r="BJ180" i="1"/>
  <c r="BX180" i="1"/>
  <c r="BX184" i="1"/>
  <c r="AV184" i="1"/>
  <c r="BJ184" i="1"/>
  <c r="BJ187" i="1"/>
  <c r="BX187" i="1"/>
  <c r="AV187" i="1"/>
  <c r="AV6" i="1"/>
  <c r="BJ6" i="1"/>
  <c r="BX6" i="1"/>
  <c r="BX12" i="1"/>
  <c r="AV12" i="1"/>
  <c r="BJ12" i="1"/>
  <c r="BJ169" i="1"/>
  <c r="BX169" i="1"/>
  <c r="AV169" i="1"/>
  <c r="BJ177" i="1"/>
  <c r="AV177" i="1"/>
  <c r="BX177" i="1"/>
  <c r="BJ185" i="1"/>
  <c r="BX185" i="1"/>
  <c r="AV185" i="1"/>
  <c r="BJ21" i="1"/>
  <c r="AV21" i="1"/>
  <c r="BX21" i="1"/>
  <c r="BX170" i="1"/>
  <c r="BJ170" i="1"/>
  <c r="AV170" i="1"/>
  <c r="BJ178" i="1"/>
  <c r="BX178" i="1"/>
  <c r="AV178" i="1"/>
  <c r="AV182" i="1"/>
  <c r="BJ182" i="1"/>
  <c r="BX182" i="1"/>
  <c r="AV186" i="1"/>
  <c r="BJ186" i="1"/>
  <c r="BX186" i="1"/>
  <c r="BX190" i="1"/>
  <c r="AV190" i="1"/>
  <c r="BJ190" i="1"/>
  <c r="BJ267" i="1"/>
  <c r="AV267" i="1"/>
  <c r="AV265" i="1"/>
  <c r="BJ265" i="1"/>
  <c r="BJ249" i="1"/>
  <c r="AV249" i="1"/>
  <c r="AV245" i="1"/>
  <c r="BJ245" i="1"/>
  <c r="BJ253" i="1"/>
  <c r="AV253" i="1"/>
  <c r="BJ247" i="1"/>
  <c r="AV247" i="1"/>
  <c r="BJ252" i="1"/>
  <c r="AV252" i="1"/>
  <c r="AW252" i="1" s="1"/>
  <c r="BJ246" i="1"/>
  <c r="AV246" i="1"/>
  <c r="BJ258" i="1"/>
  <c r="AV258" i="1"/>
  <c r="BJ250" i="1"/>
  <c r="AV250" i="1"/>
  <c r="BJ254" i="1"/>
  <c r="AV254" i="1"/>
  <c r="BJ248" i="1"/>
  <c r="AV248" i="1"/>
  <c r="BJ257" i="1"/>
  <c r="AV257" i="1"/>
  <c r="BJ255" i="1"/>
  <c r="AV255" i="1"/>
  <c r="BJ256" i="1"/>
  <c r="AV256" i="1"/>
  <c r="BJ251" i="1"/>
  <c r="AV251" i="1"/>
  <c r="C150" i="4"/>
  <c r="T258" i="1"/>
  <c r="AD258" i="1"/>
  <c r="T267" i="1"/>
  <c r="AD267" i="1"/>
  <c r="T250" i="1"/>
  <c r="AD250" i="1"/>
  <c r="T265" i="1"/>
  <c r="AD265" i="1"/>
  <c r="T249" i="1"/>
  <c r="AD249" i="1"/>
  <c r="T254" i="1"/>
  <c r="AD254" i="1"/>
  <c r="AD245" i="1"/>
  <c r="T245" i="1"/>
  <c r="C222" i="5" s="1"/>
  <c r="T253" i="1"/>
  <c r="AD253" i="1"/>
  <c r="T247" i="1"/>
  <c r="AD247" i="1"/>
  <c r="T252" i="1"/>
  <c r="AD252" i="1"/>
  <c r="AD246" i="1"/>
  <c r="T246" i="1"/>
  <c r="T248" i="1"/>
  <c r="AD248" i="1"/>
  <c r="T257" i="1"/>
  <c r="AD257" i="1"/>
  <c r="T255" i="1"/>
  <c r="AD255" i="1"/>
  <c r="T256" i="1"/>
  <c r="AD256" i="1"/>
  <c r="AD251" i="1"/>
  <c r="T251" i="1"/>
  <c r="C211" i="5"/>
  <c r="U243" i="1"/>
  <c r="D150" i="4" s="1"/>
  <c r="C128" i="4"/>
  <c r="C219" i="5"/>
  <c r="U244" i="1"/>
  <c r="D211" i="5" s="1"/>
  <c r="AC169" i="1"/>
  <c r="AB169" i="1"/>
  <c r="AJ169" i="1"/>
  <c r="AI169" i="1"/>
  <c r="AC173" i="1"/>
  <c r="AB173" i="1"/>
  <c r="AI173" i="1"/>
  <c r="AJ173" i="1"/>
  <c r="AC177" i="1"/>
  <c r="AB177" i="1"/>
  <c r="AJ177" i="1"/>
  <c r="AI177" i="1"/>
  <c r="AC181" i="1"/>
  <c r="AB181" i="1"/>
  <c r="AJ181" i="1"/>
  <c r="AI181" i="1"/>
  <c r="AB170" i="1"/>
  <c r="AJ170" i="1"/>
  <c r="AC170" i="1"/>
  <c r="AI170" i="1"/>
  <c r="AB174" i="1"/>
  <c r="AJ174" i="1"/>
  <c r="AC174" i="1"/>
  <c r="AI174" i="1"/>
  <c r="AB178" i="1"/>
  <c r="AJ178" i="1"/>
  <c r="AC178" i="1"/>
  <c r="AI178" i="1"/>
  <c r="AB182" i="1"/>
  <c r="AJ182" i="1"/>
  <c r="AI182" i="1"/>
  <c r="AC182" i="1"/>
  <c r="AJ171" i="1"/>
  <c r="AI171" i="1"/>
  <c r="AB171" i="1"/>
  <c r="AC171" i="1"/>
  <c r="AJ175" i="1"/>
  <c r="AI175" i="1"/>
  <c r="AC175" i="1"/>
  <c r="AB175" i="1"/>
  <c r="AJ179" i="1"/>
  <c r="AI179" i="1"/>
  <c r="AB179" i="1"/>
  <c r="AC179" i="1"/>
  <c r="AJ183" i="1"/>
  <c r="AI183" i="1"/>
  <c r="AC183" i="1"/>
  <c r="AB183" i="1"/>
  <c r="AI172" i="1"/>
  <c r="AC172" i="1"/>
  <c r="AJ172" i="1"/>
  <c r="AB172" i="1"/>
  <c r="AI176" i="1"/>
  <c r="AC176" i="1"/>
  <c r="AB176" i="1"/>
  <c r="AJ176" i="1"/>
  <c r="AI180" i="1"/>
  <c r="AC180" i="1"/>
  <c r="AJ180" i="1"/>
  <c r="AB180" i="1"/>
  <c r="D231" i="5"/>
  <c r="AF11" i="1"/>
  <c r="AI11" i="1" s="1"/>
  <c r="AA11" i="1"/>
  <c r="AB11" i="1"/>
  <c r="AD11" i="1" s="1"/>
  <c r="AA187" i="1"/>
  <c r="AB187" i="1"/>
  <c r="AD187" i="1" s="1"/>
  <c r="AF187" i="1"/>
  <c r="AI187" i="1" s="1"/>
  <c r="AA6" i="1"/>
  <c r="AF6" i="1"/>
  <c r="AI6" i="1" s="1"/>
  <c r="AB6" i="1"/>
  <c r="AD6" i="1" s="1"/>
  <c r="AF12" i="1"/>
  <c r="AI12" i="1" s="1"/>
  <c r="AB12" i="1"/>
  <c r="AD12" i="1" s="1"/>
  <c r="AA12" i="1"/>
  <c r="AF27" i="1"/>
  <c r="AI27" i="1" s="1"/>
  <c r="AB27" i="1"/>
  <c r="AD27" i="1" s="1"/>
  <c r="AA27" i="1"/>
  <c r="AF185" i="1"/>
  <c r="AI185" i="1" s="1"/>
  <c r="AA185" i="1"/>
  <c r="AB185" i="1"/>
  <c r="AD185" i="1" s="1"/>
  <c r="AB188" i="1"/>
  <c r="AD188" i="1" s="1"/>
  <c r="AF188" i="1"/>
  <c r="AI188" i="1" s="1"/>
  <c r="AA188" i="1"/>
  <c r="AA5" i="1"/>
  <c r="AB5" i="1"/>
  <c r="AD5" i="1" s="1"/>
  <c r="AF5" i="1"/>
  <c r="AI5" i="1" s="1"/>
  <c r="AB8" i="1"/>
  <c r="AD8" i="1" s="1"/>
  <c r="AA8" i="1"/>
  <c r="AF8" i="1"/>
  <c r="AI8" i="1" s="1"/>
  <c r="AB186" i="1"/>
  <c r="AD186" i="1" s="1"/>
  <c r="AA186" i="1"/>
  <c r="AF186" i="1"/>
  <c r="AI186" i="1" s="1"/>
  <c r="AA190" i="1"/>
  <c r="AF190" i="1"/>
  <c r="AI190" i="1" s="1"/>
  <c r="AB190" i="1"/>
  <c r="AD190" i="1" s="1"/>
  <c r="AF23" i="1"/>
  <c r="AH23" i="1" s="1"/>
  <c r="AI23" i="1" s="1"/>
  <c r="AJ23" i="1" s="1"/>
  <c r="AA23" i="1"/>
  <c r="AB184" i="1"/>
  <c r="AD184" i="1" s="1"/>
  <c r="AF184" i="1"/>
  <c r="AI184" i="1" s="1"/>
  <c r="AA184" i="1"/>
  <c r="AB9" i="1"/>
  <c r="AD9" i="1" s="1"/>
  <c r="AA9" i="1"/>
  <c r="AF9" i="1"/>
  <c r="AI9" i="1" s="1"/>
  <c r="AA21" i="1"/>
  <c r="AF21" i="1"/>
  <c r="AH21" i="1" s="1"/>
  <c r="AI21" i="1" s="1"/>
  <c r="AJ21" i="1" s="1"/>
  <c r="AA10" i="1"/>
  <c r="AB10" i="1"/>
  <c r="AD10" i="1" s="1"/>
  <c r="AF10" i="1"/>
  <c r="AI10" i="1" s="1"/>
  <c r="AF22" i="1"/>
  <c r="AH22" i="1" s="1"/>
  <c r="AI22" i="1" s="1"/>
  <c r="AJ22" i="1" s="1"/>
  <c r="AA22" i="1"/>
  <c r="AF7" i="1"/>
  <c r="AI7" i="1" s="1"/>
  <c r="AB7" i="1"/>
  <c r="AD7" i="1" s="1"/>
  <c r="AA7" i="1"/>
  <c r="AF189" i="1"/>
  <c r="AI189" i="1" s="1"/>
  <c r="AB189" i="1"/>
  <c r="AD189" i="1" s="1"/>
  <c r="AA189" i="1"/>
  <c r="AK191" i="1"/>
  <c r="T169" i="1"/>
  <c r="T173" i="1"/>
  <c r="T177" i="1"/>
  <c r="T181" i="1"/>
  <c r="T185" i="1"/>
  <c r="T188" i="1"/>
  <c r="T170" i="1"/>
  <c r="T174" i="1"/>
  <c r="T178" i="1"/>
  <c r="T182" i="1"/>
  <c r="T186" i="1"/>
  <c r="T190" i="1"/>
  <c r="T171" i="1"/>
  <c r="T175" i="1"/>
  <c r="T179" i="1"/>
  <c r="T183" i="1"/>
  <c r="T189" i="1"/>
  <c r="T172" i="1"/>
  <c r="T176" i="1"/>
  <c r="T180" i="1"/>
  <c r="T184" i="1"/>
  <c r="T187" i="1"/>
  <c r="T9" i="1"/>
  <c r="T21" i="1"/>
  <c r="T8" i="1"/>
  <c r="U170" i="1"/>
  <c r="T10" i="1"/>
  <c r="T22" i="1"/>
  <c r="T7" i="1"/>
  <c r="T5" i="1"/>
  <c r="T11" i="1"/>
  <c r="T23" i="1"/>
  <c r="T6" i="1"/>
  <c r="T12" i="1"/>
  <c r="T27" i="1"/>
  <c r="G56" i="3"/>
  <c r="F36" i="7" l="1"/>
  <c r="G36" i="7" s="1"/>
  <c r="F37" i="7"/>
  <c r="G37" i="7" s="1"/>
  <c r="F39" i="7"/>
  <c r="G39" i="7" s="1"/>
  <c r="F19" i="7"/>
  <c r="G19" i="7" s="1"/>
  <c r="F11" i="7"/>
  <c r="G11" i="7" s="1"/>
  <c r="BB190" i="1"/>
  <c r="AW190" i="1"/>
  <c r="BP170" i="1"/>
  <c r="BK170" i="1"/>
  <c r="CD169" i="1"/>
  <c r="BY169" i="1"/>
  <c r="BB184" i="1"/>
  <c r="AW184" i="1"/>
  <c r="BB23" i="1"/>
  <c r="AW23" i="1"/>
  <c r="BP183" i="1"/>
  <c r="BK183" i="1"/>
  <c r="CD174" i="1"/>
  <c r="BY174" i="1"/>
  <c r="BB8" i="1"/>
  <c r="AW8" i="1"/>
  <c r="BP173" i="1"/>
  <c r="BK173" i="1"/>
  <c r="CD190" i="1"/>
  <c r="BY190" i="1"/>
  <c r="CD182" i="1"/>
  <c r="BY182" i="1"/>
  <c r="CD178" i="1"/>
  <c r="BY178" i="1"/>
  <c r="CD170" i="1"/>
  <c r="BY170" i="1"/>
  <c r="BB185" i="1"/>
  <c r="AW185" i="1"/>
  <c r="BB177" i="1"/>
  <c r="AW177" i="1"/>
  <c r="BP169" i="1"/>
  <c r="BK169" i="1"/>
  <c r="CD6" i="1"/>
  <c r="BY6" i="1"/>
  <c r="CD187" i="1"/>
  <c r="BY187" i="1"/>
  <c r="CD184" i="1"/>
  <c r="BY184" i="1"/>
  <c r="CD176" i="1"/>
  <c r="BY176" i="1"/>
  <c r="BP172" i="1"/>
  <c r="BK172" i="1"/>
  <c r="BP11" i="1"/>
  <c r="BK11" i="1"/>
  <c r="CD5" i="1"/>
  <c r="BY5" i="1"/>
  <c r="BP189" i="1"/>
  <c r="BK189" i="1"/>
  <c r="BB179" i="1"/>
  <c r="AW179" i="1"/>
  <c r="BB175" i="1"/>
  <c r="AW175" i="1"/>
  <c r="BP171" i="1"/>
  <c r="BK171" i="1"/>
  <c r="BB22" i="1"/>
  <c r="AW22" i="1"/>
  <c r="BP10" i="1"/>
  <c r="BK10" i="1"/>
  <c r="BB174" i="1"/>
  <c r="AW174" i="1"/>
  <c r="BB9" i="1"/>
  <c r="AW9" i="1"/>
  <c r="BB188" i="1"/>
  <c r="AW188" i="1"/>
  <c r="BP181" i="1"/>
  <c r="BK181" i="1"/>
  <c r="CD27" i="1"/>
  <c r="BY27" i="1"/>
  <c r="BB178" i="1"/>
  <c r="AW178" i="1"/>
  <c r="CD177" i="1"/>
  <c r="BY177" i="1"/>
  <c r="BB187" i="1"/>
  <c r="AW187" i="1"/>
  <c r="CD172" i="1"/>
  <c r="BY172" i="1"/>
  <c r="BB189" i="1"/>
  <c r="AW189" i="1"/>
  <c r="CD175" i="1"/>
  <c r="BY175" i="1"/>
  <c r="CD10" i="1"/>
  <c r="BY10" i="1"/>
  <c r="BB181" i="1"/>
  <c r="AW181" i="1"/>
  <c r="CD186" i="1"/>
  <c r="BY186" i="1"/>
  <c r="BP182" i="1"/>
  <c r="BK182" i="1"/>
  <c r="BP178" i="1"/>
  <c r="BK178" i="1"/>
  <c r="CD21" i="1"/>
  <c r="BY21" i="1"/>
  <c r="CD185" i="1"/>
  <c r="BY185" i="1"/>
  <c r="BP177" i="1"/>
  <c r="BK177" i="1"/>
  <c r="BP12" i="1"/>
  <c r="BK12" i="1"/>
  <c r="BP6" i="1"/>
  <c r="BK6" i="1"/>
  <c r="BP187" i="1"/>
  <c r="BK187" i="1"/>
  <c r="CD180" i="1"/>
  <c r="BY180" i="1"/>
  <c r="BP176" i="1"/>
  <c r="BK176" i="1"/>
  <c r="BB172" i="1"/>
  <c r="AW172" i="1"/>
  <c r="BP23" i="1"/>
  <c r="BK23" i="1"/>
  <c r="CD11" i="1"/>
  <c r="BY11" i="1"/>
  <c r="BB5" i="1"/>
  <c r="AW5" i="1"/>
  <c r="BB183" i="1"/>
  <c r="AW183" i="1"/>
  <c r="CD179" i="1"/>
  <c r="BY179" i="1"/>
  <c r="BP175" i="1"/>
  <c r="BK175" i="1"/>
  <c r="CD7" i="1"/>
  <c r="BY7" i="1"/>
  <c r="CD22" i="1"/>
  <c r="BY22" i="1"/>
  <c r="BB10" i="1"/>
  <c r="AW10" i="1"/>
  <c r="CD8" i="1"/>
  <c r="BY8" i="1"/>
  <c r="CD9" i="1"/>
  <c r="BY9" i="1"/>
  <c r="BP188" i="1"/>
  <c r="BK188" i="1"/>
  <c r="BB173" i="1"/>
  <c r="AW173" i="1"/>
  <c r="BB27" i="1"/>
  <c r="AW27" i="1"/>
  <c r="BB186" i="1"/>
  <c r="AW186" i="1"/>
  <c r="BP21" i="1"/>
  <c r="BK21" i="1"/>
  <c r="CD12" i="1"/>
  <c r="BY12" i="1"/>
  <c r="BB180" i="1"/>
  <c r="AW180" i="1"/>
  <c r="BP5" i="1"/>
  <c r="BK5" i="1"/>
  <c r="BB171" i="1"/>
  <c r="AW171" i="1"/>
  <c r="BP7" i="1"/>
  <c r="BK7" i="1"/>
  <c r="CD188" i="1"/>
  <c r="BY188" i="1"/>
  <c r="BP190" i="1"/>
  <c r="BK190" i="1"/>
  <c r="BP186" i="1"/>
  <c r="BK186" i="1"/>
  <c r="BB182" i="1"/>
  <c r="AW182" i="1"/>
  <c r="BB170" i="1"/>
  <c r="AW170" i="1"/>
  <c r="BB21" i="1"/>
  <c r="AW21" i="1"/>
  <c r="BP185" i="1"/>
  <c r="BK185" i="1"/>
  <c r="BB169" i="1"/>
  <c r="AW169" i="1"/>
  <c r="BB12" i="1"/>
  <c r="AW12" i="1"/>
  <c r="BB6" i="1"/>
  <c r="AW6" i="1"/>
  <c r="BP184" i="1"/>
  <c r="BK184" i="1"/>
  <c r="BP180" i="1"/>
  <c r="BK180" i="1"/>
  <c r="BB176" i="1"/>
  <c r="AW176" i="1"/>
  <c r="CD23" i="1"/>
  <c r="BY23" i="1"/>
  <c r="BB11" i="1"/>
  <c r="AW11" i="1"/>
  <c r="CD189" i="1"/>
  <c r="BY189" i="1"/>
  <c r="CD183" i="1"/>
  <c r="BY183" i="1"/>
  <c r="BP179" i="1"/>
  <c r="BK179" i="1"/>
  <c r="CD171" i="1"/>
  <c r="BY171" i="1"/>
  <c r="BB7" i="1"/>
  <c r="AW7" i="1"/>
  <c r="BP22" i="1"/>
  <c r="BK22" i="1"/>
  <c r="BP174" i="1"/>
  <c r="BK174" i="1"/>
  <c r="BP8" i="1"/>
  <c r="BK8" i="1"/>
  <c r="BP9" i="1"/>
  <c r="BK9" i="1"/>
  <c r="CD181" i="1"/>
  <c r="BY181" i="1"/>
  <c r="CD173" i="1"/>
  <c r="BY173" i="1"/>
  <c r="BP27" i="1"/>
  <c r="BK27" i="1"/>
  <c r="BP256" i="1"/>
  <c r="BK256" i="1"/>
  <c r="BP258" i="1"/>
  <c r="BK258" i="1"/>
  <c r="BP253" i="1"/>
  <c r="BK253" i="1"/>
  <c r="BP249" i="1"/>
  <c r="BK249" i="1"/>
  <c r="BP251" i="1"/>
  <c r="BK251" i="1"/>
  <c r="BP255" i="1"/>
  <c r="BK255" i="1"/>
  <c r="BP248" i="1"/>
  <c r="BK248" i="1"/>
  <c r="BP250" i="1"/>
  <c r="BK250" i="1"/>
  <c r="BP246" i="1"/>
  <c r="BK246" i="1"/>
  <c r="BP247" i="1"/>
  <c r="BK247" i="1"/>
  <c r="BP257" i="1"/>
  <c r="BK257" i="1"/>
  <c r="BP254" i="1"/>
  <c r="BK254" i="1"/>
  <c r="BP252" i="1"/>
  <c r="BK252" i="1"/>
  <c r="BP267" i="1"/>
  <c r="BK267" i="1"/>
  <c r="BP245" i="1"/>
  <c r="BK245" i="1"/>
  <c r="BP265" i="1"/>
  <c r="BK265" i="1"/>
  <c r="BB251" i="1"/>
  <c r="AW251" i="1"/>
  <c r="BB255" i="1"/>
  <c r="AW255" i="1"/>
  <c r="BB248" i="1"/>
  <c r="AW248" i="1"/>
  <c r="BB250" i="1"/>
  <c r="AW250" i="1"/>
  <c r="BB246" i="1"/>
  <c r="AW246" i="1"/>
  <c r="BB247" i="1"/>
  <c r="AW247" i="1"/>
  <c r="BB245" i="1"/>
  <c r="AW245" i="1"/>
  <c r="BB265" i="1"/>
  <c r="AW265" i="1"/>
  <c r="BB256" i="1"/>
  <c r="AW256" i="1"/>
  <c r="BB257" i="1"/>
  <c r="AW257" i="1"/>
  <c r="BB254" i="1"/>
  <c r="AW254" i="1"/>
  <c r="BB258" i="1"/>
  <c r="AW258" i="1"/>
  <c r="BB253" i="1"/>
  <c r="AW253" i="1"/>
  <c r="BB249" i="1"/>
  <c r="AW249" i="1"/>
  <c r="BB267" i="1"/>
  <c r="AW267" i="1"/>
  <c r="BB252" i="1"/>
  <c r="U246" i="1"/>
  <c r="D223" i="5" s="1"/>
  <c r="C223" i="5"/>
  <c r="C48" i="4"/>
  <c r="C48" i="5"/>
  <c r="U267" i="1"/>
  <c r="C123" i="4"/>
  <c r="C142" i="4"/>
  <c r="U256" i="1"/>
  <c r="C10" i="5"/>
  <c r="C148" i="4"/>
  <c r="U257" i="1"/>
  <c r="C11" i="5"/>
  <c r="C31" i="4"/>
  <c r="U247" i="1"/>
  <c r="C228" i="5"/>
  <c r="U254" i="1"/>
  <c r="C169" i="5"/>
  <c r="C139" i="4"/>
  <c r="U251" i="1"/>
  <c r="C199" i="5"/>
  <c r="C151" i="4"/>
  <c r="U249" i="1"/>
  <c r="C172" i="5"/>
  <c r="C113" i="4"/>
  <c r="C101" i="4"/>
  <c r="C162" i="5"/>
  <c r="U250" i="1"/>
  <c r="U258" i="1"/>
  <c r="C3" i="5"/>
  <c r="C145" i="4"/>
  <c r="U245" i="1"/>
  <c r="C155" i="4"/>
  <c r="C19" i="5"/>
  <c r="U265" i="1"/>
  <c r="C112" i="4"/>
  <c r="U255" i="1"/>
  <c r="C187" i="5"/>
  <c r="C154" i="4"/>
  <c r="C5" i="4"/>
  <c r="U248" i="1"/>
  <c r="C210" i="5"/>
  <c r="C140" i="4"/>
  <c r="U252" i="1"/>
  <c r="C69" i="5"/>
  <c r="U253" i="1"/>
  <c r="C149" i="4"/>
  <c r="C145" i="5"/>
  <c r="D128" i="4"/>
  <c r="D219" i="5"/>
  <c r="U189" i="1"/>
  <c r="D213" i="5" s="1"/>
  <c r="U178" i="1"/>
  <c r="D11" i="4" s="1"/>
  <c r="AK181" i="1"/>
  <c r="C224" i="5"/>
  <c r="U172" i="1"/>
  <c r="D22" i="4" s="1"/>
  <c r="C58" i="5"/>
  <c r="C30" i="4"/>
  <c r="C14" i="4"/>
  <c r="U186" i="1"/>
  <c r="D4" i="4" s="1"/>
  <c r="U177" i="1"/>
  <c r="D57" i="5" s="1"/>
  <c r="U187" i="1"/>
  <c r="D24" i="4" s="1"/>
  <c r="C24" i="4"/>
  <c r="C213" i="5"/>
  <c r="C238" i="5"/>
  <c r="C57" i="5"/>
  <c r="C159" i="5"/>
  <c r="C55" i="5"/>
  <c r="C25" i="4"/>
  <c r="U171" i="1"/>
  <c r="D10" i="4" s="1"/>
  <c r="AK175" i="1"/>
  <c r="AK182" i="1"/>
  <c r="C8" i="4"/>
  <c r="AK172" i="1"/>
  <c r="AK171" i="1"/>
  <c r="AK178" i="1"/>
  <c r="AK169" i="1"/>
  <c r="U181" i="1"/>
  <c r="D197" i="5" s="1"/>
  <c r="C19" i="4"/>
  <c r="C7" i="4"/>
  <c r="C4" i="4"/>
  <c r="C13" i="4"/>
  <c r="C130" i="5"/>
  <c r="C226" i="5"/>
  <c r="AK176" i="1"/>
  <c r="AK183" i="1"/>
  <c r="AK174" i="1"/>
  <c r="AK173" i="1"/>
  <c r="C18" i="4"/>
  <c r="C22" i="4"/>
  <c r="U179" i="1"/>
  <c r="D55" i="5" s="1"/>
  <c r="C205" i="5"/>
  <c r="AK180" i="1"/>
  <c r="AK179" i="1"/>
  <c r="AK170" i="1"/>
  <c r="AK177" i="1"/>
  <c r="U188" i="1"/>
  <c r="D25" i="4" s="1"/>
  <c r="C2" i="4"/>
  <c r="C236" i="5"/>
  <c r="C16" i="4"/>
  <c r="C9" i="4"/>
  <c r="C56" i="5"/>
  <c r="C17" i="4"/>
  <c r="U173" i="1"/>
  <c r="D16" i="4" s="1"/>
  <c r="U183" i="1"/>
  <c r="D8" i="4" s="1"/>
  <c r="U175" i="1"/>
  <c r="D126" i="5" s="1"/>
  <c r="C12" i="4"/>
  <c r="C207" i="5"/>
  <c r="C237" i="5"/>
  <c r="AC9" i="1"/>
  <c r="AE9" i="1" s="1"/>
  <c r="AH9" i="1" s="1"/>
  <c r="AJ9" i="1" s="1"/>
  <c r="AC187" i="1"/>
  <c r="AE187" i="1" s="1"/>
  <c r="AH187" i="1" s="1"/>
  <c r="AJ187" i="1" s="1"/>
  <c r="C11" i="4"/>
  <c r="AC7" i="1"/>
  <c r="AE7" i="1" s="1"/>
  <c r="AH7" i="1" s="1"/>
  <c r="AJ7" i="1" s="1"/>
  <c r="AB23" i="1"/>
  <c r="AC23" i="1" s="1"/>
  <c r="AD23" i="1" s="1"/>
  <c r="AE23" i="1" s="1"/>
  <c r="AC190" i="1"/>
  <c r="AE190" i="1" s="1"/>
  <c r="AH190" i="1" s="1"/>
  <c r="AJ190" i="1" s="1"/>
  <c r="AC27" i="1"/>
  <c r="AE27" i="1" s="1"/>
  <c r="AH27" i="1" s="1"/>
  <c r="AJ27" i="1" s="1"/>
  <c r="AC6" i="1"/>
  <c r="AE6" i="1" s="1"/>
  <c r="AH6" i="1" s="1"/>
  <c r="AJ6" i="1" s="1"/>
  <c r="AC10" i="1"/>
  <c r="AE10" i="1" s="1"/>
  <c r="AH10" i="1" s="1"/>
  <c r="AJ10" i="1" s="1"/>
  <c r="AC12" i="1"/>
  <c r="AE12" i="1" s="1"/>
  <c r="AH12" i="1" s="1"/>
  <c r="AJ12" i="1" s="1"/>
  <c r="C3" i="4"/>
  <c r="C15" i="4"/>
  <c r="C20" i="4"/>
  <c r="C225" i="5"/>
  <c r="AC189" i="1"/>
  <c r="AE189" i="1" s="1"/>
  <c r="AH189" i="1" s="1"/>
  <c r="AJ189" i="1" s="1"/>
  <c r="AB21" i="1"/>
  <c r="AC21" i="1" s="1"/>
  <c r="AD21" i="1" s="1"/>
  <c r="AE21" i="1" s="1"/>
  <c r="AC184" i="1"/>
  <c r="AE184" i="1" s="1"/>
  <c r="AH184" i="1" s="1"/>
  <c r="AJ184" i="1" s="1"/>
  <c r="AC8" i="1"/>
  <c r="AE8" i="1" s="1"/>
  <c r="AH8" i="1" s="1"/>
  <c r="AJ8" i="1" s="1"/>
  <c r="AC5" i="1"/>
  <c r="AE5" i="1" s="1"/>
  <c r="AH5" i="1" s="1"/>
  <c r="AJ5" i="1" s="1"/>
  <c r="AC11" i="1"/>
  <c r="AE11" i="1" s="1"/>
  <c r="AH11" i="1" s="1"/>
  <c r="AJ11" i="1" s="1"/>
  <c r="AB22" i="1"/>
  <c r="AC22" i="1" s="1"/>
  <c r="AD22" i="1" s="1"/>
  <c r="AE22" i="1" s="1"/>
  <c r="U185" i="1"/>
  <c r="D237" i="5" s="1"/>
  <c r="U169" i="1"/>
  <c r="D15" i="4" s="1"/>
  <c r="U180" i="1"/>
  <c r="D20" i="4" s="1"/>
  <c r="C29" i="4"/>
  <c r="C10" i="4"/>
  <c r="AC186" i="1"/>
  <c r="AE186" i="1" s="1"/>
  <c r="AH186" i="1" s="1"/>
  <c r="AJ186" i="1" s="1"/>
  <c r="AC188" i="1"/>
  <c r="AE188" i="1" s="1"/>
  <c r="AH188" i="1" s="1"/>
  <c r="AJ188" i="1" s="1"/>
  <c r="AC185" i="1"/>
  <c r="AE185" i="1" s="1"/>
  <c r="AH185" i="1" s="1"/>
  <c r="AJ185" i="1" s="1"/>
  <c r="U184" i="1"/>
  <c r="D2" i="4" s="1"/>
  <c r="U176" i="1"/>
  <c r="D19" i="4" s="1"/>
  <c r="C214" i="5"/>
  <c r="C204" i="5"/>
  <c r="C127" i="5"/>
  <c r="C160" i="5"/>
  <c r="C197" i="5"/>
  <c r="C129" i="5"/>
  <c r="C126" i="5"/>
  <c r="U190" i="1"/>
  <c r="D30" i="4" s="1"/>
  <c r="U182" i="1"/>
  <c r="D12" i="4" s="1"/>
  <c r="U174" i="1"/>
  <c r="D14" i="4" s="1"/>
  <c r="C234" i="5"/>
  <c r="C220" i="5"/>
  <c r="C68" i="5"/>
  <c r="C239" i="5"/>
  <c r="C235" i="5"/>
  <c r="C221" i="5"/>
  <c r="D13" i="4"/>
  <c r="D226" i="5"/>
  <c r="C123" i="5"/>
  <c r="C29" i="5"/>
  <c r="C233" i="5"/>
  <c r="C100" i="5"/>
  <c r="C208" i="5"/>
  <c r="C217" i="5"/>
  <c r="U12" i="1"/>
  <c r="C119" i="4"/>
  <c r="C23" i="4"/>
  <c r="U23" i="1"/>
  <c r="U5" i="1"/>
  <c r="C129" i="4"/>
  <c r="C111" i="4"/>
  <c r="U7" i="1"/>
  <c r="C115" i="4"/>
  <c r="U10" i="1"/>
  <c r="U21" i="1"/>
  <c r="C102" i="4"/>
  <c r="C238" i="4"/>
  <c r="U27" i="1"/>
  <c r="U6" i="1"/>
  <c r="C32" i="4"/>
  <c r="C130" i="4"/>
  <c r="U11" i="1"/>
  <c r="C118" i="4"/>
  <c r="U22" i="1"/>
  <c r="U8" i="1"/>
  <c r="C33" i="4"/>
  <c r="U9" i="1"/>
  <c r="C131" i="4"/>
  <c r="C13" i="3"/>
  <c r="Y242" i="1"/>
  <c r="R242" i="1" s="1"/>
  <c r="Y241" i="1"/>
  <c r="R241" i="1" s="1"/>
  <c r="Y240" i="1"/>
  <c r="R240" i="1" s="1"/>
  <c r="Y239" i="1"/>
  <c r="R239" i="1" s="1"/>
  <c r="Y238" i="1"/>
  <c r="R238" i="1" s="1"/>
  <c r="Y237" i="1"/>
  <c r="R237" i="1" s="1"/>
  <c r="Y236" i="1"/>
  <c r="R236" i="1" s="1"/>
  <c r="Y235" i="1"/>
  <c r="R235" i="1" s="1"/>
  <c r="Y225" i="1"/>
  <c r="R225" i="1" s="1"/>
  <c r="Y222" i="1"/>
  <c r="R222" i="1" s="1"/>
  <c r="Y221" i="1"/>
  <c r="R221" i="1" s="1"/>
  <c r="Y220" i="1"/>
  <c r="R220" i="1" s="1"/>
  <c r="Y219" i="1"/>
  <c r="R219" i="1" s="1"/>
  <c r="R216" i="1"/>
  <c r="AV216" i="1" s="1"/>
  <c r="R217" i="1"/>
  <c r="Z218" i="1"/>
  <c r="Z167" i="1"/>
  <c r="S167" i="1" s="1"/>
  <c r="Z166" i="1"/>
  <c r="S166" i="1" s="1"/>
  <c r="Z165" i="1"/>
  <c r="S165" i="1" s="1"/>
  <c r="Z164" i="1"/>
  <c r="S164" i="1" s="1"/>
  <c r="Z163" i="1"/>
  <c r="S163" i="1" s="1"/>
  <c r="Z162" i="1"/>
  <c r="S162" i="1" s="1"/>
  <c r="Z161" i="1"/>
  <c r="S161" i="1" s="1"/>
  <c r="Z160" i="1"/>
  <c r="S160" i="1" s="1"/>
  <c r="Z159" i="1"/>
  <c r="S159" i="1" s="1"/>
  <c r="Z121" i="1"/>
  <c r="S121" i="1" s="1"/>
  <c r="Z120" i="1"/>
  <c r="S120" i="1" s="1"/>
  <c r="Z119" i="1"/>
  <c r="S119" i="1" s="1"/>
  <c r="Z118" i="1"/>
  <c r="S118" i="1" s="1"/>
  <c r="Z117" i="1"/>
  <c r="S117" i="1" s="1"/>
  <c r="Z116" i="1"/>
  <c r="S116" i="1" s="1"/>
  <c r="Z115" i="1"/>
  <c r="S115" i="1" s="1"/>
  <c r="Z114" i="1"/>
  <c r="S114" i="1" s="1"/>
  <c r="Z113" i="1"/>
  <c r="S113" i="1" s="1"/>
  <c r="Z112" i="1"/>
  <c r="S112" i="1" s="1"/>
  <c r="Z111" i="1"/>
  <c r="S111" i="1" s="1"/>
  <c r="Z110" i="1"/>
  <c r="S110" i="1" s="1"/>
  <c r="Z109" i="1"/>
  <c r="S109" i="1" s="1"/>
  <c r="Z108" i="1"/>
  <c r="S108" i="1" s="1"/>
  <c r="Z107" i="1"/>
  <c r="S107" i="1" s="1"/>
  <c r="Z106" i="1"/>
  <c r="S106" i="1" s="1"/>
  <c r="Z105" i="1"/>
  <c r="S105" i="1" s="1"/>
  <c r="Z104" i="1"/>
  <c r="S104" i="1" s="1"/>
  <c r="Z103" i="1"/>
  <c r="S103" i="1" s="1"/>
  <c r="Z102" i="1"/>
  <c r="S102" i="1" s="1"/>
  <c r="Z101" i="1"/>
  <c r="S101" i="1" s="1"/>
  <c r="Z100" i="1"/>
  <c r="S100" i="1" s="1"/>
  <c r="Z99" i="1"/>
  <c r="S99" i="1" s="1"/>
  <c r="Z98" i="1"/>
  <c r="S98" i="1" s="1"/>
  <c r="Z97" i="1"/>
  <c r="S97" i="1" s="1"/>
  <c r="Z96" i="1"/>
  <c r="S96" i="1" s="1"/>
  <c r="Z95" i="1"/>
  <c r="S95" i="1" s="1"/>
  <c r="Z94" i="1"/>
  <c r="S94" i="1" s="1"/>
  <c r="Z93" i="1"/>
  <c r="S93" i="1" s="1"/>
  <c r="Z92" i="1"/>
  <c r="S92" i="1" s="1"/>
  <c r="Z91" i="1"/>
  <c r="S91" i="1" s="1"/>
  <c r="Z90" i="1"/>
  <c r="S90" i="1" s="1"/>
  <c r="Z89" i="1"/>
  <c r="S89" i="1" s="1"/>
  <c r="Z88" i="1"/>
  <c r="S88" i="1" s="1"/>
  <c r="Z87" i="1"/>
  <c r="S87" i="1" s="1"/>
  <c r="Z86" i="1"/>
  <c r="S86" i="1" s="1"/>
  <c r="Z85" i="1"/>
  <c r="S85" i="1" s="1"/>
  <c r="Z84" i="1"/>
  <c r="S84" i="1" s="1"/>
  <c r="Z83" i="1"/>
  <c r="S83" i="1" s="1"/>
  <c r="Z82" i="1"/>
  <c r="S82" i="1" s="1"/>
  <c r="Z81" i="1"/>
  <c r="S81" i="1" s="1"/>
  <c r="Z80" i="1"/>
  <c r="S80" i="1" s="1"/>
  <c r="Z79" i="1"/>
  <c r="S79" i="1" s="1"/>
  <c r="Z78" i="1"/>
  <c r="S78" i="1" s="1"/>
  <c r="Z77" i="1"/>
  <c r="S77" i="1" s="1"/>
  <c r="Z76" i="1"/>
  <c r="S76" i="1" s="1"/>
  <c r="Z75" i="1"/>
  <c r="S75" i="1" s="1"/>
  <c r="Z74" i="1"/>
  <c r="S74" i="1" s="1"/>
  <c r="Z73" i="1"/>
  <c r="S73" i="1" s="1"/>
  <c r="Z72" i="1"/>
  <c r="S72" i="1" s="1"/>
  <c r="Z71" i="1"/>
  <c r="S71" i="1" s="1"/>
  <c r="Z70" i="1"/>
  <c r="S70" i="1" s="1"/>
  <c r="Z69" i="1"/>
  <c r="S69" i="1" s="1"/>
  <c r="Z68" i="1"/>
  <c r="S68" i="1" s="1"/>
  <c r="Z67" i="1"/>
  <c r="S67" i="1" s="1"/>
  <c r="Z66" i="1"/>
  <c r="S66" i="1" s="1"/>
  <c r="Z65" i="1"/>
  <c r="S65" i="1" s="1"/>
  <c r="Z64" i="1"/>
  <c r="S64" i="1" s="1"/>
  <c r="Z63" i="1"/>
  <c r="S63" i="1" s="1"/>
  <c r="Z62" i="1"/>
  <c r="S62" i="1" s="1"/>
  <c r="Z61" i="1"/>
  <c r="S61" i="1" s="1"/>
  <c r="Z60" i="1"/>
  <c r="S60" i="1" s="1"/>
  <c r="Z20" i="1"/>
  <c r="S20" i="1" s="1"/>
  <c r="Z19" i="1"/>
  <c r="S19" i="1" s="1"/>
  <c r="Z18" i="1"/>
  <c r="S18" i="1" s="1"/>
  <c r="BJ61" i="1" l="1"/>
  <c r="AV61" i="1"/>
  <c r="BX61" i="1"/>
  <c r="AV69" i="1"/>
  <c r="BJ69" i="1"/>
  <c r="BX69" i="1"/>
  <c r="AV77" i="1"/>
  <c r="BX77" i="1"/>
  <c r="BJ77" i="1"/>
  <c r="BJ85" i="1"/>
  <c r="AV85" i="1"/>
  <c r="BX85" i="1"/>
  <c r="BX89" i="1"/>
  <c r="AV89" i="1"/>
  <c r="BJ89" i="1"/>
  <c r="BX97" i="1"/>
  <c r="BJ97" i="1"/>
  <c r="AV97" i="1"/>
  <c r="BJ105" i="1"/>
  <c r="BX105" i="1"/>
  <c r="AV105" i="1"/>
  <c r="BJ113" i="1"/>
  <c r="BX113" i="1"/>
  <c r="AV113" i="1"/>
  <c r="BJ121" i="1"/>
  <c r="BX121" i="1"/>
  <c r="AV121" i="1"/>
  <c r="AV166" i="1"/>
  <c r="BJ166" i="1"/>
  <c r="BX166" i="1"/>
  <c r="BJ221" i="1"/>
  <c r="BX221" i="1"/>
  <c r="AV221" i="1"/>
  <c r="BX236" i="1"/>
  <c r="BJ236" i="1"/>
  <c r="AV236" i="1"/>
  <c r="BX20" i="1"/>
  <c r="BJ20" i="1"/>
  <c r="AV20" i="1"/>
  <c r="AV63" i="1"/>
  <c r="BJ63" i="1"/>
  <c r="BX63" i="1"/>
  <c r="AV67" i="1"/>
  <c r="BJ67" i="1"/>
  <c r="BX67" i="1"/>
  <c r="BJ71" i="1"/>
  <c r="AV71" i="1"/>
  <c r="BX71" i="1"/>
  <c r="AV75" i="1"/>
  <c r="BJ75" i="1"/>
  <c r="BX75" i="1"/>
  <c r="AV79" i="1"/>
  <c r="BJ79" i="1"/>
  <c r="BX79" i="1"/>
  <c r="BX83" i="1"/>
  <c r="BJ83" i="1"/>
  <c r="AV83" i="1"/>
  <c r="BX87" i="1"/>
  <c r="BJ87" i="1"/>
  <c r="AV87" i="1"/>
  <c r="BJ91" i="1"/>
  <c r="AV91" i="1"/>
  <c r="BX91" i="1"/>
  <c r="AV95" i="1"/>
  <c r="BJ95" i="1"/>
  <c r="BX95" i="1"/>
  <c r="BJ99" i="1"/>
  <c r="AV99" i="1"/>
  <c r="BX99" i="1"/>
  <c r="AV103" i="1"/>
  <c r="BJ103" i="1"/>
  <c r="BX103" i="1"/>
  <c r="BX107" i="1"/>
  <c r="AV107" i="1"/>
  <c r="BJ107" i="1"/>
  <c r="AV111" i="1"/>
  <c r="BX111" i="1"/>
  <c r="BJ111" i="1"/>
  <c r="AV115" i="1"/>
  <c r="BJ115" i="1"/>
  <c r="BX115" i="1"/>
  <c r="AV119" i="1"/>
  <c r="BJ119" i="1"/>
  <c r="BX119" i="1"/>
  <c r="BJ160" i="1"/>
  <c r="BX160" i="1"/>
  <c r="AV160" i="1"/>
  <c r="BJ164" i="1"/>
  <c r="BX164" i="1"/>
  <c r="AV164" i="1"/>
  <c r="BJ219" i="1"/>
  <c r="BX219" i="1"/>
  <c r="AV219" i="1"/>
  <c r="BJ225" i="1"/>
  <c r="BX225" i="1"/>
  <c r="AV225" i="1"/>
  <c r="BX238" i="1"/>
  <c r="BJ238" i="1"/>
  <c r="AV238" i="1"/>
  <c r="BJ242" i="1"/>
  <c r="BX242" i="1"/>
  <c r="AV242" i="1"/>
  <c r="BJ60" i="1"/>
  <c r="BX60" i="1"/>
  <c r="AV60" i="1"/>
  <c r="BJ64" i="1"/>
  <c r="AV64" i="1"/>
  <c r="BX64" i="1"/>
  <c r="BJ68" i="1"/>
  <c r="BX68" i="1"/>
  <c r="AV68" i="1"/>
  <c r="AV72" i="1"/>
  <c r="BJ72" i="1"/>
  <c r="BX72" i="1"/>
  <c r="BJ76" i="1"/>
  <c r="BX76" i="1"/>
  <c r="AV76" i="1"/>
  <c r="BJ80" i="1"/>
  <c r="BX80" i="1"/>
  <c r="AV80" i="1"/>
  <c r="BJ84" i="1"/>
  <c r="AV84" i="1"/>
  <c r="BX84" i="1"/>
  <c r="BJ88" i="1"/>
  <c r="AV88" i="1"/>
  <c r="BX88" i="1"/>
  <c r="BX92" i="1"/>
  <c r="AV92" i="1"/>
  <c r="BJ92" i="1"/>
  <c r="BJ96" i="1"/>
  <c r="BX96" i="1"/>
  <c r="AV96" i="1"/>
  <c r="BJ100" i="1"/>
  <c r="BX100" i="1"/>
  <c r="AV100" i="1"/>
  <c r="AV104" i="1"/>
  <c r="BJ104" i="1"/>
  <c r="BX104" i="1"/>
  <c r="BJ108" i="1"/>
  <c r="BX108" i="1"/>
  <c r="AV108" i="1"/>
  <c r="BJ112" i="1"/>
  <c r="BX112" i="1"/>
  <c r="AV112" i="1"/>
  <c r="BX116" i="1"/>
  <c r="BJ116" i="1"/>
  <c r="AV116" i="1"/>
  <c r="AV120" i="1"/>
  <c r="BX120" i="1"/>
  <c r="BJ120" i="1"/>
  <c r="BJ161" i="1"/>
  <c r="AV161" i="1"/>
  <c r="BX161" i="1"/>
  <c r="BJ165" i="1"/>
  <c r="BX165" i="1"/>
  <c r="AV165" i="1"/>
  <c r="S218" i="1"/>
  <c r="T218" i="1" s="1"/>
  <c r="AV220" i="1"/>
  <c r="BJ220" i="1"/>
  <c r="BX220" i="1"/>
  <c r="BJ235" i="1"/>
  <c r="AV235" i="1"/>
  <c r="BX235" i="1"/>
  <c r="BJ239" i="1"/>
  <c r="BX239" i="1"/>
  <c r="AV239" i="1"/>
  <c r="BJ18" i="1"/>
  <c r="BX18" i="1"/>
  <c r="AV18" i="1"/>
  <c r="BX65" i="1"/>
  <c r="AV65" i="1"/>
  <c r="BJ65" i="1"/>
  <c r="BX73" i="1"/>
  <c r="AV73" i="1"/>
  <c r="BJ73" i="1"/>
  <c r="BJ81" i="1"/>
  <c r="BX81" i="1"/>
  <c r="AV81" i="1"/>
  <c r="AV93" i="1"/>
  <c r="BX93" i="1"/>
  <c r="BJ93" i="1"/>
  <c r="AV101" i="1"/>
  <c r="BJ101" i="1"/>
  <c r="BX101" i="1"/>
  <c r="AV109" i="1"/>
  <c r="BX109" i="1"/>
  <c r="BJ109" i="1"/>
  <c r="BJ117" i="1"/>
  <c r="AV117" i="1"/>
  <c r="BX117" i="1"/>
  <c r="AV162" i="1"/>
  <c r="BJ162" i="1"/>
  <c r="BX162" i="1"/>
  <c r="BX217" i="1"/>
  <c r="BJ217" i="1"/>
  <c r="AV217" i="1"/>
  <c r="BJ240" i="1"/>
  <c r="BX240" i="1"/>
  <c r="AV240" i="1"/>
  <c r="BJ19" i="1"/>
  <c r="AV19" i="1"/>
  <c r="BX19" i="1"/>
  <c r="BJ62" i="1"/>
  <c r="BX62" i="1"/>
  <c r="AV62" i="1"/>
  <c r="BJ66" i="1"/>
  <c r="BX66" i="1"/>
  <c r="AV66" i="1"/>
  <c r="BJ70" i="1"/>
  <c r="BX70" i="1"/>
  <c r="AV70" i="1"/>
  <c r="BJ74" i="1"/>
  <c r="AV74" i="1"/>
  <c r="BX74" i="1"/>
  <c r="BJ78" i="1"/>
  <c r="AV78" i="1"/>
  <c r="BX78" i="1"/>
  <c r="BJ82" i="1"/>
  <c r="BX82" i="1"/>
  <c r="AV82" i="1"/>
  <c r="BJ86" i="1"/>
  <c r="AV86" i="1"/>
  <c r="BX86" i="1"/>
  <c r="BJ90" i="1"/>
  <c r="AV90" i="1"/>
  <c r="BX90" i="1"/>
  <c r="BJ94" i="1"/>
  <c r="BX94" i="1"/>
  <c r="AV94" i="1"/>
  <c r="BJ98" i="1"/>
  <c r="BX98" i="1"/>
  <c r="AV98" i="1"/>
  <c r="AV102" i="1"/>
  <c r="BJ102" i="1"/>
  <c r="BX102" i="1"/>
  <c r="BJ106" i="1"/>
  <c r="AV106" i="1"/>
  <c r="BX106" i="1"/>
  <c r="BJ110" i="1"/>
  <c r="BX110" i="1"/>
  <c r="AV110" i="1"/>
  <c r="BJ114" i="1"/>
  <c r="BX114" i="1"/>
  <c r="AV114" i="1"/>
  <c r="AV118" i="1"/>
  <c r="BJ118" i="1"/>
  <c r="BX118" i="1"/>
  <c r="AV159" i="1"/>
  <c r="BX159" i="1"/>
  <c r="BJ159" i="1"/>
  <c r="BJ163" i="1"/>
  <c r="BX163" i="1"/>
  <c r="AV163" i="1"/>
  <c r="BJ167" i="1"/>
  <c r="BX167" i="1"/>
  <c r="AV167" i="1"/>
  <c r="BJ216" i="1"/>
  <c r="BX216" i="1"/>
  <c r="BX222" i="1"/>
  <c r="BJ222" i="1"/>
  <c r="AV222" i="1"/>
  <c r="AV237" i="1"/>
  <c r="BX237" i="1"/>
  <c r="BJ237" i="1"/>
  <c r="BJ241" i="1"/>
  <c r="AV241" i="1"/>
  <c r="BX241" i="1"/>
  <c r="D29" i="4"/>
  <c r="AK22" i="1"/>
  <c r="D159" i="5"/>
  <c r="D48" i="4"/>
  <c r="D130" i="5"/>
  <c r="D3" i="5"/>
  <c r="D145" i="4"/>
  <c r="D151" i="4"/>
  <c r="D199" i="5"/>
  <c r="D228" i="5"/>
  <c r="D31" i="4"/>
  <c r="D142" i="4"/>
  <c r="D10" i="5"/>
  <c r="D222" i="5"/>
  <c r="D112" i="4"/>
  <c r="D101" i="4"/>
  <c r="D162" i="5"/>
  <c r="D56" i="5"/>
  <c r="D149" i="4"/>
  <c r="D145" i="5"/>
  <c r="D140" i="4"/>
  <c r="D69" i="5"/>
  <c r="D19" i="5"/>
  <c r="D155" i="4"/>
  <c r="D139" i="4"/>
  <c r="D169" i="5"/>
  <c r="D154" i="4"/>
  <c r="D187" i="5"/>
  <c r="D113" i="4"/>
  <c r="D172" i="5"/>
  <c r="AK189" i="1"/>
  <c r="D210" i="5"/>
  <c r="D5" i="4"/>
  <c r="D148" i="4"/>
  <c r="D11" i="5"/>
  <c r="D48" i="5"/>
  <c r="D123" i="4"/>
  <c r="D18" i="4"/>
  <c r="T221" i="1"/>
  <c r="U221" i="1" s="1"/>
  <c r="AF221" i="1"/>
  <c r="T240" i="1"/>
  <c r="AF240" i="1"/>
  <c r="AI240" i="1" s="1"/>
  <c r="T222" i="1"/>
  <c r="U222" i="1" s="1"/>
  <c r="AF222" i="1"/>
  <c r="T241" i="1"/>
  <c r="AF241" i="1"/>
  <c r="AI241" i="1" s="1"/>
  <c r="T219" i="1"/>
  <c r="U219" i="1" s="1"/>
  <c r="AF219" i="1"/>
  <c r="T225" i="1"/>
  <c r="AF225" i="1"/>
  <c r="T238" i="1"/>
  <c r="AF238" i="1"/>
  <c r="AI238" i="1" s="1"/>
  <c r="T242" i="1"/>
  <c r="AF242" i="1"/>
  <c r="AI242" i="1" s="1"/>
  <c r="T217" i="1"/>
  <c r="C152" i="4" s="1"/>
  <c r="T236" i="1"/>
  <c r="AF236" i="1"/>
  <c r="AI236" i="1" s="1"/>
  <c r="T216" i="1"/>
  <c r="C28" i="5" s="1"/>
  <c r="T237" i="1"/>
  <c r="AF237" i="1"/>
  <c r="AI237" i="1" s="1"/>
  <c r="T220" i="1"/>
  <c r="U220" i="1" s="1"/>
  <c r="AF220" i="1"/>
  <c r="T235" i="1"/>
  <c r="AF235" i="1"/>
  <c r="AI235" i="1" s="1"/>
  <c r="T239" i="1"/>
  <c r="C23" i="5" s="1"/>
  <c r="AF239" i="1"/>
  <c r="AI239" i="1" s="1"/>
  <c r="D17" i="4"/>
  <c r="AK11" i="1"/>
  <c r="AK9" i="1"/>
  <c r="D238" i="5"/>
  <c r="D3" i="4"/>
  <c r="D204" i="5"/>
  <c r="D7" i="4"/>
  <c r="AK184" i="1"/>
  <c r="AK187" i="1"/>
  <c r="D9" i="4"/>
  <c r="D225" i="5"/>
  <c r="AF62" i="1"/>
  <c r="AB62" i="1"/>
  <c r="AD62" i="1"/>
  <c r="AJ62" i="1"/>
  <c r="AI62" i="1"/>
  <c r="AC62" i="1"/>
  <c r="AH62" i="1"/>
  <c r="AE62" i="1"/>
  <c r="AA62" i="1"/>
  <c r="AF66" i="1"/>
  <c r="AB66" i="1"/>
  <c r="AD66" i="1"/>
  <c r="AI66" i="1"/>
  <c r="AC66" i="1"/>
  <c r="AJ66" i="1"/>
  <c r="AH66" i="1"/>
  <c r="AE66" i="1"/>
  <c r="AA66" i="1"/>
  <c r="AF70" i="1"/>
  <c r="AB70" i="1"/>
  <c r="AD70" i="1"/>
  <c r="AI70" i="1"/>
  <c r="AC70" i="1"/>
  <c r="AH70" i="1"/>
  <c r="AE70" i="1"/>
  <c r="AJ70" i="1"/>
  <c r="AA70" i="1"/>
  <c r="AF74" i="1"/>
  <c r="AB74" i="1"/>
  <c r="AJ74" i="1"/>
  <c r="AD74" i="1"/>
  <c r="AI74" i="1"/>
  <c r="AC74" i="1"/>
  <c r="AH74" i="1"/>
  <c r="AE74" i="1"/>
  <c r="AA74" i="1"/>
  <c r="AF78" i="1"/>
  <c r="AB78" i="1"/>
  <c r="AD78" i="1"/>
  <c r="AJ78" i="1"/>
  <c r="AI78" i="1"/>
  <c r="AC78" i="1"/>
  <c r="AH78" i="1"/>
  <c r="AA78" i="1"/>
  <c r="AE78" i="1"/>
  <c r="AF82" i="1"/>
  <c r="AB82" i="1"/>
  <c r="AD82" i="1"/>
  <c r="AI82" i="1"/>
  <c r="AC82" i="1"/>
  <c r="AJ82" i="1"/>
  <c r="AH82" i="1"/>
  <c r="AA82" i="1"/>
  <c r="AE82" i="1"/>
  <c r="AF86" i="1"/>
  <c r="AB86" i="1"/>
  <c r="AD86" i="1"/>
  <c r="AI86" i="1"/>
  <c r="AC86" i="1"/>
  <c r="AH86" i="1"/>
  <c r="AA86" i="1"/>
  <c r="AE86" i="1"/>
  <c r="AJ86" i="1"/>
  <c r="AF90" i="1"/>
  <c r="AB90" i="1"/>
  <c r="AJ90" i="1"/>
  <c r="AD90" i="1"/>
  <c r="AI90" i="1"/>
  <c r="AC90" i="1"/>
  <c r="AH90" i="1"/>
  <c r="AA90" i="1"/>
  <c r="AE90" i="1"/>
  <c r="AF94" i="1"/>
  <c r="AB94" i="1"/>
  <c r="AD94" i="1"/>
  <c r="AJ94" i="1"/>
  <c r="AI94" i="1"/>
  <c r="AC94" i="1"/>
  <c r="AH94" i="1"/>
  <c r="AA94" i="1"/>
  <c r="AE94" i="1"/>
  <c r="AF98" i="1"/>
  <c r="AB98" i="1"/>
  <c r="AD98" i="1"/>
  <c r="AI98" i="1"/>
  <c r="AC98" i="1"/>
  <c r="AJ98" i="1"/>
  <c r="AH98" i="1"/>
  <c r="AA98" i="1"/>
  <c r="AE98" i="1"/>
  <c r="AF102" i="1"/>
  <c r="AB102" i="1"/>
  <c r="AD102" i="1"/>
  <c r="AI102" i="1"/>
  <c r="AC102" i="1"/>
  <c r="AH102" i="1"/>
  <c r="AA102" i="1"/>
  <c r="AJ102" i="1"/>
  <c r="AE102" i="1"/>
  <c r="AF106" i="1"/>
  <c r="AB106" i="1"/>
  <c r="AJ106" i="1"/>
  <c r="AD106" i="1"/>
  <c r="AI106" i="1"/>
  <c r="AC106" i="1"/>
  <c r="AH106" i="1"/>
  <c r="AA106" i="1"/>
  <c r="AE106" i="1"/>
  <c r="AF110" i="1"/>
  <c r="AB110" i="1"/>
  <c r="AD110" i="1"/>
  <c r="AJ110" i="1"/>
  <c r="AI110" i="1"/>
  <c r="AC110" i="1"/>
  <c r="AH110" i="1"/>
  <c r="AA110" i="1"/>
  <c r="AE110" i="1"/>
  <c r="AF114" i="1"/>
  <c r="AB114" i="1"/>
  <c r="AD114" i="1"/>
  <c r="AI114" i="1"/>
  <c r="AC114" i="1"/>
  <c r="AJ114" i="1"/>
  <c r="AH114" i="1"/>
  <c r="AA114" i="1"/>
  <c r="AE114" i="1"/>
  <c r="AF118" i="1"/>
  <c r="AB118" i="1"/>
  <c r="AD118" i="1"/>
  <c r="AI118" i="1"/>
  <c r="AC118" i="1"/>
  <c r="AH118" i="1"/>
  <c r="AA118" i="1"/>
  <c r="AJ118" i="1"/>
  <c r="AE118" i="1"/>
  <c r="AI159" i="1"/>
  <c r="AD159" i="1"/>
  <c r="AF159" i="1"/>
  <c r="AA159" i="1"/>
  <c r="AE159" i="1"/>
  <c r="AJ159" i="1"/>
  <c r="AC159" i="1"/>
  <c r="AB159" i="1"/>
  <c r="AH159" i="1"/>
  <c r="AI163" i="1"/>
  <c r="AD163" i="1"/>
  <c r="AH163" i="1"/>
  <c r="AB163" i="1"/>
  <c r="AF163" i="1"/>
  <c r="AA163" i="1"/>
  <c r="AE163" i="1"/>
  <c r="AJ163" i="1"/>
  <c r="AC163" i="1"/>
  <c r="AI167" i="1"/>
  <c r="AD167" i="1"/>
  <c r="AH167" i="1"/>
  <c r="AC167" i="1"/>
  <c r="AF167" i="1"/>
  <c r="AE167" i="1"/>
  <c r="AB167" i="1"/>
  <c r="AJ167" i="1"/>
  <c r="AA167" i="1"/>
  <c r="AF63" i="1"/>
  <c r="AB63" i="1"/>
  <c r="AJ63" i="1"/>
  <c r="AH63" i="1"/>
  <c r="AA63" i="1"/>
  <c r="AE63" i="1"/>
  <c r="AI63" i="1"/>
  <c r="AD63" i="1"/>
  <c r="AC63" i="1"/>
  <c r="AF67" i="1"/>
  <c r="AB67" i="1"/>
  <c r="AH67" i="1"/>
  <c r="AA67" i="1"/>
  <c r="AJ67" i="1"/>
  <c r="AE67" i="1"/>
  <c r="AI67" i="1"/>
  <c r="AD67" i="1"/>
  <c r="AC67" i="1"/>
  <c r="AF71" i="1"/>
  <c r="AB71" i="1"/>
  <c r="AH71" i="1"/>
  <c r="AA71" i="1"/>
  <c r="AE71" i="1"/>
  <c r="AJ71" i="1"/>
  <c r="AI71" i="1"/>
  <c r="AD71" i="1"/>
  <c r="AC71" i="1"/>
  <c r="AF75" i="1"/>
  <c r="AB75" i="1"/>
  <c r="AH75" i="1"/>
  <c r="AA75" i="1"/>
  <c r="AE75" i="1"/>
  <c r="AJ75" i="1"/>
  <c r="AI75" i="1"/>
  <c r="AD75" i="1"/>
  <c r="AC75" i="1"/>
  <c r="AF79" i="1"/>
  <c r="AB79" i="1"/>
  <c r="AJ79" i="1"/>
  <c r="AH79" i="1"/>
  <c r="AA79" i="1"/>
  <c r="AE79" i="1"/>
  <c r="AD79" i="1"/>
  <c r="AC79" i="1"/>
  <c r="AI79" i="1"/>
  <c r="AF83" i="1"/>
  <c r="AB83" i="1"/>
  <c r="AH83" i="1"/>
  <c r="AA83" i="1"/>
  <c r="AJ83" i="1"/>
  <c r="AE83" i="1"/>
  <c r="AD83" i="1"/>
  <c r="AI83" i="1"/>
  <c r="AC83" i="1"/>
  <c r="AF87" i="1"/>
  <c r="AB87" i="1"/>
  <c r="AH87" i="1"/>
  <c r="AA87" i="1"/>
  <c r="AE87" i="1"/>
  <c r="AJ87" i="1"/>
  <c r="AD87" i="1"/>
  <c r="AC87" i="1"/>
  <c r="AI87" i="1"/>
  <c r="AF91" i="1"/>
  <c r="AB91" i="1"/>
  <c r="AH91" i="1"/>
  <c r="AA91" i="1"/>
  <c r="AE91" i="1"/>
  <c r="AD91" i="1"/>
  <c r="AI91" i="1"/>
  <c r="AJ91" i="1"/>
  <c r="AC91" i="1"/>
  <c r="AF95" i="1"/>
  <c r="AB95" i="1"/>
  <c r="AJ95" i="1"/>
  <c r="AH95" i="1"/>
  <c r="AA95" i="1"/>
  <c r="AE95" i="1"/>
  <c r="AD95" i="1"/>
  <c r="AC95" i="1"/>
  <c r="AI95" i="1"/>
  <c r="AF99" i="1"/>
  <c r="AB99" i="1"/>
  <c r="AH99" i="1"/>
  <c r="AA99" i="1"/>
  <c r="AJ99" i="1"/>
  <c r="AE99" i="1"/>
  <c r="AD99" i="1"/>
  <c r="AI99" i="1"/>
  <c r="AC99" i="1"/>
  <c r="AF103" i="1"/>
  <c r="AB103" i="1"/>
  <c r="AH103" i="1"/>
  <c r="AA103" i="1"/>
  <c r="AE103" i="1"/>
  <c r="AJ103" i="1"/>
  <c r="AD103" i="1"/>
  <c r="AC103" i="1"/>
  <c r="AI103" i="1"/>
  <c r="AF107" i="1"/>
  <c r="AB107" i="1"/>
  <c r="AH107" i="1"/>
  <c r="AA107" i="1"/>
  <c r="AE107" i="1"/>
  <c r="AD107" i="1"/>
  <c r="AI107" i="1"/>
  <c r="AC107" i="1"/>
  <c r="AJ107" i="1"/>
  <c r="AF111" i="1"/>
  <c r="AB111" i="1"/>
  <c r="AJ111" i="1"/>
  <c r="AH111" i="1"/>
  <c r="AA111" i="1"/>
  <c r="AE111" i="1"/>
  <c r="AD111" i="1"/>
  <c r="AC111" i="1"/>
  <c r="AI111" i="1"/>
  <c r="AF115" i="1"/>
  <c r="AB115" i="1"/>
  <c r="AH115" i="1"/>
  <c r="AA115" i="1"/>
  <c r="AJ115" i="1"/>
  <c r="AE115" i="1"/>
  <c r="AD115" i="1"/>
  <c r="AI115" i="1"/>
  <c r="AC115" i="1"/>
  <c r="AF119" i="1"/>
  <c r="AB119" i="1"/>
  <c r="AH119" i="1"/>
  <c r="AA119" i="1"/>
  <c r="AE119" i="1"/>
  <c r="AJ119" i="1"/>
  <c r="AD119" i="1"/>
  <c r="AC119" i="1"/>
  <c r="AI119" i="1"/>
  <c r="AH160" i="1"/>
  <c r="AC160" i="1"/>
  <c r="AI160" i="1"/>
  <c r="AB160" i="1"/>
  <c r="AF160" i="1"/>
  <c r="AA160" i="1"/>
  <c r="AE160" i="1"/>
  <c r="AJ160" i="1"/>
  <c r="AD160" i="1"/>
  <c r="AH164" i="1"/>
  <c r="AC164" i="1"/>
  <c r="AJ164" i="1"/>
  <c r="AD164" i="1"/>
  <c r="AI164" i="1"/>
  <c r="AB164" i="1"/>
  <c r="AF164" i="1"/>
  <c r="AA164" i="1"/>
  <c r="AE164" i="1"/>
  <c r="D224" i="5"/>
  <c r="D129" i="5"/>
  <c r="AI60" i="1"/>
  <c r="AJ60" i="1"/>
  <c r="AF64" i="1"/>
  <c r="AB64" i="1"/>
  <c r="AD64" i="1"/>
  <c r="AI64" i="1"/>
  <c r="AC64" i="1"/>
  <c r="AA64" i="1"/>
  <c r="AH64" i="1"/>
  <c r="AJ64" i="1"/>
  <c r="AE64" i="1"/>
  <c r="AF68" i="1"/>
  <c r="AB68" i="1"/>
  <c r="AJ68" i="1"/>
  <c r="AD68" i="1"/>
  <c r="AI68" i="1"/>
  <c r="AC68" i="1"/>
  <c r="AA68" i="1"/>
  <c r="AH68" i="1"/>
  <c r="AE68" i="1"/>
  <c r="AF72" i="1"/>
  <c r="AB72" i="1"/>
  <c r="AD72" i="1"/>
  <c r="AJ72" i="1"/>
  <c r="AI72" i="1"/>
  <c r="AC72" i="1"/>
  <c r="AA72" i="1"/>
  <c r="AH72" i="1"/>
  <c r="AE72" i="1"/>
  <c r="AF76" i="1"/>
  <c r="AB76" i="1"/>
  <c r="AD76" i="1"/>
  <c r="AI76" i="1"/>
  <c r="AC76" i="1"/>
  <c r="AJ76" i="1"/>
  <c r="AH76" i="1"/>
  <c r="AA76" i="1"/>
  <c r="AE76" i="1"/>
  <c r="AF80" i="1"/>
  <c r="AB80" i="1"/>
  <c r="AD80" i="1"/>
  <c r="AI80" i="1"/>
  <c r="AC80" i="1"/>
  <c r="AH80" i="1"/>
  <c r="AA80" i="1"/>
  <c r="AJ80" i="1"/>
  <c r="AE80" i="1"/>
  <c r="AF84" i="1"/>
  <c r="AB84" i="1"/>
  <c r="AJ84" i="1"/>
  <c r="AD84" i="1"/>
  <c r="AI84" i="1"/>
  <c r="AC84" i="1"/>
  <c r="AH84" i="1"/>
  <c r="AA84" i="1"/>
  <c r="AE84" i="1"/>
  <c r="AF88" i="1"/>
  <c r="AB88" i="1"/>
  <c r="AD88" i="1"/>
  <c r="AJ88" i="1"/>
  <c r="AI88" i="1"/>
  <c r="AC88" i="1"/>
  <c r="AH88" i="1"/>
  <c r="AA88" i="1"/>
  <c r="AE88" i="1"/>
  <c r="AF92" i="1"/>
  <c r="AB92" i="1"/>
  <c r="AD92" i="1"/>
  <c r="AI92" i="1"/>
  <c r="AC92" i="1"/>
  <c r="AJ92" i="1"/>
  <c r="AH92" i="1"/>
  <c r="AA92" i="1"/>
  <c r="AE92" i="1"/>
  <c r="AF96" i="1"/>
  <c r="AB96" i="1"/>
  <c r="AD96" i="1"/>
  <c r="AI96" i="1"/>
  <c r="AC96" i="1"/>
  <c r="AH96" i="1"/>
  <c r="AA96" i="1"/>
  <c r="AJ96" i="1"/>
  <c r="AE96" i="1"/>
  <c r="AF100" i="1"/>
  <c r="AB100" i="1"/>
  <c r="AJ100" i="1"/>
  <c r="AD100" i="1"/>
  <c r="AI100" i="1"/>
  <c r="AC100" i="1"/>
  <c r="AH100" i="1"/>
  <c r="AA100" i="1"/>
  <c r="AE100" i="1"/>
  <c r="AF104" i="1"/>
  <c r="AB104" i="1"/>
  <c r="AD104" i="1"/>
  <c r="AJ104" i="1"/>
  <c r="AI104" i="1"/>
  <c r="AC104" i="1"/>
  <c r="AH104" i="1"/>
  <c r="AA104" i="1"/>
  <c r="AE104" i="1"/>
  <c r="AF108" i="1"/>
  <c r="AB108" i="1"/>
  <c r="AD108" i="1"/>
  <c r="AI108" i="1"/>
  <c r="AC108" i="1"/>
  <c r="AJ108" i="1"/>
  <c r="AH108" i="1"/>
  <c r="AA108" i="1"/>
  <c r="AE108" i="1"/>
  <c r="AF112" i="1"/>
  <c r="AB112" i="1"/>
  <c r="AD112" i="1"/>
  <c r="AI112" i="1"/>
  <c r="AC112" i="1"/>
  <c r="AH112" i="1"/>
  <c r="AA112" i="1"/>
  <c r="AJ112" i="1"/>
  <c r="AE112" i="1"/>
  <c r="AF116" i="1"/>
  <c r="AB116" i="1"/>
  <c r="AJ116" i="1"/>
  <c r="AD116" i="1"/>
  <c r="AI116" i="1"/>
  <c r="AC116" i="1"/>
  <c r="AH116" i="1"/>
  <c r="AA116" i="1"/>
  <c r="AE116" i="1"/>
  <c r="AF120" i="1"/>
  <c r="AB120" i="1"/>
  <c r="AD120" i="1"/>
  <c r="AJ120" i="1"/>
  <c r="AI120" i="1"/>
  <c r="AC120" i="1"/>
  <c r="AH120" i="1"/>
  <c r="AA120" i="1"/>
  <c r="AE120" i="1"/>
  <c r="AF161" i="1"/>
  <c r="AB161" i="1"/>
  <c r="AJ161" i="1"/>
  <c r="AD161" i="1"/>
  <c r="AI161" i="1"/>
  <c r="AC161" i="1"/>
  <c r="AH161" i="1"/>
  <c r="AA161" i="1"/>
  <c r="AE161" i="1"/>
  <c r="AF165" i="1"/>
  <c r="AB165" i="1"/>
  <c r="AE165" i="1"/>
  <c r="AJ165" i="1"/>
  <c r="AD165" i="1"/>
  <c r="AI165" i="1"/>
  <c r="AC165" i="1"/>
  <c r="AH165" i="1"/>
  <c r="AA165" i="1"/>
  <c r="AJ61" i="1"/>
  <c r="AF61" i="1"/>
  <c r="AB61" i="1"/>
  <c r="AH61" i="1"/>
  <c r="AA61" i="1"/>
  <c r="AE61" i="1"/>
  <c r="AD61" i="1"/>
  <c r="AC61" i="1"/>
  <c r="AI61" i="1"/>
  <c r="AJ65" i="1"/>
  <c r="AF65" i="1"/>
  <c r="AB65" i="1"/>
  <c r="AH65" i="1"/>
  <c r="AA65" i="1"/>
  <c r="AE65" i="1"/>
  <c r="AD65" i="1"/>
  <c r="AC65" i="1"/>
  <c r="AI65" i="1"/>
  <c r="AJ69" i="1"/>
  <c r="AF69" i="1"/>
  <c r="AB69" i="1"/>
  <c r="AH69" i="1"/>
  <c r="AA69" i="1"/>
  <c r="AE69" i="1"/>
  <c r="AD69" i="1"/>
  <c r="AC69" i="1"/>
  <c r="AI69" i="1"/>
  <c r="AJ73" i="1"/>
  <c r="AF73" i="1"/>
  <c r="AB73" i="1"/>
  <c r="AH73" i="1"/>
  <c r="AA73" i="1"/>
  <c r="AE73" i="1"/>
  <c r="AD73" i="1"/>
  <c r="AC73" i="1"/>
  <c r="AI73" i="1"/>
  <c r="AJ77" i="1"/>
  <c r="AF77" i="1"/>
  <c r="AB77" i="1"/>
  <c r="AH77" i="1"/>
  <c r="AA77" i="1"/>
  <c r="AE77" i="1"/>
  <c r="AD77" i="1"/>
  <c r="AI77" i="1"/>
  <c r="AC77" i="1"/>
  <c r="AJ81" i="1"/>
  <c r="AF81" i="1"/>
  <c r="AB81" i="1"/>
  <c r="AH81" i="1"/>
  <c r="AA81" i="1"/>
  <c r="AE81" i="1"/>
  <c r="AD81" i="1"/>
  <c r="AI81" i="1"/>
  <c r="AC81" i="1"/>
  <c r="AJ85" i="1"/>
  <c r="AF85" i="1"/>
  <c r="AB85" i="1"/>
  <c r="AH85" i="1"/>
  <c r="AA85" i="1"/>
  <c r="AE85" i="1"/>
  <c r="AD85" i="1"/>
  <c r="AI85" i="1"/>
  <c r="AC85" i="1"/>
  <c r="AJ89" i="1"/>
  <c r="AF89" i="1"/>
  <c r="AB89" i="1"/>
  <c r="AH89" i="1"/>
  <c r="AA89" i="1"/>
  <c r="AE89" i="1"/>
  <c r="AD89" i="1"/>
  <c r="AI89" i="1"/>
  <c r="AC89" i="1"/>
  <c r="AJ93" i="1"/>
  <c r="AF93" i="1"/>
  <c r="AB93" i="1"/>
  <c r="AH93" i="1"/>
  <c r="AA93" i="1"/>
  <c r="AE93" i="1"/>
  <c r="AD93" i="1"/>
  <c r="AI93" i="1"/>
  <c r="AC93" i="1"/>
  <c r="AJ97" i="1"/>
  <c r="AF97" i="1"/>
  <c r="AB97" i="1"/>
  <c r="AH97" i="1"/>
  <c r="AA97" i="1"/>
  <c r="AE97" i="1"/>
  <c r="AD97" i="1"/>
  <c r="AI97" i="1"/>
  <c r="AC97" i="1"/>
  <c r="AJ101" i="1"/>
  <c r="AF101" i="1"/>
  <c r="AB101" i="1"/>
  <c r="AH101" i="1"/>
  <c r="AA101" i="1"/>
  <c r="AE101" i="1"/>
  <c r="AD101" i="1"/>
  <c r="AI101" i="1"/>
  <c r="AC101" i="1"/>
  <c r="AJ105" i="1"/>
  <c r="AF105" i="1"/>
  <c r="AB105" i="1"/>
  <c r="AH105" i="1"/>
  <c r="AA105" i="1"/>
  <c r="AE105" i="1"/>
  <c r="AD105" i="1"/>
  <c r="AI105" i="1"/>
  <c r="AC105" i="1"/>
  <c r="AJ109" i="1"/>
  <c r="AF109" i="1"/>
  <c r="AB109" i="1"/>
  <c r="AH109" i="1"/>
  <c r="AA109" i="1"/>
  <c r="AE109" i="1"/>
  <c r="AD109" i="1"/>
  <c r="AI109" i="1"/>
  <c r="AC109" i="1"/>
  <c r="AJ113" i="1"/>
  <c r="AF113" i="1"/>
  <c r="AB113" i="1"/>
  <c r="AH113" i="1"/>
  <c r="AA113" i="1"/>
  <c r="AE113" i="1"/>
  <c r="AD113" i="1"/>
  <c r="AI113" i="1"/>
  <c r="AC113" i="1"/>
  <c r="AJ117" i="1"/>
  <c r="AF117" i="1"/>
  <c r="AB117" i="1"/>
  <c r="AH117" i="1"/>
  <c r="AA117" i="1"/>
  <c r="AE117" i="1"/>
  <c r="AD117" i="1"/>
  <c r="AI117" i="1"/>
  <c r="AC117" i="1"/>
  <c r="AJ121" i="1"/>
  <c r="AF121" i="1"/>
  <c r="AB121" i="1"/>
  <c r="AH121" i="1"/>
  <c r="AA121" i="1"/>
  <c r="AE121" i="1"/>
  <c r="AD121" i="1"/>
  <c r="AI121" i="1"/>
  <c r="AC121" i="1"/>
  <c r="AJ162" i="1"/>
  <c r="AE162" i="1"/>
  <c r="AA162" i="1"/>
  <c r="AF162" i="1"/>
  <c r="AD162" i="1"/>
  <c r="AI162" i="1"/>
  <c r="AC162" i="1"/>
  <c r="AH162" i="1"/>
  <c r="AB162" i="1"/>
  <c r="AJ166" i="1"/>
  <c r="AE166" i="1"/>
  <c r="AA166" i="1"/>
  <c r="AI166" i="1"/>
  <c r="AH166" i="1"/>
  <c r="AB166" i="1"/>
  <c r="AF166" i="1"/>
  <c r="AD166" i="1"/>
  <c r="AC166" i="1"/>
  <c r="AK8" i="1"/>
  <c r="AK21" i="1"/>
  <c r="D214" i="5"/>
  <c r="D160" i="5"/>
  <c r="D207" i="5"/>
  <c r="D205" i="5"/>
  <c r="D236" i="5"/>
  <c r="AF20" i="1"/>
  <c r="AH20" i="1" s="1"/>
  <c r="AI20" i="1" s="1"/>
  <c r="AJ20" i="1" s="1"/>
  <c r="AA20" i="1"/>
  <c r="AH60" i="1"/>
  <c r="AB60" i="1"/>
  <c r="AC60" i="1"/>
  <c r="AE60" i="1"/>
  <c r="AA60" i="1"/>
  <c r="AD60" i="1"/>
  <c r="AF60" i="1"/>
  <c r="AK185" i="1"/>
  <c r="AK186" i="1"/>
  <c r="AK5" i="1"/>
  <c r="AK10" i="1"/>
  <c r="AK27" i="1"/>
  <c r="AK23" i="1"/>
  <c r="D127" i="5"/>
  <c r="AA18" i="1"/>
  <c r="AF18" i="1"/>
  <c r="AH18" i="1" s="1"/>
  <c r="AI18" i="1" s="1"/>
  <c r="AJ18" i="1" s="1"/>
  <c r="AF19" i="1"/>
  <c r="AH19" i="1" s="1"/>
  <c r="AI19" i="1" s="1"/>
  <c r="AJ19" i="1" s="1"/>
  <c r="AA19" i="1"/>
  <c r="AK188" i="1"/>
  <c r="AK12" i="1"/>
  <c r="AK6" i="1"/>
  <c r="AK190" i="1"/>
  <c r="AK7" i="1"/>
  <c r="T159" i="1"/>
  <c r="C77" i="5" s="1"/>
  <c r="T163" i="1"/>
  <c r="C188" i="5" s="1"/>
  <c r="T167" i="1"/>
  <c r="T160" i="1"/>
  <c r="T164" i="1"/>
  <c r="C189" i="5" s="1"/>
  <c r="T161" i="1"/>
  <c r="C79" i="5" s="1"/>
  <c r="T165" i="1"/>
  <c r="C45" i="5" s="1"/>
  <c r="D58" i="5"/>
  <c r="T162" i="1"/>
  <c r="T166" i="1"/>
  <c r="D131" i="4"/>
  <c r="D217" i="5"/>
  <c r="D32" i="4"/>
  <c r="D234" i="5"/>
  <c r="D102" i="4"/>
  <c r="D123" i="5"/>
  <c r="D130" i="4"/>
  <c r="D233" i="5"/>
  <c r="D238" i="4"/>
  <c r="D29" i="5"/>
  <c r="D115" i="4"/>
  <c r="D221" i="5"/>
  <c r="D33" i="4"/>
  <c r="D208" i="5"/>
  <c r="D129" i="4"/>
  <c r="D239" i="5"/>
  <c r="D119" i="4"/>
  <c r="D220" i="5"/>
  <c r="D118" i="4"/>
  <c r="D100" i="5"/>
  <c r="D111" i="4"/>
  <c r="D235" i="5"/>
  <c r="D23" i="4"/>
  <c r="D68" i="5"/>
  <c r="T20" i="1"/>
  <c r="T63" i="1"/>
  <c r="T67" i="1"/>
  <c r="T71" i="1"/>
  <c r="T75" i="1"/>
  <c r="T79" i="1"/>
  <c r="T83" i="1"/>
  <c r="T87" i="1"/>
  <c r="T91" i="1"/>
  <c r="T95" i="1"/>
  <c r="T99" i="1"/>
  <c r="T103" i="1"/>
  <c r="T107" i="1"/>
  <c r="T111" i="1"/>
  <c r="T115" i="1"/>
  <c r="T119" i="1"/>
  <c r="T60" i="1"/>
  <c r="T64" i="1"/>
  <c r="T68" i="1"/>
  <c r="T72" i="1"/>
  <c r="T76" i="1"/>
  <c r="T80" i="1"/>
  <c r="T84" i="1"/>
  <c r="T88" i="1"/>
  <c r="T92" i="1"/>
  <c r="T96" i="1"/>
  <c r="T100" i="1"/>
  <c r="T104" i="1"/>
  <c r="T108" i="1"/>
  <c r="T112" i="1"/>
  <c r="T116" i="1"/>
  <c r="T120" i="1"/>
  <c r="T18" i="1"/>
  <c r="T61" i="1"/>
  <c r="T65" i="1"/>
  <c r="T69" i="1"/>
  <c r="T73" i="1"/>
  <c r="T77" i="1"/>
  <c r="T81" i="1"/>
  <c r="T85" i="1"/>
  <c r="T89" i="1"/>
  <c r="T93" i="1"/>
  <c r="T97" i="1"/>
  <c r="T101" i="1"/>
  <c r="T105" i="1"/>
  <c r="T109" i="1"/>
  <c r="T113" i="1"/>
  <c r="T117" i="1"/>
  <c r="T121" i="1"/>
  <c r="T19" i="1"/>
  <c r="T62" i="1"/>
  <c r="T66" i="1"/>
  <c r="T70" i="1"/>
  <c r="T74" i="1"/>
  <c r="T78" i="1"/>
  <c r="T82" i="1"/>
  <c r="T86" i="1"/>
  <c r="T90" i="1"/>
  <c r="T94" i="1"/>
  <c r="T98" i="1"/>
  <c r="T102" i="1"/>
  <c r="T106" i="1"/>
  <c r="T110" i="1"/>
  <c r="T114" i="1"/>
  <c r="T118" i="1"/>
  <c r="K50" i="3"/>
  <c r="J50" i="3"/>
  <c r="K49" i="3"/>
  <c r="J49" i="3"/>
  <c r="G55" i="3"/>
  <c r="D56" i="3"/>
  <c r="I56" i="3" s="1"/>
  <c r="D55" i="3"/>
  <c r="D23" i="3"/>
  <c r="D22" i="3"/>
  <c r="G58" i="3" l="1"/>
  <c r="I55" i="3"/>
  <c r="AW159" i="1"/>
  <c r="F16" i="7"/>
  <c r="G16" i="7" s="1"/>
  <c r="F31" i="7"/>
  <c r="G31" i="7" s="1"/>
  <c r="F28" i="7"/>
  <c r="G28" i="7" s="1"/>
  <c r="AW235" i="1"/>
  <c r="F35" i="7"/>
  <c r="G35" i="7" s="1"/>
  <c r="H40" i="7"/>
  <c r="H35" i="7"/>
  <c r="H38" i="7"/>
  <c r="H39" i="7"/>
  <c r="H36" i="7"/>
  <c r="H37" i="7"/>
  <c r="F12" i="7"/>
  <c r="G12" i="7" s="1"/>
  <c r="H12" i="7"/>
  <c r="H10" i="7"/>
  <c r="F10" i="7"/>
  <c r="G10" i="7" s="1"/>
  <c r="H8" i="7"/>
  <c r="H11" i="7"/>
  <c r="H9" i="7"/>
  <c r="H7" i="7"/>
  <c r="F6" i="7"/>
  <c r="G6" i="7" s="1"/>
  <c r="H6" i="7"/>
  <c r="F30" i="7"/>
  <c r="G30" i="7" s="1"/>
  <c r="CD237" i="1"/>
  <c r="BY237" i="1"/>
  <c r="BP106" i="1"/>
  <c r="BK106" i="1"/>
  <c r="BP90" i="1"/>
  <c r="BK90" i="1"/>
  <c r="BP74" i="1"/>
  <c r="BK74" i="1"/>
  <c r="BP19" i="1"/>
  <c r="BK19" i="1"/>
  <c r="BP117" i="1"/>
  <c r="BK117" i="1"/>
  <c r="CD101" i="1"/>
  <c r="BY101" i="1"/>
  <c r="BP65" i="1"/>
  <c r="BK65" i="1"/>
  <c r="CD220" i="1"/>
  <c r="BY220" i="1"/>
  <c r="BB112" i="1"/>
  <c r="AW112" i="1"/>
  <c r="BB96" i="1"/>
  <c r="AW96" i="1"/>
  <c r="BP88" i="1"/>
  <c r="BK88" i="1"/>
  <c r="BB72" i="1"/>
  <c r="AW72" i="1"/>
  <c r="CD60" i="1"/>
  <c r="BY60" i="1"/>
  <c r="CD219" i="1"/>
  <c r="BY219" i="1"/>
  <c r="BP115" i="1"/>
  <c r="BK115" i="1"/>
  <c r="BB111" i="1"/>
  <c r="AW111" i="1"/>
  <c r="BB95" i="1"/>
  <c r="AW95" i="1"/>
  <c r="BB87" i="1"/>
  <c r="AW87" i="1"/>
  <c r="CD71" i="1"/>
  <c r="BY71" i="1"/>
  <c r="BP67" i="1"/>
  <c r="BK67" i="1"/>
  <c r="BB63" i="1"/>
  <c r="AW63" i="1"/>
  <c r="BB236" i="1"/>
  <c r="AW236" i="1"/>
  <c r="CD221" i="1"/>
  <c r="BY221" i="1"/>
  <c r="BB166" i="1"/>
  <c r="AW166" i="1"/>
  <c r="BB113" i="1"/>
  <c r="AW113" i="1"/>
  <c r="CD105" i="1"/>
  <c r="BY105" i="1"/>
  <c r="CD97" i="1"/>
  <c r="BY97" i="1"/>
  <c r="BB69" i="1"/>
  <c r="AW69" i="1"/>
  <c r="BB241" i="1"/>
  <c r="AW241" i="1"/>
  <c r="BB237" i="1"/>
  <c r="AW237" i="1"/>
  <c r="BB216" i="1"/>
  <c r="AW216" i="1"/>
  <c r="CD167" i="1"/>
  <c r="BY167" i="1"/>
  <c r="BP163" i="1"/>
  <c r="BK163" i="1"/>
  <c r="CD118" i="1"/>
  <c r="BY118" i="1"/>
  <c r="CD114" i="1"/>
  <c r="BY114" i="1"/>
  <c r="BP110" i="1"/>
  <c r="BK110" i="1"/>
  <c r="CD102" i="1"/>
  <c r="BY102" i="1"/>
  <c r="CD98" i="1"/>
  <c r="BY98" i="1"/>
  <c r="BP94" i="1"/>
  <c r="BK94" i="1"/>
  <c r="CD86" i="1"/>
  <c r="BY86" i="1"/>
  <c r="CD82" i="1"/>
  <c r="BY82" i="1"/>
  <c r="BP78" i="1"/>
  <c r="BK78" i="1"/>
  <c r="BB70" i="1"/>
  <c r="AW70" i="1"/>
  <c r="CD66" i="1"/>
  <c r="BY66" i="1"/>
  <c r="BP62" i="1"/>
  <c r="BK62" i="1"/>
  <c r="BB240" i="1"/>
  <c r="AW240" i="1"/>
  <c r="BP217" i="1"/>
  <c r="BK217" i="1"/>
  <c r="BB162" i="1"/>
  <c r="AW162" i="1"/>
  <c r="BP109" i="1"/>
  <c r="BK109" i="1"/>
  <c r="BP101" i="1"/>
  <c r="BK101" i="1"/>
  <c r="BB93" i="1"/>
  <c r="AW93" i="1"/>
  <c r="BP73" i="1"/>
  <c r="BK73" i="1"/>
  <c r="BB65" i="1"/>
  <c r="AW65" i="1"/>
  <c r="BP18" i="1"/>
  <c r="BK18" i="1"/>
  <c r="CD235" i="1"/>
  <c r="BY235" i="1"/>
  <c r="BP220" i="1"/>
  <c r="BK220" i="1"/>
  <c r="CD165" i="1"/>
  <c r="BY165" i="1"/>
  <c r="BP161" i="1"/>
  <c r="BK161" i="1"/>
  <c r="BB116" i="1"/>
  <c r="AW116" i="1"/>
  <c r="CD112" i="1"/>
  <c r="BY112" i="1"/>
  <c r="BP108" i="1"/>
  <c r="BK108" i="1"/>
  <c r="BB100" i="1"/>
  <c r="AW100" i="1"/>
  <c r="CD96" i="1"/>
  <c r="BY96" i="1"/>
  <c r="CD92" i="1"/>
  <c r="BY92" i="1"/>
  <c r="CD84" i="1"/>
  <c r="BY84" i="1"/>
  <c r="CD80" i="1"/>
  <c r="BY80" i="1"/>
  <c r="BP76" i="1"/>
  <c r="BK76" i="1"/>
  <c r="BB68" i="1"/>
  <c r="AW68" i="1"/>
  <c r="BB64" i="1"/>
  <c r="AW64" i="1"/>
  <c r="BP60" i="1"/>
  <c r="BK60" i="1"/>
  <c r="BB238" i="1"/>
  <c r="AW238" i="1"/>
  <c r="CD225" i="1"/>
  <c r="BY225" i="1"/>
  <c r="BP219" i="1"/>
  <c r="BK219" i="1"/>
  <c r="BB160" i="1"/>
  <c r="AW160" i="1"/>
  <c r="BP119" i="1"/>
  <c r="BK119" i="1"/>
  <c r="BB115" i="1"/>
  <c r="AW115" i="1"/>
  <c r="BP107" i="1"/>
  <c r="BK107" i="1"/>
  <c r="BP103" i="1"/>
  <c r="BK103" i="1"/>
  <c r="BP99" i="1"/>
  <c r="BK99" i="1"/>
  <c r="CD91" i="1"/>
  <c r="BY91" i="1"/>
  <c r="BP87" i="1"/>
  <c r="BK87" i="1"/>
  <c r="CD83" i="1"/>
  <c r="BY83" i="1"/>
  <c r="CD75" i="1"/>
  <c r="BY75" i="1"/>
  <c r="BB71" i="1"/>
  <c r="AW71" i="1"/>
  <c r="BB67" i="1"/>
  <c r="AW67" i="1"/>
  <c r="BB20" i="1"/>
  <c r="AW20" i="1"/>
  <c r="BP236" i="1"/>
  <c r="BK236" i="1"/>
  <c r="BP221" i="1"/>
  <c r="BK221" i="1"/>
  <c r="BB121" i="1"/>
  <c r="AW121" i="1"/>
  <c r="CD113" i="1"/>
  <c r="BY113" i="1"/>
  <c r="BP105" i="1"/>
  <c r="BK105" i="1"/>
  <c r="BP89" i="1"/>
  <c r="BK89" i="1"/>
  <c r="BB85" i="1"/>
  <c r="AW85" i="1"/>
  <c r="BB77" i="1"/>
  <c r="AW77" i="1"/>
  <c r="CD61" i="1"/>
  <c r="BY61" i="1"/>
  <c r="CD241" i="1"/>
  <c r="BY241" i="1"/>
  <c r="BB167" i="1"/>
  <c r="AW167" i="1"/>
  <c r="BB114" i="1"/>
  <c r="AW114" i="1"/>
  <c r="BB98" i="1"/>
  <c r="AW98" i="1"/>
  <c r="BB82" i="1"/>
  <c r="AW82" i="1"/>
  <c r="BB66" i="1"/>
  <c r="AW66" i="1"/>
  <c r="BB217" i="1"/>
  <c r="AW217" i="1"/>
  <c r="BP81" i="1"/>
  <c r="BK81" i="1"/>
  <c r="BP239" i="1"/>
  <c r="BK239" i="1"/>
  <c r="BB120" i="1"/>
  <c r="AW120" i="1"/>
  <c r="BB104" i="1"/>
  <c r="AW104" i="1"/>
  <c r="BB80" i="1"/>
  <c r="AW80" i="1"/>
  <c r="CD64" i="1"/>
  <c r="BY64" i="1"/>
  <c r="BP242" i="1"/>
  <c r="BK242" i="1"/>
  <c r="BP164" i="1"/>
  <c r="BK164" i="1"/>
  <c r="CD103" i="1"/>
  <c r="BY103" i="1"/>
  <c r="BP83" i="1"/>
  <c r="BK83" i="1"/>
  <c r="CD85" i="1"/>
  <c r="BY85" i="1"/>
  <c r="BP241" i="1"/>
  <c r="BK241" i="1"/>
  <c r="BB222" i="1"/>
  <c r="AW222" i="1"/>
  <c r="CD216" i="1"/>
  <c r="BY216" i="1"/>
  <c r="BP167" i="1"/>
  <c r="BK167" i="1"/>
  <c r="BP159" i="1"/>
  <c r="BK159" i="1"/>
  <c r="BP118" i="1"/>
  <c r="BK118" i="1"/>
  <c r="BP114" i="1"/>
  <c r="BK114" i="1"/>
  <c r="CD106" i="1"/>
  <c r="BY106" i="1"/>
  <c r="BP102" i="1"/>
  <c r="BK102" i="1"/>
  <c r="BP98" i="1"/>
  <c r="BK98" i="1"/>
  <c r="CD90" i="1"/>
  <c r="BY90" i="1"/>
  <c r="BB86" i="1"/>
  <c r="AW86" i="1"/>
  <c r="BP82" i="1"/>
  <c r="BK82" i="1"/>
  <c r="CD74" i="1"/>
  <c r="BY74" i="1"/>
  <c r="CD70" i="1"/>
  <c r="BY70" i="1"/>
  <c r="BP66" i="1"/>
  <c r="BK66" i="1"/>
  <c r="CD19" i="1"/>
  <c r="BY19" i="1"/>
  <c r="CD240" i="1"/>
  <c r="BY240" i="1"/>
  <c r="CD217" i="1"/>
  <c r="BY217" i="1"/>
  <c r="CD117" i="1"/>
  <c r="BY117" i="1"/>
  <c r="CD109" i="1"/>
  <c r="BY109" i="1"/>
  <c r="BB101" i="1"/>
  <c r="AW101" i="1"/>
  <c r="BB81" i="1"/>
  <c r="AW81" i="1"/>
  <c r="BB73" i="1"/>
  <c r="AW73" i="1"/>
  <c r="CD65" i="1"/>
  <c r="BY65" i="1"/>
  <c r="BB239" i="1"/>
  <c r="AW239" i="1"/>
  <c r="BB220" i="1"/>
  <c r="AW220" i="1"/>
  <c r="BP165" i="1"/>
  <c r="BK165" i="1"/>
  <c r="BP120" i="1"/>
  <c r="BK120" i="1"/>
  <c r="BP116" i="1"/>
  <c r="BK116" i="1"/>
  <c r="BP112" i="1"/>
  <c r="BK112" i="1"/>
  <c r="CD104" i="1"/>
  <c r="BY104" i="1"/>
  <c r="CD100" i="1"/>
  <c r="BY100" i="1"/>
  <c r="BP96" i="1"/>
  <c r="BK96" i="1"/>
  <c r="CD88" i="1"/>
  <c r="BY88" i="1"/>
  <c r="BB84" i="1"/>
  <c r="AW84" i="1"/>
  <c r="BP80" i="1"/>
  <c r="BK80" i="1"/>
  <c r="CD72" i="1"/>
  <c r="BY72" i="1"/>
  <c r="CD68" i="1"/>
  <c r="BY68" i="1"/>
  <c r="BP64" i="1"/>
  <c r="BK64" i="1"/>
  <c r="BB242" i="1"/>
  <c r="AW242" i="1"/>
  <c r="BP238" i="1"/>
  <c r="BK238" i="1"/>
  <c r="BP225" i="1"/>
  <c r="BK225" i="1"/>
  <c r="BB164" i="1"/>
  <c r="AW164" i="1"/>
  <c r="CD160" i="1"/>
  <c r="BY160" i="1"/>
  <c r="BB119" i="1"/>
  <c r="AW119" i="1"/>
  <c r="BP111" i="1"/>
  <c r="BK111" i="1"/>
  <c r="BB107" i="1"/>
  <c r="AW107" i="1"/>
  <c r="BB103" i="1"/>
  <c r="AW103" i="1"/>
  <c r="CD95" i="1"/>
  <c r="BY95" i="1"/>
  <c r="BB91" i="1"/>
  <c r="AW91" i="1"/>
  <c r="CD87" i="1"/>
  <c r="BY87" i="1"/>
  <c r="CD79" i="1"/>
  <c r="BY79" i="1"/>
  <c r="BP75" i="1"/>
  <c r="BK75" i="1"/>
  <c r="BP71" i="1"/>
  <c r="BK71" i="1"/>
  <c r="CD63" i="1"/>
  <c r="BY63" i="1"/>
  <c r="BP20" i="1"/>
  <c r="BK20" i="1"/>
  <c r="CD236" i="1"/>
  <c r="BY236" i="1"/>
  <c r="CD166" i="1"/>
  <c r="BY166" i="1"/>
  <c r="CD121" i="1"/>
  <c r="BY121" i="1"/>
  <c r="BP113" i="1"/>
  <c r="BK113" i="1"/>
  <c r="BB97" i="1"/>
  <c r="AW97" i="1"/>
  <c r="BB89" i="1"/>
  <c r="AW89" i="1"/>
  <c r="BP85" i="1"/>
  <c r="BK85" i="1"/>
  <c r="CD69" i="1"/>
  <c r="BY69" i="1"/>
  <c r="BB61" i="1"/>
  <c r="AW61" i="1"/>
  <c r="CD222" i="1"/>
  <c r="BY222" i="1"/>
  <c r="CD163" i="1"/>
  <c r="BY163" i="1"/>
  <c r="CD110" i="1"/>
  <c r="BY110" i="1"/>
  <c r="CD94" i="1"/>
  <c r="BY94" i="1"/>
  <c r="BB78" i="1"/>
  <c r="AW78" i="1"/>
  <c r="CD62" i="1"/>
  <c r="BY62" i="1"/>
  <c r="BP162" i="1"/>
  <c r="BK162" i="1"/>
  <c r="CD93" i="1"/>
  <c r="BY93" i="1"/>
  <c r="CD18" i="1"/>
  <c r="BY18" i="1"/>
  <c r="BB165" i="1"/>
  <c r="AW165" i="1"/>
  <c r="BB161" i="1"/>
  <c r="AW161" i="1"/>
  <c r="CD108" i="1"/>
  <c r="BY108" i="1"/>
  <c r="BB92" i="1"/>
  <c r="AW92" i="1"/>
  <c r="CD76" i="1"/>
  <c r="BY76" i="1"/>
  <c r="BB225" i="1"/>
  <c r="AW225" i="1"/>
  <c r="CD119" i="1"/>
  <c r="BY119" i="1"/>
  <c r="BB99" i="1"/>
  <c r="AW99" i="1"/>
  <c r="BB79" i="1"/>
  <c r="AW79" i="1"/>
  <c r="CD77" i="1"/>
  <c r="BY77" i="1"/>
  <c r="BP237" i="1"/>
  <c r="BK237" i="1"/>
  <c r="BP222" i="1"/>
  <c r="BK222" i="1"/>
  <c r="BP216" i="1"/>
  <c r="BK216" i="1"/>
  <c r="BB163" i="1"/>
  <c r="AW163" i="1"/>
  <c r="CD159" i="1"/>
  <c r="BY159" i="1"/>
  <c r="BB118" i="1"/>
  <c r="AW118" i="1"/>
  <c r="BB110" i="1"/>
  <c r="AW110" i="1"/>
  <c r="BB106" i="1"/>
  <c r="AW106" i="1"/>
  <c r="BB102" i="1"/>
  <c r="AW102" i="1"/>
  <c r="BB94" i="1"/>
  <c r="AW94" i="1"/>
  <c r="BB90" i="1"/>
  <c r="AW90" i="1"/>
  <c r="BP86" i="1"/>
  <c r="BK86" i="1"/>
  <c r="CD78" i="1"/>
  <c r="BY78" i="1"/>
  <c r="BB74" i="1"/>
  <c r="AW74" i="1"/>
  <c r="BP70" i="1"/>
  <c r="BK70" i="1"/>
  <c r="BB62" i="1"/>
  <c r="AW62" i="1"/>
  <c r="BB19" i="1"/>
  <c r="AW19" i="1"/>
  <c r="BP240" i="1"/>
  <c r="BK240" i="1"/>
  <c r="CD162" i="1"/>
  <c r="BY162" i="1"/>
  <c r="BB117" i="1"/>
  <c r="AW117" i="1"/>
  <c r="BB109" i="1"/>
  <c r="AW109" i="1"/>
  <c r="BP93" i="1"/>
  <c r="BK93" i="1"/>
  <c r="CD81" i="1"/>
  <c r="BY81" i="1"/>
  <c r="CD73" i="1"/>
  <c r="BY73" i="1"/>
  <c r="BB18" i="1"/>
  <c r="AW18" i="1"/>
  <c r="CD239" i="1"/>
  <c r="BY239" i="1"/>
  <c r="BP235" i="1"/>
  <c r="BK235" i="1"/>
  <c r="CD161" i="1"/>
  <c r="BY161" i="1"/>
  <c r="CD120" i="1"/>
  <c r="BY120" i="1"/>
  <c r="CD116" i="1"/>
  <c r="BY116" i="1"/>
  <c r="BB108" i="1"/>
  <c r="AW108" i="1"/>
  <c r="BP104" i="1"/>
  <c r="BK104" i="1"/>
  <c r="BP100" i="1"/>
  <c r="BK100" i="1"/>
  <c r="BP92" i="1"/>
  <c r="BK92" i="1"/>
  <c r="BB88" i="1"/>
  <c r="AW88" i="1"/>
  <c r="BP84" i="1"/>
  <c r="BK84" i="1"/>
  <c r="BB76" i="1"/>
  <c r="AW76" i="1"/>
  <c r="BP72" i="1"/>
  <c r="BK72" i="1"/>
  <c r="BP68" i="1"/>
  <c r="BK68" i="1"/>
  <c r="BB60" i="1"/>
  <c r="AW60" i="1"/>
  <c r="CD242" i="1"/>
  <c r="BY242" i="1"/>
  <c r="CD238" i="1"/>
  <c r="BY238" i="1"/>
  <c r="BB219" i="1"/>
  <c r="AW219" i="1"/>
  <c r="CD164" i="1"/>
  <c r="BY164" i="1"/>
  <c r="BP160" i="1"/>
  <c r="BK160" i="1"/>
  <c r="CD115" i="1"/>
  <c r="BY115" i="1"/>
  <c r="CD111" i="1"/>
  <c r="BY111" i="1"/>
  <c r="CD107" i="1"/>
  <c r="BY107" i="1"/>
  <c r="CD99" i="1"/>
  <c r="BY99" i="1"/>
  <c r="BP95" i="1"/>
  <c r="BK95" i="1"/>
  <c r="BP91" i="1"/>
  <c r="BK91" i="1"/>
  <c r="BB83" i="1"/>
  <c r="AW83" i="1"/>
  <c r="BP79" i="1"/>
  <c r="BK79" i="1"/>
  <c r="BB75" i="1"/>
  <c r="AW75" i="1"/>
  <c r="CD67" i="1"/>
  <c r="BY67" i="1"/>
  <c r="BP63" i="1"/>
  <c r="BK63" i="1"/>
  <c r="CD20" i="1"/>
  <c r="BY20" i="1"/>
  <c r="BB221" i="1"/>
  <c r="AW221" i="1"/>
  <c r="BP166" i="1"/>
  <c r="BK166" i="1"/>
  <c r="BP121" i="1"/>
  <c r="BK121" i="1"/>
  <c r="BB105" i="1"/>
  <c r="AW105" i="1"/>
  <c r="BP97" i="1"/>
  <c r="BK97" i="1"/>
  <c r="CD89" i="1"/>
  <c r="BY89" i="1"/>
  <c r="BP77" i="1"/>
  <c r="BK77" i="1"/>
  <c r="BP69" i="1"/>
  <c r="BK69" i="1"/>
  <c r="BP61" i="1"/>
  <c r="BK61" i="1"/>
  <c r="U218" i="1"/>
  <c r="D66" i="5" s="1"/>
  <c r="C66" i="5"/>
  <c r="C1" i="4"/>
  <c r="C138" i="4"/>
  <c r="BB235" i="1"/>
  <c r="AV268" i="1"/>
  <c r="AW268" i="1" s="1"/>
  <c r="C12" i="5"/>
  <c r="U217" i="1"/>
  <c r="D152" i="4" s="1"/>
  <c r="C40" i="4"/>
  <c r="C74" i="5"/>
  <c r="C153" i="4"/>
  <c r="C124" i="4"/>
  <c r="U216" i="1"/>
  <c r="D153" i="4" s="1"/>
  <c r="C133" i="4"/>
  <c r="C16" i="5"/>
  <c r="C105" i="5"/>
  <c r="BJ218" i="1"/>
  <c r="BJ228" i="1" s="1"/>
  <c r="BK228" i="1" s="1"/>
  <c r="AV218" i="1"/>
  <c r="BX218" i="1"/>
  <c r="BX228" i="1" s="1"/>
  <c r="BY228" i="1" s="1"/>
  <c r="C13" i="5"/>
  <c r="BB159" i="1"/>
  <c r="C117" i="4"/>
  <c r="C190" i="5"/>
  <c r="C141" i="4"/>
  <c r="U239" i="1"/>
  <c r="D23" i="5" s="1"/>
  <c r="U238" i="1"/>
  <c r="D141" i="4" s="1"/>
  <c r="U240" i="1"/>
  <c r="D164" i="5" s="1"/>
  <c r="U161" i="1"/>
  <c r="D94" i="4" s="1"/>
  <c r="C200" i="5"/>
  <c r="U241" i="1"/>
  <c r="D120" i="4" s="1"/>
  <c r="C120" i="4"/>
  <c r="C137" i="4"/>
  <c r="U237" i="1"/>
  <c r="D136" i="4" s="1"/>
  <c r="U163" i="1"/>
  <c r="D72" i="4" s="1"/>
  <c r="U235" i="1"/>
  <c r="D200" i="5" s="1"/>
  <c r="U242" i="1"/>
  <c r="D108" i="5" s="1"/>
  <c r="C146" i="4"/>
  <c r="C136" i="4"/>
  <c r="C72" i="4"/>
  <c r="U236" i="1"/>
  <c r="D144" i="4" s="1"/>
  <c r="C116" i="4"/>
  <c r="U225" i="1"/>
  <c r="D146" i="4" s="1"/>
  <c r="C108" i="5"/>
  <c r="C143" i="5"/>
  <c r="C132" i="4"/>
  <c r="C131" i="5"/>
  <c r="C192" i="5"/>
  <c r="C164" i="5"/>
  <c r="C209" i="5"/>
  <c r="C144" i="4"/>
  <c r="AK89" i="1"/>
  <c r="AK73" i="1"/>
  <c r="AK165" i="1"/>
  <c r="AK116" i="1"/>
  <c r="AK100" i="1"/>
  <c r="AK84" i="1"/>
  <c r="AK72" i="1"/>
  <c r="AK119" i="1"/>
  <c r="AK103" i="1"/>
  <c r="AK87" i="1"/>
  <c r="AK71" i="1"/>
  <c r="AK110" i="1"/>
  <c r="AK94" i="1"/>
  <c r="AK78" i="1"/>
  <c r="AK74" i="1"/>
  <c r="C65" i="4"/>
  <c r="U160" i="1"/>
  <c r="D88" i="4" s="1"/>
  <c r="AK121" i="1"/>
  <c r="AK162" i="1"/>
  <c r="AK85" i="1"/>
  <c r="AK68" i="1"/>
  <c r="AK67" i="1"/>
  <c r="AK159" i="1"/>
  <c r="AK90" i="1"/>
  <c r="AK70" i="1"/>
  <c r="AK113" i="1"/>
  <c r="AK97" i="1"/>
  <c r="AK81" i="1"/>
  <c r="AK65" i="1"/>
  <c r="AK161" i="1"/>
  <c r="AK112" i="1"/>
  <c r="AK108" i="1"/>
  <c r="AK96" i="1"/>
  <c r="AK92" i="1"/>
  <c r="AK80" i="1"/>
  <c r="AK76" i="1"/>
  <c r="AK164" i="1"/>
  <c r="AK167" i="1"/>
  <c r="AK163" i="1"/>
  <c r="AK66" i="1"/>
  <c r="AK166" i="1"/>
  <c r="AK105" i="1"/>
  <c r="C73" i="5"/>
  <c r="AK117" i="1"/>
  <c r="AK101" i="1"/>
  <c r="AK69" i="1"/>
  <c r="AK160" i="1"/>
  <c r="AK115" i="1"/>
  <c r="AK111" i="1"/>
  <c r="AK99" i="1"/>
  <c r="AK95" i="1"/>
  <c r="AK83" i="1"/>
  <c r="AK79" i="1"/>
  <c r="AK63" i="1"/>
  <c r="AK106" i="1"/>
  <c r="C83" i="4"/>
  <c r="C80" i="4"/>
  <c r="AK109" i="1"/>
  <c r="AK93" i="1"/>
  <c r="AK77" i="1"/>
  <c r="AK61" i="1"/>
  <c r="AK120" i="1"/>
  <c r="AK104" i="1"/>
  <c r="AK88" i="1"/>
  <c r="AK64" i="1"/>
  <c r="AK107" i="1"/>
  <c r="AK91" i="1"/>
  <c r="AK75" i="1"/>
  <c r="AK118" i="1"/>
  <c r="AK114" i="1"/>
  <c r="AK102" i="1"/>
  <c r="AK98" i="1"/>
  <c r="AK86" i="1"/>
  <c r="AK82" i="1"/>
  <c r="AK62" i="1"/>
  <c r="C84" i="5"/>
  <c r="C79" i="4"/>
  <c r="U166" i="1"/>
  <c r="D71" i="4" s="1"/>
  <c r="U167" i="1"/>
  <c r="D79" i="4" s="1"/>
  <c r="U159" i="1"/>
  <c r="D77" i="5" s="1"/>
  <c r="U162" i="1"/>
  <c r="D68" i="4" s="1"/>
  <c r="U165" i="1"/>
  <c r="D65" i="4" s="1"/>
  <c r="U164" i="1"/>
  <c r="D189" i="5" s="1"/>
  <c r="AB19" i="1"/>
  <c r="AC19" i="1" s="1"/>
  <c r="AD19" i="1" s="1"/>
  <c r="AE19" i="1" s="1"/>
  <c r="C89" i="5"/>
  <c r="AK60" i="1"/>
  <c r="AB20" i="1"/>
  <c r="AC20" i="1" s="1"/>
  <c r="AD20" i="1" s="1"/>
  <c r="AE20" i="1" s="1"/>
  <c r="AB18" i="1"/>
  <c r="AC18" i="1" s="1"/>
  <c r="AD18" i="1" s="1"/>
  <c r="AE18" i="1" s="1"/>
  <c r="C68" i="4"/>
  <c r="C174" i="5"/>
  <c r="C71" i="4"/>
  <c r="C94" i="4"/>
  <c r="C88" i="4"/>
  <c r="D1" i="4"/>
  <c r="D138" i="4"/>
  <c r="D74" i="5"/>
  <c r="C22" i="5"/>
  <c r="C95" i="5"/>
  <c r="C179" i="5"/>
  <c r="C49" i="5"/>
  <c r="C140" i="5"/>
  <c r="C128" i="5"/>
  <c r="C75" i="5"/>
  <c r="C101" i="5"/>
  <c r="C62" i="5"/>
  <c r="C94" i="5"/>
  <c r="C178" i="5"/>
  <c r="C53" i="5"/>
  <c r="C135" i="5"/>
  <c r="C70" i="5"/>
  <c r="C158" i="5"/>
  <c r="C106" i="5"/>
  <c r="C136" i="5"/>
  <c r="C93" i="5"/>
  <c r="C177" i="5"/>
  <c r="C35" i="5"/>
  <c r="C153" i="5"/>
  <c r="C133" i="5"/>
  <c r="C161" i="5"/>
  <c r="C7" i="5"/>
  <c r="C148" i="5"/>
  <c r="C121" i="5"/>
  <c r="C176" i="5"/>
  <c r="C34" i="5"/>
  <c r="C41" i="5"/>
  <c r="C216" i="5"/>
  <c r="C103" i="5"/>
  <c r="C138" i="5"/>
  <c r="D124" i="4"/>
  <c r="D12" i="5"/>
  <c r="D40" i="4"/>
  <c r="D16" i="5"/>
  <c r="D133" i="4"/>
  <c r="D105" i="5"/>
  <c r="C83" i="5"/>
  <c r="C180" i="5"/>
  <c r="C42" i="5"/>
  <c r="C167" i="5"/>
  <c r="C18" i="5"/>
  <c r="C116" i="5"/>
  <c r="C36" i="5"/>
  <c r="C230" i="5"/>
  <c r="C99" i="5"/>
  <c r="C97" i="5"/>
  <c r="C44" i="5"/>
  <c r="C63" i="5"/>
  <c r="C218" i="5"/>
  <c r="C96" i="5"/>
  <c r="C37" i="5"/>
  <c r="C232" i="5"/>
  <c r="C120" i="5"/>
  <c r="C31" i="5"/>
  <c r="C229" i="5"/>
  <c r="C67" i="5"/>
  <c r="C119" i="5"/>
  <c r="C46" i="5"/>
  <c r="C38" i="5"/>
  <c r="C104" i="5"/>
  <c r="C21" i="5"/>
  <c r="C118" i="5"/>
  <c r="C40" i="5"/>
  <c r="C102" i="5"/>
  <c r="C20" i="5"/>
  <c r="C117" i="5"/>
  <c r="C137" i="5"/>
  <c r="C124" i="5"/>
  <c r="C98" i="5"/>
  <c r="U114" i="1"/>
  <c r="C43" i="4"/>
  <c r="U106" i="1"/>
  <c r="C62" i="4"/>
  <c r="U98" i="1"/>
  <c r="C110" i="4"/>
  <c r="U90" i="1"/>
  <c r="C87" i="4"/>
  <c r="U82" i="1"/>
  <c r="C53" i="4"/>
  <c r="U74" i="1"/>
  <c r="C78" i="4"/>
  <c r="U66" i="1"/>
  <c r="C99" i="4"/>
  <c r="U19" i="1"/>
  <c r="C27" i="4"/>
  <c r="U121" i="1"/>
  <c r="C37" i="4"/>
  <c r="U113" i="1"/>
  <c r="C35" i="4"/>
  <c r="U105" i="1"/>
  <c r="C61" i="4"/>
  <c r="U97" i="1"/>
  <c r="C75" i="4"/>
  <c r="U89" i="1"/>
  <c r="C85" i="4"/>
  <c r="U81" i="1"/>
  <c r="C47" i="4"/>
  <c r="U73" i="1"/>
  <c r="C74" i="4"/>
  <c r="U65" i="1"/>
  <c r="C91" i="4"/>
  <c r="U18" i="1"/>
  <c r="C28" i="4"/>
  <c r="U120" i="1"/>
  <c r="C51" i="4"/>
  <c r="U112" i="1"/>
  <c r="C58" i="4"/>
  <c r="U104" i="1"/>
  <c r="C60" i="4"/>
  <c r="U96" i="1"/>
  <c r="C81" i="4"/>
  <c r="U88" i="1"/>
  <c r="C104" i="4"/>
  <c r="U80" i="1"/>
  <c r="C77" i="4"/>
  <c r="U72" i="1"/>
  <c r="C67" i="4"/>
  <c r="U64" i="1"/>
  <c r="C96" i="4"/>
  <c r="C44" i="4"/>
  <c r="U119" i="1"/>
  <c r="C57" i="4"/>
  <c r="U111" i="1"/>
  <c r="C59" i="4"/>
  <c r="U103" i="1"/>
  <c r="C73" i="4"/>
  <c r="U95" i="1"/>
  <c r="C92" i="4"/>
  <c r="U87" i="1"/>
  <c r="C82" i="4"/>
  <c r="U79" i="1"/>
  <c r="C100" i="4"/>
  <c r="U71" i="1"/>
  <c r="C89" i="4"/>
  <c r="U63" i="1"/>
  <c r="U118" i="1"/>
  <c r="C42" i="4"/>
  <c r="C56" i="4"/>
  <c r="U110" i="1"/>
  <c r="U102" i="1"/>
  <c r="C109" i="4"/>
  <c r="C66" i="4"/>
  <c r="U94" i="1"/>
  <c r="U86" i="1"/>
  <c r="C95" i="4"/>
  <c r="C70" i="4"/>
  <c r="U78" i="1"/>
  <c r="U70" i="1"/>
  <c r="C38" i="4"/>
  <c r="C84" i="4"/>
  <c r="U62" i="1"/>
  <c r="C39" i="4"/>
  <c r="U117" i="1"/>
  <c r="U109" i="1"/>
  <c r="C55" i="4"/>
  <c r="U101" i="1"/>
  <c r="C108" i="4"/>
  <c r="U93" i="1"/>
  <c r="C97" i="4"/>
  <c r="U85" i="1"/>
  <c r="C86" i="4"/>
  <c r="U77" i="1"/>
  <c r="C64" i="4"/>
  <c r="U69" i="1"/>
  <c r="C50" i="4"/>
  <c r="U61" i="1"/>
  <c r="C103" i="4"/>
  <c r="C49" i="4"/>
  <c r="U116" i="1"/>
  <c r="U108" i="1"/>
  <c r="C54" i="4"/>
  <c r="U100" i="1"/>
  <c r="C107" i="4"/>
  <c r="U92" i="1"/>
  <c r="C90" i="4"/>
  <c r="C105" i="4"/>
  <c r="U84" i="1"/>
  <c r="U76" i="1"/>
  <c r="C98" i="4"/>
  <c r="U68" i="1"/>
  <c r="C45" i="4"/>
  <c r="U60" i="1"/>
  <c r="C69" i="4"/>
  <c r="C46" i="4"/>
  <c r="U115" i="1"/>
  <c r="U107" i="1"/>
  <c r="C63" i="4"/>
  <c r="U99" i="1"/>
  <c r="C106" i="4"/>
  <c r="U91" i="1"/>
  <c r="C93" i="4"/>
  <c r="U83" i="1"/>
  <c r="C52" i="4"/>
  <c r="C76" i="4"/>
  <c r="U75" i="1"/>
  <c r="C41" i="4"/>
  <c r="U67" i="1"/>
  <c r="C26" i="4"/>
  <c r="U20" i="1"/>
  <c r="K52" i="3"/>
  <c r="D58" i="3"/>
  <c r="L58" i="3" s="1"/>
  <c r="J52" i="3"/>
  <c r="C23" i="3"/>
  <c r="E23" i="3" s="1"/>
  <c r="C22" i="3"/>
  <c r="E22" i="3" s="1"/>
  <c r="C8" i="3"/>
  <c r="E9" i="3" s="1"/>
  <c r="C5" i="3"/>
  <c r="E6" i="3" s="1"/>
  <c r="H31" i="7" l="1"/>
  <c r="D28" i="5"/>
  <c r="F29" i="7"/>
  <c r="G29" i="7" s="1"/>
  <c r="H29" i="7"/>
  <c r="H30" i="7"/>
  <c r="H28" i="7"/>
  <c r="BP218" i="1"/>
  <c r="BK218" i="1"/>
  <c r="BB218" i="1"/>
  <c r="AW218" i="1"/>
  <c r="CD218" i="1"/>
  <c r="BY218" i="1"/>
  <c r="D13" i="5"/>
  <c r="AV228" i="1"/>
  <c r="BJ229" i="1"/>
  <c r="BX229" i="1"/>
  <c r="D190" i="5"/>
  <c r="D79" i="5"/>
  <c r="D188" i="5"/>
  <c r="D117" i="4"/>
  <c r="D132" i="4"/>
  <c r="D131" i="5"/>
  <c r="BX268" i="1"/>
  <c r="D143" i="5"/>
  <c r="D192" i="5"/>
  <c r="AV269" i="1"/>
  <c r="D116" i="4"/>
  <c r="BJ268" i="1"/>
  <c r="BK268" i="1" s="1"/>
  <c r="D137" i="4"/>
  <c r="D209" i="5"/>
  <c r="D45" i="5"/>
  <c r="D73" i="5"/>
  <c r="D174" i="5"/>
  <c r="D83" i="4"/>
  <c r="D80" i="4"/>
  <c r="D84" i="5"/>
  <c r="D89" i="5"/>
  <c r="AK20" i="1"/>
  <c r="AK18" i="1"/>
  <c r="AK19" i="1"/>
  <c r="BJ144" i="1"/>
  <c r="BK144" i="1" s="1"/>
  <c r="D69" i="4"/>
  <c r="D7" i="5"/>
  <c r="D54" i="4"/>
  <c r="D93" i="5"/>
  <c r="D55" i="4"/>
  <c r="D94" i="5"/>
  <c r="D58" i="4"/>
  <c r="D97" i="5"/>
  <c r="D61" i="4"/>
  <c r="D119" i="5"/>
  <c r="D41" i="4"/>
  <c r="D103" i="5"/>
  <c r="D46" i="4"/>
  <c r="D148" i="5"/>
  <c r="D105" i="4"/>
  <c r="D153" i="5"/>
  <c r="D49" i="4"/>
  <c r="D136" i="5"/>
  <c r="D39" i="4"/>
  <c r="D62" i="5"/>
  <c r="D100" i="4"/>
  <c r="D232" i="5"/>
  <c r="D92" i="4"/>
  <c r="D137" i="5"/>
  <c r="D59" i="4"/>
  <c r="D117" i="5"/>
  <c r="D44" i="4"/>
  <c r="D20" i="5"/>
  <c r="BX144" i="1"/>
  <c r="BY144" i="1" s="1"/>
  <c r="D93" i="4"/>
  <c r="D34" i="5"/>
  <c r="D98" i="4"/>
  <c r="D133" i="5"/>
  <c r="D64" i="4"/>
  <c r="D70" i="5"/>
  <c r="D77" i="4"/>
  <c r="D63" i="5"/>
  <c r="D74" i="4"/>
  <c r="D230" i="5"/>
  <c r="D99" i="4"/>
  <c r="D167" i="5"/>
  <c r="D43" i="4"/>
  <c r="D83" i="5"/>
  <c r="D52" i="4"/>
  <c r="D41" i="5"/>
  <c r="D106" i="4"/>
  <c r="D176" i="5"/>
  <c r="D45" i="4"/>
  <c r="D161" i="5"/>
  <c r="D107" i="4"/>
  <c r="D177" i="5"/>
  <c r="D50" i="4"/>
  <c r="D158" i="5"/>
  <c r="D86" i="4"/>
  <c r="D135" i="5"/>
  <c r="D108" i="4"/>
  <c r="D178" i="5"/>
  <c r="D38" i="4"/>
  <c r="D75" i="5"/>
  <c r="D95" i="4"/>
  <c r="D140" i="5"/>
  <c r="D109" i="4"/>
  <c r="D179" i="5"/>
  <c r="D42" i="4"/>
  <c r="D22" i="5"/>
  <c r="D67" i="4"/>
  <c r="D218" i="5"/>
  <c r="D104" i="4"/>
  <c r="D40" i="5"/>
  <c r="D60" i="4"/>
  <c r="D118" i="5"/>
  <c r="D51" i="4"/>
  <c r="D21" i="5"/>
  <c r="D91" i="4"/>
  <c r="D104" i="5"/>
  <c r="D47" i="4"/>
  <c r="D38" i="5"/>
  <c r="D75" i="4"/>
  <c r="D46" i="5"/>
  <c r="D35" i="4"/>
  <c r="D116" i="5"/>
  <c r="D27" i="4"/>
  <c r="D67" i="5"/>
  <c r="D78" i="4"/>
  <c r="D229" i="5"/>
  <c r="D87" i="4"/>
  <c r="D31" i="5"/>
  <c r="D62" i="4"/>
  <c r="D120" i="5"/>
  <c r="AV144" i="1"/>
  <c r="D63" i="4"/>
  <c r="D121" i="5"/>
  <c r="D90" i="4"/>
  <c r="D35" i="5"/>
  <c r="D103" i="4"/>
  <c r="D106" i="5"/>
  <c r="D97" i="4"/>
  <c r="D53" i="5"/>
  <c r="D96" i="4"/>
  <c r="D102" i="5"/>
  <c r="D81" i="4"/>
  <c r="D44" i="5"/>
  <c r="D28" i="4"/>
  <c r="D99" i="5"/>
  <c r="D85" i="4"/>
  <c r="D36" i="5"/>
  <c r="D37" i="4"/>
  <c r="D18" i="5"/>
  <c r="D53" i="4"/>
  <c r="D42" i="5"/>
  <c r="D110" i="4"/>
  <c r="D180" i="5"/>
  <c r="D26" i="4"/>
  <c r="D138" i="5"/>
  <c r="D76" i="4"/>
  <c r="D216" i="5"/>
  <c r="D84" i="4"/>
  <c r="D101" i="5"/>
  <c r="D70" i="4"/>
  <c r="D128" i="5"/>
  <c r="D66" i="4"/>
  <c r="D49" i="5"/>
  <c r="D56" i="4"/>
  <c r="D95" i="5"/>
  <c r="D89" i="4"/>
  <c r="D98" i="5"/>
  <c r="D82" i="4"/>
  <c r="D124" i="5"/>
  <c r="D73" i="4"/>
  <c r="D37" i="5"/>
  <c r="D57" i="4"/>
  <c r="D96" i="5"/>
  <c r="L52" i="3"/>
  <c r="AV229" i="1" l="1"/>
  <c r="AW228" i="1"/>
  <c r="AV145" i="1"/>
  <c r="AW144" i="1"/>
  <c r="BX269" i="1"/>
  <c r="BY268" i="1"/>
  <c r="BJ269" i="1"/>
  <c r="BX145" i="1"/>
  <c r="BJ145" i="1"/>
  <c r="BP145" i="1" s="1"/>
  <c r="BP144" i="1"/>
  <c r="AN257" i="1" l="1"/>
  <c r="C288" i="1" l="1"/>
  <c r="T279" i="1"/>
  <c r="T277" i="1"/>
  <c r="T278" i="1"/>
  <c r="T280" i="1"/>
  <c r="T276" i="1"/>
  <c r="C127" i="4" l="1"/>
  <c r="U280" i="1"/>
  <c r="C132" i="5"/>
  <c r="C139" i="5"/>
  <c r="C125" i="4"/>
  <c r="U278" i="1"/>
  <c r="U277" i="1"/>
  <c r="C142" i="5"/>
  <c r="C122" i="4"/>
  <c r="C154" i="5"/>
  <c r="C121" i="4"/>
  <c r="U276" i="1"/>
  <c r="U279" i="1"/>
  <c r="C134" i="5"/>
  <c r="C126" i="4"/>
  <c r="D127" i="4" l="1"/>
  <c r="D132" i="5"/>
  <c r="AV284" i="1"/>
  <c r="AW284" i="1" s="1"/>
  <c r="BJ284" i="1"/>
  <c r="BK284" i="1" s="1"/>
  <c r="D139" i="5"/>
  <c r="D125" i="4"/>
  <c r="BX284" i="1"/>
  <c r="BY284" i="1" s="1"/>
  <c r="D134" i="5"/>
  <c r="D126" i="4"/>
  <c r="D154" i="5"/>
  <c r="D121" i="4"/>
  <c r="D142" i="5"/>
  <c r="D122" i="4"/>
  <c r="BJ285" i="1" l="1"/>
  <c r="BX285" i="1"/>
  <c r="AV285" i="1"/>
  <c r="AC168" i="1" l="1"/>
  <c r="AB168" i="1"/>
  <c r="AK168" i="1"/>
  <c r="AJ168" i="1"/>
  <c r="AI168" i="1"/>
  <c r="S168" i="1"/>
  <c r="BX168" i="1" s="1"/>
  <c r="CD168" i="1" l="1"/>
  <c r="BY168" i="1"/>
  <c r="BX192" i="1"/>
  <c r="T168" i="1"/>
  <c r="BJ168" i="1"/>
  <c r="AV168" i="1"/>
  <c r="BX193" i="1" l="1"/>
  <c r="BZ290" i="1"/>
  <c r="BZ293" i="1" s="1"/>
  <c r="CE293" i="1" s="1"/>
  <c r="BY192" i="1"/>
  <c r="U168" i="1"/>
  <c r="C21" i="4"/>
  <c r="C227" i="5"/>
  <c r="BB168" i="1"/>
  <c r="H16" i="7"/>
  <c r="H18" i="7"/>
  <c r="F17" i="7"/>
  <c r="G17" i="7" s="1"/>
  <c r="AW168" i="1"/>
  <c r="H17" i="7"/>
  <c r="H19" i="7"/>
  <c r="AV192" i="1"/>
  <c r="BP168" i="1"/>
  <c r="BK168" i="1"/>
  <c r="BJ192" i="1"/>
  <c r="D21" i="4" l="1"/>
  <c r="D227" i="5"/>
  <c r="AW192" i="1"/>
  <c r="AV193" i="1"/>
  <c r="BJ193" i="1"/>
  <c r="BK192" i="1"/>
  <c r="O3" i="5" l="1"/>
  <c r="O4" i="5"/>
  <c r="W4" i="5"/>
  <c r="W3" i="4"/>
  <c r="O2" i="4"/>
  <c r="O3" i="4"/>
  <c r="W5" i="5" l="1"/>
  <c r="X4" i="5" s="1"/>
  <c r="W4" i="4"/>
  <c r="X3" i="4" s="1"/>
</calcChain>
</file>

<file path=xl/comments1.xml><?xml version="1.0" encoding="utf-8"?>
<comments xmlns="http://schemas.openxmlformats.org/spreadsheetml/2006/main">
  <authors>
    <author>Ingrid Malmgren</author>
    <author>Matthew Davidson</author>
  </authors>
  <commentList>
    <comment ref="A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checked values attributable to rounding error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needs to include NPV calc if over life of measure
</t>
        </r>
      </text>
    </comment>
    <comment ref="R3" authorId="1" shapeId="0">
      <text>
        <r>
          <rPr>
            <b/>
            <sz val="9"/>
            <color indexed="81"/>
            <rFont val="Tahoma"/>
            <family val="2"/>
          </rPr>
          <t>WACC as applied in 2016-2018 DSM Resource Plan</t>
        </r>
      </text>
    </comment>
    <comment ref="Z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E1
https://www.halifax.ca/home-property/halifax-water/accounts-billing/rates-charges-water-wastewater-stormwater
Combined water and wastewater volumetric charge. </t>
        </r>
      </text>
    </comment>
    <comment ref="V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W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X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from MA TRM page 279 converted to cubic meters</t>
        </r>
      </text>
    </comment>
    <comment ref="Z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279 converted to cubic meters</t>
        </r>
      </text>
    </comment>
    <comment ref="AG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V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from MA TRM page 279 converted to cubic meters</t>
        </r>
      </text>
    </comment>
    <comment ref="Z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279 converted to cubic meters
</t>
        </r>
      </text>
    </comment>
    <comment ref="AG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279 converted to cubic meters</t>
        </r>
      </text>
    </comment>
    <comment ref="Z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279 converted to cubic meters
</t>
        </r>
      </text>
    </comment>
    <comment ref="AG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279 converted to cubic meters</t>
        </r>
      </text>
    </comment>
    <comment ref="Z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279 converted to cubic meters
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277</t>
        </r>
      </text>
    </comment>
    <comment ref="V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W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X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Z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AG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page 280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X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Z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AG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page 280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W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X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Z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page 280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page 280
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Z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280 converted to cubic meters</t>
        </r>
      </text>
    </comment>
    <comment ref="AG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page 280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285</t>
        </r>
      </text>
    </comment>
    <comment ref="W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285</t>
        </r>
      </text>
    </comment>
    <comment ref="Z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285</t>
        </r>
      </text>
    </comment>
    <comment ref="AG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285</t>
        </r>
      </text>
    </comment>
    <comment ref="V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W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Z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AG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Z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AG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Z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AG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p.287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p.324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p.324</t>
        </r>
      </text>
    </comment>
    <comment ref="Z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p.324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p.324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Z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
2016-2018 Plan
p.419-420 includes admin costs, material handling, material movement, other costs, other labor costs, O&amp;M product spoilage, rent revenue, sales revenue and waste disposal.</t>
        </r>
      </text>
    </comment>
    <comment ref="AG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AN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Z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rom MA TRM
2016-2018 Plan
p.419-420 includes admin costs, material handling, material movement, other costs, other labor costs, O&amp;M product spoilage, rent revenue, sales revenue and waste disposal.</t>
        </r>
      </text>
    </comment>
    <comment ref="AG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M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AN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Z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rom MA TRM
2016-2018 Plan
p.419-420 includes admin costs, material handling, material movement, other costs, other labor costs, O&amp;M product spoilage, rent revenue, sales revenue and waste disposal.</t>
        </r>
      </text>
    </comment>
    <comment ref="AG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M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AN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p.419-420 includes admin costs, material handling, material movement, other costs, other labor costs, O&amp;M product spoilage, rent revenue, sales revenue and waste disposal.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p.285 MA TRM
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p.285 MA TRM
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p.285 MA TRM</t>
        </r>
      </text>
    </comment>
    <comment ref="Z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p.285 MA TRM</t>
        </r>
      </text>
    </comment>
    <comment ref="AG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
</t>
        </r>
      </text>
    </comment>
    <comment ref="W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
</t>
        </r>
      </text>
    </comment>
    <comment ref="X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</t>
        </r>
      </text>
    </comment>
    <comment ref="Z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</t>
        </r>
      </text>
    </comment>
    <comment ref="AG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
</t>
        </r>
      </text>
    </comment>
    <comment ref="W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
</t>
        </r>
      </text>
    </comment>
    <comment ref="X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</t>
        </r>
      </text>
    </comment>
    <comment ref="Z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p.283 MA TRM</t>
        </r>
      </text>
    </comment>
    <comment ref="AG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271
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271
</t>
        </r>
      </text>
    </comment>
    <comment ref="Z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271
</t>
        </r>
      </text>
    </comment>
    <comment ref="AG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p.236 MA TRM
</t>
        </r>
      </text>
    </comment>
    <comment ref="W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p.236 MA TRM
</t>
        </r>
      </text>
    </comment>
    <comment ref="Z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p.236 MA TRM
</t>
        </r>
      </text>
    </comment>
    <comment ref="AG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p.236 MA TRM
</t>
        </r>
      </text>
    </comment>
    <comment ref="W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p.236 MA TRM
</t>
        </r>
      </text>
    </comment>
    <comment ref="Z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p.236 MA TRM
</t>
        </r>
      </text>
    </comment>
    <comment ref="AG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p.21 MA TRM
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p.21 MA TRM
</t>
        </r>
      </text>
    </comment>
    <comment ref="Z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backed out existing modeled water savings per E1 email 9.15.2017</t>
        </r>
      </text>
    </comment>
    <comment ref="AG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Z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AG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Z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AG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W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Z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AG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Z3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offered in MA TRM</t>
        </r>
      </text>
    </comment>
    <comment ref="AG3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3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offered in MA TRM</t>
        </r>
      </text>
    </comment>
    <comment ref="AG3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3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offered in MA TRM</t>
        </r>
      </text>
    </comment>
    <comment ref="AG3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W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Z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AG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V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</t>
        </r>
      </text>
    </comment>
    <comment ref="W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</t>
        </r>
      </text>
    </comment>
    <comment ref="Z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</t>
        </r>
      </text>
    </comment>
    <comment ref="AG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</t>
        </r>
      </text>
    </comment>
    <comment ref="V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
</t>
        </r>
      </text>
    </comment>
    <comment ref="W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
</t>
        </r>
      </text>
    </comment>
    <comment ref="Z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
</t>
        </r>
      </text>
    </comment>
    <comment ref="AG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p.252
</t>
        </r>
      </text>
    </comment>
    <comment ref="V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W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Z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AG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V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W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Z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AG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V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W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Z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AG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AG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V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W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Z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AG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V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W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Z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AG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Z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AG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V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W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Z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AG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V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Z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AG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p.264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Z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AG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V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W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Z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AG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
</t>
        </r>
      </text>
    </comment>
    <comment ref="W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
</t>
        </r>
      </text>
    </comment>
    <comment ref="Z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
</t>
        </r>
      </text>
    </comment>
    <comment ref="AG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p.269
</t>
        </r>
      </text>
    </comment>
    <comment ref="Z4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offered in MA TRM</t>
        </r>
      </text>
    </comment>
    <comment ref="AG4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5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offered in MA TRM</t>
        </r>
      </text>
    </comment>
    <comment ref="AG5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offered in MA TRM</t>
        </r>
      </text>
    </comment>
    <comment ref="AG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Z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AG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V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W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Z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AG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Z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AG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V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W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Z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AG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V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W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Z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AG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V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W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Z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AG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Z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AG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Z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AG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p.299</t>
        </r>
      </text>
    </comment>
    <comment ref="V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Blue measures are most common and have highest number of participants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9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9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9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9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B1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Would end of life or lost opportunitiy impact NEIs or just baseline and energy savings?
</t>
        </r>
      </text>
    </comment>
    <comment ref="V1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0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0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0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0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W1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Z1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 process reporting category in literature 2012 C&amp;I Study
</t>
        </r>
      </text>
    </comment>
    <comment ref="AG1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Z1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V1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W1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Z1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AG1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p.291</t>
        </r>
      </text>
    </comment>
    <comment ref="V1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W1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Z1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AG1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V1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W1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Z1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W1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Z1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AG1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 no NEIs associated with high efficiency air compressors
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 no NEIs associated with high efficiency air compressors
</t>
        </r>
      </text>
    </comment>
    <comment ref="Z1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 no NEIs associated with high efficiency air compressors
</t>
        </r>
      </text>
    </comment>
    <comment ref="AG12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p.296
</t>
        </r>
      </text>
    </comment>
    <comment ref="W1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p.296
</t>
        </r>
      </text>
    </comment>
    <comment ref="Z1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p.296
</t>
        </r>
      </text>
    </comment>
    <comment ref="AG1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2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p.296
</t>
        </r>
      </text>
    </comment>
    <comment ref="V1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W1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Z1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AG13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Z13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AG13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3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W13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Z13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p.289
</t>
        </r>
      </text>
    </comment>
    <comment ref="AG13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Z13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AG13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3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Z1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AG1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3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V1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W1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Z1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AG1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W1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Z1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AG1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p.238
</t>
        </r>
      </text>
    </comment>
    <comment ref="V1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p.248</t>
        </r>
      </text>
    </comment>
    <comment ref="W1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p.248</t>
        </r>
      </text>
    </comment>
    <comment ref="Z1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p.248</t>
        </r>
      </text>
    </comment>
    <comment ref="AG1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p.248</t>
        </r>
      </text>
    </comment>
    <comment ref="Z1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 comparable measure in MA TRM</t>
        </r>
      </text>
    </comment>
    <comment ref="AG1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1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 comparable measure in MA TRM</t>
        </r>
      </text>
    </comment>
    <comment ref="AG1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1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 comparable measure in MA TRM</t>
        </r>
      </text>
    </comment>
    <comment ref="AG1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1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 comparable measure in MA TRM</t>
        </r>
      </text>
    </comment>
    <comment ref="AG1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1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 comparable measure in MA TRM</t>
        </r>
      </text>
    </comment>
    <comment ref="AG1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Z1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 comparable measure in MA TRM</t>
        </r>
      </text>
    </comment>
    <comment ref="AG1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W1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Z1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AG1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V1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W1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Z1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AG1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p.262</t>
        </r>
      </text>
    </comment>
    <comment ref="V1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W1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Z1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AG1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V1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W1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Z1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AG1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p.252</t>
        </r>
      </text>
    </comment>
    <comment ref="V1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W1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Z1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AG1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V1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W1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Z1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AG1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p.266
</t>
        </r>
      </text>
    </comment>
    <comment ref="V1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W1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Z1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AG1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V1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W1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Z1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AG1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p.256</t>
        </r>
      </text>
    </comment>
    <comment ref="V1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Z1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AG1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p.418-prescriptive
includes admin costs, material handling, material movement, other costs, other labor costs, O&amp;M product spoilage, rent revenue, sales revenue and waste disposal.</t>
        </r>
      </text>
    </comment>
    <comment ref="V1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6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table 1-2 HVAC</t>
        </r>
      </text>
    </comment>
    <comment ref="W1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Z1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2012 Mass Program Administrator's C&amp;I NEI Study Table 1-2 HVAC NEI/kWH .0966</t>
        </r>
      </text>
    </comment>
    <comment ref="AG1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p.231
</t>
        </r>
      </text>
    </comment>
    <comment ref="V1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W1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X1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366 converted to cubic meters</t>
        </r>
      </text>
    </comment>
    <comment ref="Z1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366 converted to cubic meters</t>
        </r>
      </text>
    </comment>
    <comment ref="AG1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V1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W1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X1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366 converted to cubic meters</t>
        </r>
      </text>
    </comment>
    <comment ref="Z1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366 converted to cubic meters</t>
        </r>
      </text>
    </comment>
    <comment ref="AG1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V1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W1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X1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366 converted to cubic meters</t>
        </r>
      </text>
    </comment>
    <comment ref="Z1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page 366 converted to cubic meters</t>
        </r>
      </text>
    </comment>
    <comment ref="AG1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V1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</t>
        </r>
      </text>
    </comment>
    <comment ref="W1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changed to kWh</t>
        </r>
      </text>
    </comment>
    <comment ref="Z1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
changed to kWh</t>
        </r>
      </text>
    </comment>
    <comment ref="AG18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</t>
        </r>
      </text>
    </comment>
    <comment ref="W1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changed to kWh</t>
        </r>
      </text>
    </comment>
    <comment ref="Z1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
changed to kWh</t>
        </r>
      </text>
    </comment>
    <comment ref="AG18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</t>
        </r>
      </text>
    </comment>
    <comment ref="W1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changed to kWh</t>
        </r>
      </text>
    </comment>
    <comment ref="Z1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
changed to kWh</t>
        </r>
      </text>
    </comment>
    <comment ref="AG1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8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</t>
        </r>
      </text>
    </comment>
    <comment ref="V1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</t>
        </r>
      </text>
    </comment>
    <comment ref="W1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changed to kWh</t>
        </r>
      </text>
    </comment>
    <comment ref="Z1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
changed to kWh</t>
        </r>
      </text>
    </comment>
    <comment ref="AG1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AN19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p.420
C&amp;I small business</t>
        </r>
      </text>
    </comment>
    <comment ref="V1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W1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p.365
</t>
        </r>
      </text>
    </comment>
    <comment ref="X1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Ingrid Malmgren:
from MA TRM page 279 converted to cubic meters</t>
        </r>
      </text>
    </comment>
    <comment ref="Z1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page 365 water and sewer savings converted to cubic meters</t>
        </r>
      </text>
    </comment>
    <comment ref="AG19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included in prescriptive
programs</t>
        </r>
      </text>
    </comment>
    <comment ref="V19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Total Custom NEI from 2012 C&amp;I Study table 1-2</t>
        </r>
      </text>
    </comment>
    <comment ref="Z19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Total Custom NEI from 2012 C&amp;I Study table 1-2</t>
        </r>
      </text>
    </comment>
    <comment ref="AN19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p.310</t>
        </r>
      </text>
    </comment>
    <comment ref="V2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Total Custom NEI from 2012 C&amp;I Study table 1-2</t>
        </r>
      </text>
    </comment>
    <comment ref="Z2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Total Custom NEI from 2012 C&amp;I Study table 1-2</t>
        </r>
      </text>
    </comment>
    <comment ref="AN20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p.310</t>
        </r>
      </text>
    </comment>
    <comment ref="V20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418 MA TRM</t>
        </r>
      </text>
    </comment>
    <comment ref="V20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418 MA TRM</t>
        </r>
      </text>
    </comment>
    <comment ref="V20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418 MA TRM</t>
        </r>
      </text>
    </comment>
    <comment ref="V20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418 MA TRM</t>
        </r>
      </text>
    </comment>
    <comment ref="V20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418 MA TRM
</t>
        </r>
      </text>
    </comment>
    <comment ref="V207" authorId="0" shapeId="0">
      <text>
        <r>
          <rPr>
            <b/>
            <sz val="9"/>
            <color indexed="81"/>
            <rFont val="Tahoma"/>
            <family val="2"/>
          </rPr>
          <t xml:space="preserve">Ingrid Malmgren:
</t>
        </r>
        <r>
          <rPr>
            <sz val="9"/>
            <color indexed="81"/>
            <rFont val="Tahoma"/>
            <family val="2"/>
          </rPr>
          <t>from 2016 New Construction Study
Table 2: Value for custome electric overall-page 8</t>
        </r>
      </text>
    </comment>
    <comment ref="Z20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2016 New Construction Study
Table 2: Value for custom electric overall-page 8</t>
        </r>
      </text>
    </comment>
    <comment ref="AN20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p.310</t>
        </r>
      </text>
    </comment>
    <comment ref="V2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2016 New Construction Study
Table 2: Value for custome electric overall-page 8
</t>
        </r>
      </text>
    </comment>
    <comment ref="W2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Organized by measure in TRM, Source research indicates that custom overall electric NEI/kWh are .006 </t>
        </r>
      </text>
    </comment>
    <comment ref="Z2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2016 New Construction Study
Table 2: Value for custom electric overall-page 8</t>
        </r>
      </text>
    </comment>
    <comment ref="AN20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p.310</t>
        </r>
      </text>
    </comment>
    <comment ref="B2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refrigerator retrofit in MA</t>
        </r>
      </text>
    </comment>
    <comment ref="V2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one time property value -additional benefits for multi-family and loe-income (not included here) p.410
 </t>
        </r>
      </text>
    </comment>
    <comment ref="Y216" authorId="0" shapeId="0">
      <text>
        <r>
          <rPr>
            <b/>
            <sz val="9"/>
            <color indexed="81"/>
            <rFont val="Tahoma"/>
            <family val="2"/>
          </rPr>
          <t>Ingrid Malmgren:
from MA TRM one time property value -additional benefits for multi-family and loe-income (not included here) p.410</t>
        </r>
        <r>
          <rPr>
            <sz val="9"/>
            <color indexed="81"/>
            <rFont val="Tahoma"/>
            <family val="2"/>
          </rPr>
          <t xml:space="preserve">
prorated for property value difference
</t>
        </r>
      </text>
    </comment>
    <comment ref="AM2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Appendix B-1 from RI TRM 2015 National Grid</t>
        </r>
      </text>
    </comment>
    <comment ref="AN2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residential multi-family retrofit per unit
</t>
        </r>
        <r>
          <rPr>
            <b/>
            <sz val="9"/>
            <color indexed="81"/>
            <rFont val="Tahoma"/>
            <family val="2"/>
          </rPr>
          <t>p.33
p.140 Appliance recycling</t>
        </r>
      </text>
    </comment>
    <comment ref="V2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one time property value -additional benefits for multi-family and loe-income (not included here) p.410
 </t>
        </r>
      </text>
    </comment>
    <comment ref="Y2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one time property value -additional benefits for multi-family and loe-income (not included here) p.410
prorated for property value difference
</t>
        </r>
      </text>
    </comment>
    <comment ref="AM2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Appendix B-1 from RI TRM 2015 National Grid</t>
        </r>
      </text>
    </comment>
    <comment ref="AN2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residential multi-family retrofit per unit
</t>
        </r>
        <r>
          <rPr>
            <b/>
            <sz val="9"/>
            <color indexed="81"/>
            <rFont val="Tahoma"/>
            <family val="2"/>
          </rPr>
          <t>p.33
p.140 Appliance recycling</t>
        </r>
      </text>
    </comment>
    <comment ref="B2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page 67
</t>
        </r>
      </text>
    </comment>
    <comment ref="V2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RI B-1 $49.50 per measure/year "Non-energy benefits associated with installing a new room air conditioner."</t>
        </r>
      </text>
    </comment>
    <comment ref="W2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 410 no room air conditioner, used RI TRM, but MA TRM has mini-split which is comparable.</t>
        </r>
      </text>
    </comment>
    <comment ref="Z2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 410 no room air conditioner, used RI TRM, but MA TRM has mini-split which is comparable.</t>
        </r>
      </text>
    </comment>
    <comment ref="AN2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410 mini split</t>
        </r>
      </text>
    </comment>
    <comment ref="V2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see appendix C across single and multi-family programs</t>
        </r>
      </text>
    </comment>
    <comment ref="Y2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Appendix C MA TRM  p.410 for RES</t>
        </r>
      </text>
    </comment>
    <comment ref="AN21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see appendix C across single and multi-family programs</t>
        </r>
      </text>
    </comment>
    <comment ref="V2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p.221</t>
        </r>
      </text>
    </comment>
    <comment ref="Y2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Appendix C MA TRM  p.410 for RES</t>
        </r>
      </text>
    </comment>
    <comment ref="AN22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410 fixture as proxy</t>
        </r>
      </text>
    </comment>
    <comment ref="V2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p.155</t>
        </r>
      </text>
    </comment>
    <comment ref="Y2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Appendix C MA TRM  p.410 for RES</t>
        </r>
      </text>
    </comment>
    <comment ref="AN22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p.155 points to p. 410 fixture as proxy</t>
        </r>
      </text>
    </comment>
    <comment ref="V2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p.155</t>
        </r>
      </text>
    </comment>
    <comment ref="Y2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Appendix C MA TRM  p.410 for RES</t>
        </r>
      </text>
    </comment>
    <comment ref="AN2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p.155p.155 points to p. 410 fixture as proxy
</t>
        </r>
      </text>
    </comment>
    <comment ref="V2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162</t>
        </r>
      </text>
    </comment>
    <comment ref="W2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162</t>
        </r>
      </text>
    </comment>
    <comment ref="Z2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162</t>
        </r>
      </text>
    </comment>
    <comment ref="V2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 162
</t>
        </r>
      </text>
    </comment>
    <comment ref="W2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 162
</t>
        </r>
      </text>
    </comment>
    <comment ref="Z2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 162
</t>
        </r>
      </text>
    </comment>
    <comment ref="AN22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 162
</t>
        </r>
      </text>
    </comment>
    <comment ref="V2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p.155</t>
        </r>
      </text>
    </comment>
    <comment ref="Y22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One time per unit
Appendix C MA TRM  p.409 for MF</t>
        </r>
      </text>
    </comment>
    <comment ref="V2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p.164
</t>
        </r>
      </text>
    </comment>
    <comment ref="W2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p.164
</t>
        </r>
      </text>
    </comment>
    <comment ref="Z2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p.164
</t>
        </r>
      </text>
    </comment>
    <comment ref="AN22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p.164
</t>
        </r>
      </text>
    </comment>
    <comment ref="V2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p.168
only for L.I.
</t>
        </r>
      </text>
    </comment>
    <comment ref="W2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p.168
only for L.I.
</t>
        </r>
      </text>
    </comment>
    <comment ref="Z2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p.168
only for L.I.
</t>
        </r>
      </text>
    </comment>
    <comment ref="AN22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p.168
only for L.I.
</t>
        </r>
      </text>
    </comment>
    <comment ref="V2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3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3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3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3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3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4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4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2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24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2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p.176</t>
        </r>
      </text>
    </comment>
    <comment ref="X2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Water savings on page 177 MA TRM</t>
        </r>
      </text>
    </comment>
    <comment ref="Z2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M2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p.177 MA TRM</t>
        </r>
      </text>
    </comment>
    <comment ref="AN24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p.176</t>
        </r>
      </text>
    </comment>
    <comment ref="V2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p.176</t>
        </r>
      </text>
    </comment>
    <comment ref="X2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Water savings on page 177 MA TRM</t>
        </r>
      </text>
    </comment>
    <comment ref="Z2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backed out existing modeled water savings per E1 email 9.15.2017
</t>
        </r>
      </text>
    </comment>
    <comment ref="AM2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p.177 MA TRM</t>
        </r>
      </text>
    </comment>
    <comment ref="AN24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p.176</t>
        </r>
      </text>
    </comment>
    <comment ref="V2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p.176</t>
        </r>
      </text>
    </comment>
    <comment ref="X2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Water savings on page 174 MA TRM</t>
        </r>
      </text>
    </comment>
    <comment ref="Y2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one time pro-rated property value increase</t>
        </r>
      </text>
    </comment>
    <comment ref="Z2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backed out existing modeled water savings per E1 email 9.15.2017</t>
        </r>
      </text>
    </comment>
    <comment ref="AN24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p.408 multi-family
p.410 HES
for property value increase</t>
        </r>
      </text>
    </comment>
    <comment ref="V2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p.176</t>
        </r>
      </text>
    </comment>
    <comment ref="X2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Water savings on page 174 MA TRM</t>
        </r>
      </text>
    </comment>
    <comment ref="Y2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one time pro-rated property value increase</t>
        </r>
      </text>
    </comment>
    <comment ref="Z2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backed out existing modeled water savings per E1 email 9.15.2017</t>
        </r>
      </text>
    </comment>
    <comment ref="AN24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p.408 multi-family
p.410 HES
for property value increase</t>
        </r>
      </text>
    </comment>
    <comment ref="V2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W2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 </t>
        </r>
      </text>
    </comment>
    <comment ref="Y2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USD one time property value inc. (prorated)  </t>
        </r>
      </text>
    </comment>
    <comment ref="Z2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AN24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only for low income measures thermal comfort, property value increase, and health benefits-should these be transferable?</t>
        </r>
      </text>
    </comment>
    <comment ref="V2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W2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 </t>
        </r>
      </text>
    </comment>
    <comment ref="Y2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USD one time property value inc. (prorated) </t>
        </r>
      </text>
    </comment>
    <comment ref="Z2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AN2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only for low income measures thermal comfort, property value increas, and health benefits-should these be transferrable?</t>
        </r>
      </text>
    </comment>
    <comment ref="V24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W24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 </t>
        </r>
      </text>
    </comment>
    <comment ref="Y24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USD one time property value inc. (prorated) </t>
        </r>
      </text>
    </comment>
    <comment ref="Z24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V25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
$46.07 USD one time plus $5.06/year USD</t>
        </r>
      </text>
    </comment>
    <comment ref="W25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 </t>
        </r>
      </text>
    </comment>
    <comment ref="Y25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USD one time property value inc. (prorated) </t>
        </r>
      </text>
    </comment>
    <comment ref="Z25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V2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 410 Heat pump SEER 16 to 18 NO HEALTH</t>
        </r>
      </text>
    </comment>
    <comment ref="W2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</t>
        </r>
      </text>
    </comment>
    <comment ref="Y2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$46.07 USD property value (USD)
Used Heat Pump SEER 16 to 18 as proxy</t>
        </r>
      </text>
    </comment>
    <comment ref="Z25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
$46.07 USD one time plus $5.06/year USD</t>
        </r>
      </text>
    </comment>
    <comment ref="V2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p.412 Boiler 90% NO HEALTH
$385.23 one time + $48.82/yr (USD)</t>
        </r>
      </text>
    </comment>
    <comment ref="W2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 NEED TO UPDATE MANUALLY</t>
        </r>
      </text>
    </comment>
    <comment ref="Y2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p.412 Boiler 90% 
$385.23 one time property value (USD) prorated
</t>
        </r>
      </text>
    </comment>
    <comment ref="Z25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p.412 Boiler 90% NO HEALTH
$385.23 one time + $48.82/yr (USD)</t>
        </r>
      </text>
    </comment>
    <comment ref="V2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p.410 Heat Pump SEER 16 NO HEALTH</t>
        </r>
      </text>
    </comment>
    <comment ref="W2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</t>
        </r>
      </text>
    </comment>
    <comment ref="Y2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$46.07 USD property value (USD)
Used Heat Pump SEER 16 to 18 as proxy</t>
        </r>
      </text>
    </comment>
    <comment ref="Z25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$46.07 one time plus $5.15/year NO HEALTH</t>
        </r>
      </text>
    </comment>
    <comment ref="V2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 412 Boiler 90% NO HEALTH</t>
        </r>
      </text>
    </comment>
    <comment ref="W2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 NEED TO UPDATE MANUALLY</t>
        </r>
      </text>
    </comment>
    <comment ref="Y2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p.412 Boiler 90% 
$385.23 one time property value (USD) prorated</t>
        </r>
      </text>
    </comment>
    <comment ref="Z2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 412 Boiler 90% NO HEALTHMA TRM p.412 Boiler 90% NO HEALTH
$385.23 one time + $48.82/yr (USD)</t>
        </r>
      </text>
    </comment>
    <comment ref="AM25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 MA TRM p. 412 App. C Boiler 90%</t>
        </r>
      </text>
    </comment>
    <comment ref="V2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 411 Combo Boiler NO HEALTH
$19.27one time + $2.70/yr (USD) Prorated for property value</t>
        </r>
      </text>
    </comment>
    <comment ref="W2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</t>
        </r>
      </text>
    </comment>
    <comment ref="Y2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 411 Combo Boiler NO HEALTH
$19.27one time + $2.70/yr (USD) Prorated for property value</t>
        </r>
      </text>
    </comment>
    <comment ref="Z25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 411 Combo Boiler NO HEALTH
$19.27one time + $2.70/yr (USD) Prorated for property value</t>
        </r>
      </text>
    </comment>
    <comment ref="V2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p.412 Boiler 90% NO HEALTH 
expect this to be low</t>
        </r>
      </text>
    </comment>
    <comment ref="W2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 NEED TO UPDATE MANUALLY</t>
        </r>
      </text>
    </comment>
    <comment ref="Y2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p.412 Boiler 90% 
$385.23 one time property value (USD) prorated</t>
        </r>
      </text>
    </comment>
    <comment ref="Z25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p.412 Boiler 90% NO HEALTH
$385.23 one time + $48.82/yr (USD)</t>
        </r>
      </text>
    </comment>
    <comment ref="V2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 410 Heat pump SEER 16 to 18 NO HEALTH</t>
        </r>
      </text>
    </comment>
    <comment ref="W2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</t>
        </r>
      </text>
    </comment>
    <comment ref="Y2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$46.07 USD property value (USD)
Used Heat Pump SEER 16 to 18 as proxy</t>
        </r>
      </text>
    </comment>
    <comment ref="Z2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$46.07 one time plus $5.15/year NO HEALTH</t>
        </r>
      </text>
    </comment>
    <comment ref="AN25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410
$46.07 one time plus annual benefits of $2.88 thermal comfort + .84 Home durability + 1.34 equipment maintenance +.09 health benefits</t>
        </r>
      </text>
    </comment>
    <comment ref="V2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App. C p. 411
tankless DHW</t>
        </r>
      </text>
    </comment>
    <comment ref="W2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</t>
        </r>
      </text>
    </comment>
    <comment ref="Y2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App. C p. 411
tankless DHW $56.39 USD prorated for property value</t>
        </r>
      </text>
    </comment>
    <comment ref="Z25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App. C p. 411
tankless DHW $56.39 USD prorated for property value</t>
        </r>
      </text>
    </comment>
    <comment ref="Z25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does not have this measure</t>
        </r>
      </text>
    </comment>
    <comment ref="Z26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does not have this measure
</t>
        </r>
      </text>
    </comment>
    <comment ref="V2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see PA Study-Res tab
does not differentiate between single and double pane windows
does not include health impacts</t>
        </r>
      </text>
    </comment>
    <comment ref="Y2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 MA TRM. Values from 2011 MA Program Administrators' NEI Study
See PA Study-Res tab
One time property value is prorated annual values
do not include health impacts</t>
        </r>
      </text>
    </comment>
    <comment ref="Z261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 MA TRM. Values from 2011 MA Program Administrators' NEI Study
See PA Study-Res tab
One time property value is prorated annual values
do not include health impacts</t>
        </r>
      </text>
    </comment>
    <comment ref="V2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see PA Study-Res tab
does not differentiate between single and double pane windows
does not include health impacts</t>
        </r>
      </text>
    </comment>
    <comment ref="Y2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 MA TRM. Values from 2011 MA Program Administrators' NEI Study
See PA Study-Res tab
One time property value is prorated annual values
do not include health impacts</t>
        </r>
      </text>
    </comment>
    <comment ref="Z26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 MA TRM. Values from 2011 MA Program Administrators' NEI Study
See PA Study-Res tab
One time property value is prorated annual values
do not include health impacts</t>
        </r>
      </text>
    </comment>
    <comment ref="Z26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 MA TRM</t>
        </r>
      </text>
    </comment>
    <comment ref="V2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 162
</t>
        </r>
      </text>
    </comment>
    <comment ref="Z2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Not in MA TRM
</t>
        </r>
      </text>
    </comment>
    <comment ref="AN264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p.165
</t>
        </r>
      </text>
    </comment>
    <comment ref="V2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one time property value -additional benefits for multi-family and low-income (not included here) p.410
 </t>
        </r>
      </text>
    </comment>
    <comment ref="Y2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 one time property value -additional benefits for multi-family and low-income (not included here) p.410</t>
        </r>
      </text>
    </comment>
    <comment ref="AM2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Appendix B-1 from RI TRM 2015 National Grid</t>
        </r>
      </text>
    </comment>
    <comment ref="AN26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 410
</t>
        </r>
      </text>
    </comment>
    <comment ref="V2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 162
</t>
        </r>
      </text>
    </comment>
    <comment ref="Z2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p. 162
</t>
        </r>
      </text>
    </comment>
    <comment ref="AN26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p.165
</t>
        </r>
      </text>
    </comment>
    <comment ref="V2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includes air sealing, insulation and duct sealing. One time 516.39 for property value and annual NO HEALTH</t>
        </r>
      </text>
    </comment>
    <comment ref="W267" authorId="0" shapeId="0">
      <text>
        <r>
          <rPr>
            <sz val="9"/>
            <color indexed="81"/>
            <rFont val="Tahoma"/>
            <family val="2"/>
          </rPr>
          <t>Ingrid Malmgren:
HARDCODED need to update manually.</t>
        </r>
      </text>
    </comment>
    <comment ref="Y2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includes air sealing, insulation and duct sealing. One time 516.39 for property value (prorated) and annual NO HEALTH</t>
        </r>
      </text>
    </comment>
    <comment ref="AN26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need discount rate for PV
page 409 of MA TRM
for air seal, insulation and duct seal-one time benefit of  $516.39 plus annual benefit of $72.27 per year for life of measure</t>
        </r>
      </text>
    </comment>
    <comment ref="V2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
 Property value has been prorated
</t>
        </r>
      </text>
    </comment>
    <comment ref="Z2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MA TRMp.408 $77/yr for thermal comfort $40/yr for noise reduction $72/yr for inc 
property value has been prorated-res NC no specifics for level of efficiency</t>
        </r>
      </text>
    </comment>
    <comment ref="AD2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property value is counted as an annual benefit in the Rhode Island TRM</t>
        </r>
      </text>
    </comment>
    <comment ref="AN27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B-5 $77/yr for thermal comfort $40/yr for noise reduction $72/yr for inc prop value-res NC no specifics for level of efficiency
 </t>
        </r>
      </text>
    </comment>
    <comment ref="V2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
 Property value has been prorated
</t>
        </r>
      </text>
    </comment>
    <comment ref="Z2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</t>
        </r>
      </text>
    </comment>
    <comment ref="AD2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property value is counted as an annual benefit in the Rhode Island TRM</t>
        </r>
      </text>
    </comment>
    <comment ref="AN27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B-5 $77/yr for thermal comfort $40/yr for noise reduction $72/yr for inc prop value-res NC no specifics for level of efficiency
 </t>
        </r>
      </text>
    </comment>
    <comment ref="V2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
 Property value has been prorated
</t>
        </r>
      </text>
    </comment>
    <comment ref="Z2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</t>
        </r>
      </text>
    </comment>
    <comment ref="AD2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property value is counted as an annual benefit in the Rhode Island TRM</t>
        </r>
      </text>
    </comment>
    <comment ref="AN27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B-5 $77/yr for thermal comfort $40/yr for noise reduction $72/yr for inc prop value-res NC no specifics for level of efficiency
 </t>
        </r>
      </text>
    </comment>
    <comment ref="V2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
 Property value has been prorated
</t>
        </r>
      </text>
    </comment>
    <comment ref="Z2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</t>
        </r>
      </text>
    </comment>
    <comment ref="AD2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property value is counted as an annual benefit in the Rhode Island TRM</t>
        </r>
      </text>
    </comment>
    <comment ref="AN27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B-5 $77/yr for thermal comfort $40/yr for noise reduction $72/yr for inc prop value-res NC no specifics for level of efficiency
 </t>
        </r>
      </text>
    </comment>
    <comment ref="V2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
 Property value has been prorated
</t>
        </r>
      </text>
    </comment>
    <comment ref="Z2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</t>
        </r>
      </text>
    </comment>
    <comment ref="AD2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property value is counted as an annual benefit in the Rhode Island TRM</t>
        </r>
      </text>
    </comment>
    <comment ref="AN279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B-5 $77/yr for thermal comfort $40/yr for noise reduction $72/yr for inc prop value-res NC no specifics for level of efficiency
 </t>
        </r>
      </text>
    </comment>
    <comment ref="V2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
 Property value has been prorated
</t>
        </r>
      </text>
    </comment>
    <comment ref="Z2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Rhode Island TRM B-5 $77/yr for thermal comfort $40/yr for noise reduction $72/yr for inc prop value-res NC no specifics for level of efficiency</t>
        </r>
      </text>
    </comment>
    <comment ref="AD2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property value is counted as an annual benefit in the Rhode Island TRM</t>
        </r>
      </text>
    </comment>
    <comment ref="AN280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B-5 $77/yr for thermal comfort $40/yr for noise reduction $72/yr for inc prop value-res NC no specifics for level of efficiency
 </t>
        </r>
      </text>
    </comment>
  </commentList>
</comments>
</file>

<file path=xl/comments2.xml><?xml version="1.0" encoding="utf-8"?>
<comments xmlns="http://schemas.openxmlformats.org/spreadsheetml/2006/main">
  <authors>
    <author>Ingrid Malmgren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adjusted for inflation at 1.7%
http://www.usinflationcalculator.com/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adjusted for inflation at 1.7%
http://www.usinflationcalculator.com/
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http://www.canadianforex.ca/forex-tools/historical-rate-tools/yearly-average-rates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https://www.irs.gov/individuals/international-taxpayers/yearly-average-currency-exchange-rates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https://www.oanda.com/currency/average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converted U.S. liquid gallons to liters and converted to CAD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converted U.S. liquid gallons to liters and converted to CAD
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calculated using
http://www.degreedays.net/#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Pittsfield Municipal Airport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Boston 5 year average  from: http://www.degreedays.net/#generate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5 year average http://www.degreedays.net/#generate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5 year average 65 degrees http://www.degreedays.net/#generate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5 year average 65 degrees F
http://www.degreedays.net/#generate</t>
        </r>
      </text>
    </comment>
    <comment ref="H48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Halifax Airport 5 year average from:
http://www.degreedays.net/#generate</t>
        </r>
      </text>
    </comment>
  </commentList>
</comments>
</file>

<file path=xl/comments3.xml><?xml version="1.0" encoding="utf-8"?>
<comments xmlns="http://schemas.openxmlformats.org/spreadsheetml/2006/main">
  <authors>
    <author>Ingrid Malmgren</author>
  </authors>
  <commentList>
    <comment ref="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C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D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E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F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G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H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I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J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K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L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M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N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O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P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Q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R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S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T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U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V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W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X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Y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Z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A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B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C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D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E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F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G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H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I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J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K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L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M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N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O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P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Q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R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S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T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U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V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W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X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Y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Z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A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B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C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D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E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F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G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H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I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N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O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P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Q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R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S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T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U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V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W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X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Y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JZ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A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B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C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D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E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F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G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H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I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J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K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L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BKM2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prescriptive rebate program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Code in NS is 79. EnerCan uses HOT2000 simulation modeling. May need to find per kWh NEB adder for savings over code to account for differing levels of efficiency</t>
        </r>
      </text>
    </comment>
  </commentList>
</comments>
</file>

<file path=xl/sharedStrings.xml><?xml version="1.0" encoding="utf-8"?>
<sst xmlns="http://schemas.openxmlformats.org/spreadsheetml/2006/main" count="3023" uniqueCount="483">
  <si>
    <t xml:space="preserve"> Measure Name</t>
  </si>
  <si>
    <t>Technology Type</t>
  </si>
  <si>
    <t>Target Market</t>
  </si>
  <si>
    <t>Measure Life</t>
  </si>
  <si>
    <t>Annual Energy Savings per Unit (kWh)</t>
  </si>
  <si>
    <t>Peak Demand Savings per Unit (Watts)</t>
  </si>
  <si>
    <t>On-Time Incremental Measure Cost ($)</t>
  </si>
  <si>
    <t>Incentive as a Percent of Incremental Measure Cost (%)</t>
  </si>
  <si>
    <t>Program Administrative Cost ($)</t>
  </si>
  <si>
    <t>DSM Administrator Cost (Incentive + Administrative) ($)</t>
  </si>
  <si>
    <t>DSM Customer Cost (Incremental Measure Cost - Incentive) ($)</t>
  </si>
  <si>
    <t>Total DSM Cost ($)</t>
  </si>
  <si>
    <t>Present Value Avoided Cost ($)</t>
  </si>
  <si>
    <t>Net-To-Gross Ratio</t>
  </si>
  <si>
    <t>Total Resource Benefit-Cost Ratio (TRC)</t>
  </si>
  <si>
    <t>Peak 
Demand Savings
(kW)</t>
  </si>
  <si>
    <t>First Year Energy 
Savings
(MWh)</t>
  </si>
  <si>
    <t>Cumulative Peak 
Demand Savings
(kW)</t>
  </si>
  <si>
    <t>Cumulative Energy 
Savings
(MWh)</t>
  </si>
  <si>
    <t>Total 
Avoided Cost Benefits 
($)</t>
  </si>
  <si>
    <t>TRC 
Costs 
($)</t>
  </si>
  <si>
    <t>Total Net  
Resource Benefits 
($)</t>
  </si>
  <si>
    <t>TRC 
(Ratio)</t>
  </si>
  <si>
    <t>PAC
Costs 
($)</t>
  </si>
  <si>
    <t>PAC
(Ratio)</t>
  </si>
  <si>
    <t>Business Energy Rebates</t>
  </si>
  <si>
    <t>Under Counter Commercial Dishwasher (Low Temp)</t>
  </si>
  <si>
    <t>COM-Other</t>
  </si>
  <si>
    <t>Retail</t>
  </si>
  <si>
    <t>Water Savings</t>
  </si>
  <si>
    <t>Single-Tank Door Type Dishwasher (Low Temp)</t>
  </si>
  <si>
    <t>Single-Tank Conveyor Dishwasher (Low Temp)</t>
  </si>
  <si>
    <t>Multi-Tank Conveyor Commercial Dish Washer (Low Temp)</t>
  </si>
  <si>
    <t>Under Counter Dishwasher with Booster (High Temp)</t>
  </si>
  <si>
    <t>Single Tank Door Dishwasher with Booster (High Temp)</t>
  </si>
  <si>
    <t>Single Tank Conveyor Dishwasher with Booster (High Temp)</t>
  </si>
  <si>
    <t>Multi Tank Conveyor Dishwasher with Booster (High Temp)</t>
  </si>
  <si>
    <t>Standard Capacity Commercial Electric Fryers</t>
  </si>
  <si>
    <t>N/A</t>
  </si>
  <si>
    <t>Full Size Commercial Hot Food Holding Cabinet</t>
  </si>
  <si>
    <t>Three Quarter Size Commercial Hot Food Holding Cabinet</t>
  </si>
  <si>
    <t>Half Size Commercial Hot Food Holding Cabinet</t>
  </si>
  <si>
    <t>Commercial Electric Griddle</t>
  </si>
  <si>
    <t>Solid Door Commercial Refrigerator</t>
  </si>
  <si>
    <t>COM-Refrigeration</t>
  </si>
  <si>
    <t xml:space="preserve">$.047/kWh </t>
  </si>
  <si>
    <t>Glass Door Commercial Refrigerator</t>
  </si>
  <si>
    <t>Solid Door Commercial Freezer</t>
  </si>
  <si>
    <t>ENERGY STAR® Ice Making Head</t>
  </si>
  <si>
    <t>ENERGY STAR® Remote Condensing Head/Split System Ice Maker</t>
  </si>
  <si>
    <t>ENERGY STAR® Self Contained Ice Maker</t>
  </si>
  <si>
    <t>ENERGY STAR® Commercial Electric Convection Oven</t>
  </si>
  <si>
    <t xml:space="preserve">Variable Speed Drive for Kitchen exhaust fans (Demand Controlled Ventilation) </t>
  </si>
  <si>
    <t>COM-Motors</t>
  </si>
  <si>
    <t>Other Commercial</t>
  </si>
  <si>
    <t>ENERGY STAR®, CEE Tier 2 or CEE Tier 3 Commercial Clothes Washer</t>
  </si>
  <si>
    <t>Night Covers for 3' Refrigerated Display Cases</t>
  </si>
  <si>
    <t>School</t>
  </si>
  <si>
    <t>Zero Energy Doors for Reach-In Coolers and Freezers</t>
  </si>
  <si>
    <t>Humidity-Based Door Heater Controls for Reach-In Coolers and Freezers</t>
  </si>
  <si>
    <t>Evaporator Fan Motor Controls for Walk-In Freezers and Coolers</t>
  </si>
  <si>
    <t>Intelligent (Electronic) Defrost Control For Freezer Display Cases</t>
  </si>
  <si>
    <t>Intelligent (Electronic) Defrost Control For Walk-In Freezers</t>
  </si>
  <si>
    <t>Refrigerated Vending Machine Controller</t>
  </si>
  <si>
    <t>Office</t>
  </si>
  <si>
    <t>Strip Curtains for 3' Open Refrigerated Display Cases</t>
  </si>
  <si>
    <t>Electronically Commutated (Brushless) DC Motors for Refrigeration Applications</t>
  </si>
  <si>
    <t>IND</t>
  </si>
  <si>
    <t xml:space="preserve">Industrial </t>
  </si>
  <si>
    <t>Variable Frequency Drives</t>
  </si>
  <si>
    <t>Fluorescent T5 and HPT8 Fixtures (4 FT) lamps-Retrofit (dual baseline)</t>
  </si>
  <si>
    <t>COM-Lighting</t>
  </si>
  <si>
    <t>$.027 kWh/yr</t>
  </si>
  <si>
    <t>Relamp/Reballast-Retrofit (dual baseline)</t>
  </si>
  <si>
    <t>T8 Dimmable Stairwell Lighting</t>
  </si>
  <si>
    <t>LED Lamps-Retrofit (dual baseline)</t>
  </si>
  <si>
    <t>LED Lamps-End of Life</t>
  </si>
  <si>
    <t>LED Refrigeration Strip Lighting-End of Life replacement</t>
  </si>
  <si>
    <t>LED High Bay Fixture</t>
  </si>
  <si>
    <t>LED Low Bay Fixture</t>
  </si>
  <si>
    <t>LED Linear Replacement Lamps</t>
  </si>
  <si>
    <t>LED Exterior Fixtures-End of Life replacement</t>
  </si>
  <si>
    <t>LED Exit Sign-End of Life replacement</t>
  </si>
  <si>
    <t>Photoluminescent Exit Sign</t>
  </si>
  <si>
    <t>Lighting Controls - Occupancy Sensors</t>
  </si>
  <si>
    <t>Daylighting Controls</t>
  </si>
  <si>
    <t>Cycling Refrigerated Air Dryers (≤ 300 CFM capacity)</t>
  </si>
  <si>
    <t>COM-Process</t>
  </si>
  <si>
    <t>Variable Speed Drive Screw Compressors (10 - 40 hp)</t>
  </si>
  <si>
    <t>Air-Entraining Air Nozzles (up to 14CFM at 100 psi)</t>
  </si>
  <si>
    <t>No-Loss Drains (Timed drains are not eligible)</t>
  </si>
  <si>
    <t>Air Tanks for Load / No-Load Screw Compressors (10 – 40 hp)</t>
  </si>
  <si>
    <t>Integrated Dual Enthalpy Economizer Controls</t>
  </si>
  <si>
    <t>COM-HVAC</t>
  </si>
  <si>
    <t>HVAC Hotel Occupancy Sensor</t>
  </si>
  <si>
    <t>Zero-Energy Livestock Waterers</t>
  </si>
  <si>
    <t>Single Heat Pad</t>
  </si>
  <si>
    <t>Double Heat Pad</t>
  </si>
  <si>
    <t>Dairy Scroll Compressor</t>
  </si>
  <si>
    <t>Heat Reclaimer Unit</t>
  </si>
  <si>
    <t>VSD for Milk Vacuum Pump</t>
  </si>
  <si>
    <t>Total</t>
  </si>
  <si>
    <t>Cross-check</t>
  </si>
  <si>
    <t>Business Energy Solutions</t>
  </si>
  <si>
    <t>For Plan Year 2016</t>
  </si>
  <si>
    <t>For Plan Year 2017</t>
  </si>
  <si>
    <t>For Plan Year 2018</t>
  </si>
  <si>
    <t>A</t>
  </si>
  <si>
    <t>B</t>
  </si>
  <si>
    <t>C = A - B</t>
  </si>
  <si>
    <t>D = A / B</t>
  </si>
  <si>
    <t>E</t>
  </si>
  <si>
    <t>F = A / E</t>
  </si>
  <si>
    <t>Night Covers for 3' Refrigerated Display Cases-BES</t>
  </si>
  <si>
    <t>Humidity-Based Door Heater Controls for Reach-In Coolers and Freezers-BES</t>
  </si>
  <si>
    <t>Evaporator Fan Motor Controls for Walk-In Freezers and Coolers-BES</t>
  </si>
  <si>
    <t>Electronically Commutated (Brushless) DC Motors for Refrigeration Applications-BES</t>
  </si>
  <si>
    <t>Relamp/Reballast-Retrofit (dual baseline)-BES</t>
  </si>
  <si>
    <t>LED Lamps-Retrofit (dual baseline)-BES</t>
  </si>
  <si>
    <t>LED Lamps-End of Life-BES</t>
  </si>
  <si>
    <t>High-Efficiency Air Source Heat Pumps</t>
  </si>
  <si>
    <t>Ground Source Heat Pump</t>
  </si>
  <si>
    <t>Ground/Water Source Heat Pumps</t>
  </si>
  <si>
    <t>Faucet Aerator</t>
  </si>
  <si>
    <t>DHW Tank Wrap</t>
  </si>
  <si>
    <t>DHW Pipe Insulation</t>
  </si>
  <si>
    <t>Low Flow Showerheads</t>
  </si>
  <si>
    <t>Custom</t>
  </si>
  <si>
    <t>Custom Efficiency</t>
  </si>
  <si>
    <t>COM</t>
  </si>
  <si>
    <t>Whole Building 20% Over Baseline</t>
  </si>
  <si>
    <t>New Construction - BNI</t>
  </si>
  <si>
    <t>Whole Building 40% Over Baseline</t>
  </si>
  <si>
    <t>Efficient Products</t>
  </si>
  <si>
    <t>Refrigerator Retirement</t>
  </si>
  <si>
    <t>RES-Appliance</t>
  </si>
  <si>
    <t>RES-SF</t>
  </si>
  <si>
    <t>Freezer Retirement</t>
  </si>
  <si>
    <t>Room A/C Retirement</t>
  </si>
  <si>
    <t>RES-HVAC/Shell</t>
  </si>
  <si>
    <t>ENERGY STAR® LED Lamps</t>
  </si>
  <si>
    <t>RES-Lighting</t>
  </si>
  <si>
    <t>Hardwired Dimmer Switch</t>
  </si>
  <si>
    <t>Indoor Motion Sensor</t>
  </si>
  <si>
    <t>Outdoor Motion Sensor</t>
  </si>
  <si>
    <t>Power bar with integrated timer</t>
  </si>
  <si>
    <t>RES-Plug Load</t>
  </si>
  <si>
    <t>Smartstrip</t>
  </si>
  <si>
    <t>Heavy Duty Outdoor Timer</t>
  </si>
  <si>
    <t>Advanced Power Strip (load sensing or remote control/wireless APS)</t>
  </si>
  <si>
    <t>Dehumidifier (Retirement)</t>
  </si>
  <si>
    <t>Existing Homes</t>
  </si>
  <si>
    <t>10.5 W LED</t>
  </si>
  <si>
    <t>11 W LED</t>
  </si>
  <si>
    <t>8 W LED</t>
  </si>
  <si>
    <t>MURB</t>
  </si>
  <si>
    <t>12 W LED</t>
  </si>
  <si>
    <t>5W Chandelier LED bulb</t>
  </si>
  <si>
    <t>1W LED Nightlight</t>
  </si>
  <si>
    <t>Low Flow Faucet Aerator, 1.5 GPM</t>
  </si>
  <si>
    <t>RES-Water Heat</t>
  </si>
  <si>
    <t>Low Flow (1.25 GPM) showerhead</t>
  </si>
  <si>
    <t>Certified Wood Stove</t>
  </si>
  <si>
    <t>Certified Wood Boiler or Furnace</t>
  </si>
  <si>
    <t>Certified Pellet Stove</t>
  </si>
  <si>
    <t>Certified Pellet Boiler or Furnace Supplemented by Baseboard Heat (Whole Home)</t>
  </si>
  <si>
    <t>Advanced Automatic Pellet Combo Boiler</t>
  </si>
  <si>
    <t>ENERGY STAR® Air Source Heat Pump</t>
  </si>
  <si>
    <t>Solar DHW</t>
  </si>
  <si>
    <t>Solar Space and Water Heat (Supplement Electricity)</t>
  </si>
  <si>
    <t>RES-Package</t>
  </si>
  <si>
    <t>Solar Space Heating (Displacing Electricity)</t>
  </si>
  <si>
    <t>ENERGY STAR® Windows (Replace Single Pane)</t>
  </si>
  <si>
    <t>ENERGY STAR® Windows (300 ft2) (Replace Double Pane)</t>
  </si>
  <si>
    <t>ENERGY STAR® Door</t>
  </si>
  <si>
    <t>Embertec Power Strip</t>
  </si>
  <si>
    <t>ENERGY STAR® Refrigerator (Replacement)</t>
  </si>
  <si>
    <t>Building Envelope Retrofits (Insulation, Draft Proofing, EnergyStar Windows and Doors)</t>
  </si>
  <si>
    <t>New Construction - Res</t>
  </si>
  <si>
    <t>EnerGuide 83 New Home</t>
  </si>
  <si>
    <t>RES-NC</t>
  </si>
  <si>
    <t>EnerGuide 85 New Home</t>
  </si>
  <si>
    <t>EnerGuide 86 New Home</t>
  </si>
  <si>
    <t>EnerGuide 87 New Home</t>
  </si>
  <si>
    <t>EnerGuide 88 New Home</t>
  </si>
  <si>
    <t>EnerGuide 88+ New Home</t>
  </si>
  <si>
    <t>water and sewer savings</t>
  </si>
  <si>
    <t>$1.35 per therm</t>
  </si>
  <si>
    <t>project specific</t>
  </si>
  <si>
    <t xml:space="preserve">$1.44 one time property value increase </t>
  </si>
  <si>
    <t>$3.00 one time per unit</t>
  </si>
  <si>
    <t>$3.00 ea</t>
  </si>
  <si>
    <t>only shown for C&amp;I</t>
  </si>
  <si>
    <t xml:space="preserve">$516.39 + $72.77/yr </t>
  </si>
  <si>
    <t>$5.00 one time + $6.61 per year</t>
  </si>
  <si>
    <t>$189/year</t>
  </si>
  <si>
    <t>Thermal Comfort</t>
  </si>
  <si>
    <t>Noise Reduction</t>
  </si>
  <si>
    <t>Health Impacts</t>
  </si>
  <si>
    <t>Equipment Maintenance</t>
  </si>
  <si>
    <t>Lighting Quality</t>
  </si>
  <si>
    <t>Property Value</t>
  </si>
  <si>
    <t>Labor</t>
  </si>
  <si>
    <t>Source</t>
  </si>
  <si>
    <t>Other installers, repairers and servicers and material handlers</t>
  </si>
  <si>
    <t>Maintenance and equipment operation trades </t>
  </si>
  <si>
    <t>Nova Scotia</t>
  </si>
  <si>
    <t>Massachusetts</t>
  </si>
  <si>
    <t>Laborers and Freight, Stock, and Material Movers, Hand</t>
  </si>
  <si>
    <t>Installation, Maintenance, and Repair Workers, All Other</t>
  </si>
  <si>
    <t>exchange rate U.S. to $ CAN</t>
  </si>
  <si>
    <t>as of 8/28/2017</t>
  </si>
  <si>
    <t>https://www.google.com/search?q=exchange+rate+US+to+CAn&amp;rlz=1C1GGRV_enUS757US757&amp;oq=exchange+rate+US+to+CAn&amp;aqs=chrome..69i57j0l5.7647j0j8&amp;sourceid=chrome&amp;ie=UTF-8</t>
  </si>
  <si>
    <t>Average Hourly Wage (CAN $)</t>
  </si>
  <si>
    <t>Date</t>
  </si>
  <si>
    <t>http://www5.statcan.gc.ca/cansim/a26?lang=eng&amp;retrLang=eng&amp;id=2820151&amp;&amp;pattern=&amp;stByVal=1&amp;p1=1&amp;p2=37&amp;tabMode=dataTable&amp;csid=</t>
  </si>
  <si>
    <t>U.S. values are adjusted for inflation to 2017 CA values</t>
  </si>
  <si>
    <t>Fuel Costs</t>
  </si>
  <si>
    <t xml:space="preserve">Gasoline </t>
  </si>
  <si>
    <t>Diesel</t>
  </si>
  <si>
    <t>Fuel Costs (CAN $)</t>
  </si>
  <si>
    <t>https://www.bls.gov/OES/current/oes_ma.htm#49-0000</t>
  </si>
  <si>
    <t>8/16/2017-8/22/2017</t>
  </si>
  <si>
    <t>http://www.mass.gov/eea/energy-utilities-clean-tech/home-auto-fuel-price-info/gasoline-and-diesel-fuel-prices.html</t>
  </si>
  <si>
    <t>https://nsuarb.novascotia.ca/mandates/gasoline-diesel-pricing/gasoline-prices-zone-map</t>
  </si>
  <si>
    <t>Median Price</t>
  </si>
  <si>
    <t>Boston</t>
  </si>
  <si>
    <t>Halifax NS Airport</t>
  </si>
  <si>
    <t>Chicopee, MA</t>
  </si>
  <si>
    <t>Yarmouth, NS</t>
  </si>
  <si>
    <t>5 year average</t>
  </si>
  <si>
    <t>Pittsfield, MA</t>
  </si>
  <si>
    <t>Sydney, NS</t>
  </si>
  <si>
    <t>% difference</t>
  </si>
  <si>
    <t>Difference</t>
  </si>
  <si>
    <t>Average Heating (degrees Celsius)</t>
  </si>
  <si>
    <t>Average Cooling (degrees Celsius)</t>
  </si>
  <si>
    <t>Sum of heating and cooling degree days</t>
  </si>
  <si>
    <t>Heating Degree Days Celsius (base temp 15.5 degrees) (about 60 deg F)</t>
  </si>
  <si>
    <r>
      <t xml:space="preserve">Cooling Degree Days Celsius </t>
    </r>
    <r>
      <rPr>
        <sz val="11"/>
        <color theme="1"/>
        <rFont val="Calibri"/>
        <family val="2"/>
        <scheme val="minor"/>
      </rPr>
      <t xml:space="preserve"> (base temp 15.5 degrees) (about 60 deg F)</t>
    </r>
  </si>
  <si>
    <t>Heating Degree Days Fahrenheit (base temp 65 degrees) (about 18.3 deg C)</t>
  </si>
  <si>
    <t>Cooling Degree Days Fahrenheit (base temp 65 degrees) (about 18.3 deg C)</t>
  </si>
  <si>
    <t>SUM MA</t>
  </si>
  <si>
    <t>SUM NS</t>
  </si>
  <si>
    <t>DIFF</t>
  </si>
  <si>
    <t>TOTAL of 2.2% difference in heating and cooling degree days</t>
  </si>
  <si>
    <t>More Heating Degree Days, Fewer Cooling Degree Days in N.S.</t>
  </si>
  <si>
    <t>Nova Scotia has 2.2% more heating and cooling degree days</t>
  </si>
  <si>
    <t>Nova Scotia wages are slightly higher for comparable labor categories</t>
  </si>
  <si>
    <t>Gasoline and Diesel Prices are higher in Nova Scotia</t>
  </si>
  <si>
    <t>Comfort Benefits would be comparable (or maybe a little greater)</t>
  </si>
  <si>
    <t>VEIC Rationale</t>
  </si>
  <si>
    <t>prescriptive refrigeration from MA TRM</t>
  </si>
  <si>
    <t>further research recommended</t>
  </si>
  <si>
    <t>no MA tank wrap measure for C&amp;I-using pipe wrap measure NEIs as proxy</t>
  </si>
  <si>
    <t>Compressed Air-Custom</t>
  </si>
  <si>
    <t>HVAC-Custom</t>
  </si>
  <si>
    <t>Lighting-Custom</t>
  </si>
  <si>
    <t>Process-Custom</t>
  </si>
  <si>
    <t>Refrigeration-Custom</t>
  </si>
  <si>
    <t>.056/kWh</t>
  </si>
  <si>
    <t>.024/kWh</t>
  </si>
  <si>
    <t>.059/kWh</t>
  </si>
  <si>
    <t>.047/kWh</t>
  </si>
  <si>
    <t xml:space="preserve">from RI TRM-MA TRM does not include benefits of recycling old refrigerator </t>
  </si>
  <si>
    <t>$43.61 one time</t>
  </si>
  <si>
    <t>$3.50 one time</t>
  </si>
  <si>
    <t>MA Does not offer this measure-however, this measure is similar to other commercial refrigeration measures not associated with NEIs in MA's TRM</t>
  </si>
  <si>
    <t>for specific project categories-FLAGGED for Research Team follow-up</t>
  </si>
  <si>
    <t>Not offered in MA-similar to SmartStrip?</t>
  </si>
  <si>
    <t>Water Savings + $.03 property value increase</t>
  </si>
  <si>
    <t>page 98 MA TRM indicates value to RES SF and p. 414 Appendix C indicates value to LI</t>
  </si>
  <si>
    <t>No Tank Wrap measure in MA-use pipe wrap as a proxy?</t>
  </si>
  <si>
    <t>$46.07 one time plus $5.15/year</t>
  </si>
  <si>
    <t>$385.23 one time + $49.71/yr</t>
  </si>
  <si>
    <t>No exact measure match-using proxy</t>
  </si>
  <si>
    <t xml:space="preserve">No exact measure match-using heat pump as proxy </t>
  </si>
  <si>
    <t>likely low-no exact measure match-using Boiler replacement as proxy</t>
  </si>
  <si>
    <t>$56.39 one time + $1.23/yr</t>
  </si>
  <si>
    <t>Too low, should include property value increase and home durability</t>
  </si>
  <si>
    <t>request input from Research Team</t>
  </si>
  <si>
    <t>not a MA Measure - from PA research 2011 - refine based on single pane replacement or double pane replacement?</t>
  </si>
  <si>
    <t>LOW-only includes air sealing, duct sealing and insulation-no windows or doors</t>
  </si>
  <si>
    <t>This is only for more efficient heating system-does not account for more efficient insulation, air sealing, appliances, lighting and doors and windows. Scaling should also be applied.</t>
  </si>
  <si>
    <t>MA Does not offer this measure, but high efficiency air compressors are used as a proxy and have no NEIs in TRM (p.289)</t>
  </si>
  <si>
    <t>already measured and valued in NS c/b screening</t>
  </si>
  <si>
    <t>VEIC Recommendation US$</t>
  </si>
  <si>
    <t>VEIC Recommendation CAD$</t>
  </si>
  <si>
    <t>one time per unit from MA TRM</t>
  </si>
  <si>
    <t>$57.59 one time plus $10.33/year</t>
  </si>
  <si>
    <t>No comparable measure in MA</t>
  </si>
  <si>
    <t>Research Team?</t>
  </si>
  <si>
    <t>Minimum Wage Massachusetts</t>
  </si>
  <si>
    <t>Minimum Wage Nova Scotia</t>
  </si>
  <si>
    <t>(experienced)</t>
  </si>
  <si>
    <t>this amount is the number of cubic meters per unit for water savings and the same number of cubic meters per unit for wastewater savings</t>
  </si>
  <si>
    <t xml:space="preserve">Annual Water Savings from MA TRM (cubic meters/unit) </t>
  </si>
  <si>
    <t>$.0966/ kWh</t>
  </si>
  <si>
    <t>per therm-changed to kWh</t>
  </si>
  <si>
    <t>$3.00 one time per unit (for lighting quality and lifetime)</t>
  </si>
  <si>
    <t>$5.00 one time + $5.56 per year</t>
  </si>
  <si>
    <t>$6.25 one time plus $6.95/year</t>
  </si>
  <si>
    <t>$46.07 one time plus $5.06/year</t>
  </si>
  <si>
    <t>$57.59 one time plus $6.33/year</t>
  </si>
  <si>
    <t>$385.23 one time + $48.82/yr</t>
  </si>
  <si>
    <t>$481.54 one time plus $61.03/year</t>
  </si>
  <si>
    <t>$19.27one time + $2.70/yr</t>
  </si>
  <si>
    <t>$24.09 one time plus $3.38/year</t>
  </si>
  <si>
    <t>FLAGGED for further research</t>
  </si>
  <si>
    <t>Aug 2016 Average</t>
  </si>
  <si>
    <t>Aug 2017 Average</t>
  </si>
  <si>
    <t>https://www03.cmhc-schl.gc.ca/hmiportal/en/#Profile/12/2/Nova%20Scotia</t>
  </si>
  <si>
    <t>Q1 2017 Aggregate</t>
  </si>
  <si>
    <t>https://docs.rlpnetwork.com/rlp.ca/hps/HPS_Q1_2017_Price_Composite_EN.pdf</t>
  </si>
  <si>
    <t>Housing Price (CAD)</t>
  </si>
  <si>
    <t>June 2017 Median Price</t>
  </si>
  <si>
    <t>Average Home Prices and Value in Massachusetts</t>
  </si>
  <si>
    <t>Average</t>
  </si>
  <si>
    <t>Median</t>
  </si>
  <si>
    <t>http://creastats.crea.ca/nsar/mls05_median.html</t>
  </si>
  <si>
    <t>q2 2017 Median single detached</t>
  </si>
  <si>
    <t>Median Single-Family detached June 2017</t>
  </si>
  <si>
    <t>ratio</t>
  </si>
  <si>
    <t>Average from Jan 2014-Sept 2017</t>
  </si>
  <si>
    <t>2014-2016 Yearly Average Exchange Rate</t>
  </si>
  <si>
    <t>Motors and Drives-Custom</t>
  </si>
  <si>
    <t>DNV KEMA recommends using $0 for custom electric measures that were not statistically significant (Motors and Drives) because the data do not provide sufficient evidence to support a non-zero estimate.</t>
  </si>
  <si>
    <t>2014-2016</t>
  </si>
  <si>
    <t>Average of 2 cells below</t>
  </si>
  <si>
    <t>Water and Sewer savings for Nova Scotia in cell above</t>
  </si>
  <si>
    <t>MA TRM: Non-Energy Impact=None</t>
  </si>
  <si>
    <t>p. 418 MA TRM O&amp;M</t>
  </si>
  <si>
    <t>One time property value increase</t>
  </si>
  <si>
    <t>Not offered in MA</t>
  </si>
  <si>
    <t>One time per unit</t>
  </si>
  <si>
    <t>Only for Low Income</t>
  </si>
  <si>
    <t>backed out existing modeled water savings per E1 email 9.15.2017</t>
  </si>
  <si>
    <t>VEIC Recommended                            One-Time NEB</t>
  </si>
  <si>
    <t xml:space="preserve">VEIC Recommended                     Annual NEBs </t>
  </si>
  <si>
    <t>No comparable measure in MA TRM</t>
  </si>
  <si>
    <t>.006/kWh</t>
  </si>
  <si>
    <t>Page 8 in new construction study-seems really low-FLAGGED</t>
  </si>
  <si>
    <t>TRC Calculation</t>
  </si>
  <si>
    <t>PV One-Time NEB</t>
  </si>
  <si>
    <t>PV Annual NEB</t>
  </si>
  <si>
    <t>TRC With NEBs</t>
  </si>
  <si>
    <t>TRC % Change</t>
  </si>
  <si>
    <t>Measure Identifier</t>
  </si>
  <si>
    <t>Total measures</t>
  </si>
  <si>
    <t>No change to TRC</t>
  </si>
  <si>
    <t>.0368/kWh</t>
  </si>
  <si>
    <t>Overal Custom Electric from 2012 C&amp;I Study</t>
  </si>
  <si>
    <t>Buckets</t>
  </si>
  <si>
    <t>C&amp;I Admin</t>
  </si>
  <si>
    <t>C&amp;I Material Handling</t>
  </si>
  <si>
    <t>C&amp;I Material Movement</t>
  </si>
  <si>
    <t>C&amp;I Other Costs</t>
  </si>
  <si>
    <t>C&amp;I Other Labor</t>
  </si>
  <si>
    <t>C&amp;I O&amp;M</t>
  </si>
  <si>
    <t>C&amp;I Rent Revenue</t>
  </si>
  <si>
    <t>C&amp;I Sales Revenue</t>
  </si>
  <si>
    <t>refer to 2012 C&amp;I Study Table 4-7 and Table 4-17 for percentage of NEIs from each category</t>
  </si>
  <si>
    <t>C&amp;I Waste Disposal</t>
  </si>
  <si>
    <t>C&amp;I Total (check)</t>
  </si>
  <si>
    <t>MA does not offer  AG program measures, however, based on anecdotal evidence in Vermont, VEIC recommends further exploration of these measures by the Research Team</t>
  </si>
  <si>
    <t>MA does not offer  AG program measures, however, based on anetdotal evidence in Vermont, VEIC recommends further exploration of these measures by the Research Team</t>
  </si>
  <si>
    <t>not in MA TRM but included in initial study under HVAC and found to be statistically significant</t>
  </si>
  <si>
    <t>may be low/no accommodation for pellets</t>
  </si>
  <si>
    <t>=</t>
  </si>
  <si>
    <t>LOW-only includes air sealing, duct sealing and insulation-no windows, doors, lighting,appliances</t>
  </si>
  <si>
    <t>No prescriptive AG program in MA</t>
  </si>
  <si>
    <t>Total 
Avoided Cost Benefits with NEBs
($)</t>
  </si>
  <si>
    <t>NEW TRC RATIO</t>
  </si>
  <si>
    <t>TRC Ratio (with NEB)</t>
  </si>
  <si>
    <t>Plan Year 2016</t>
  </si>
  <si>
    <t>Plan Year 2017</t>
  </si>
  <si>
    <t>Plan Year 2018</t>
  </si>
  <si>
    <t>MA TRM Total (USD)</t>
  </si>
  <si>
    <t>TRC Test Analysis</t>
  </si>
  <si>
    <t>VEIC Recommended NEBs</t>
  </si>
  <si>
    <t>Program and Portfolio Analysis</t>
  </si>
  <si>
    <t>C&amp;I Product Spoilage</t>
  </si>
  <si>
    <t>Res Comfort</t>
  </si>
  <si>
    <t>Durability</t>
  </si>
  <si>
    <t>per measure per year--from RI TRM-b description better fit than MA-no breakdown of benefits</t>
  </si>
  <si>
    <t>One Time</t>
  </si>
  <si>
    <t>Annual</t>
  </si>
  <si>
    <t>Total Check</t>
  </si>
  <si>
    <t>$481.54 one time plus $61.51/year</t>
  </si>
  <si>
    <t>removed</t>
  </si>
  <si>
    <t>$3.73 one time plus $1.54/year</t>
  </si>
  <si>
    <t xml:space="preserve">$516.39 + $65.69/yr </t>
  </si>
  <si>
    <t>$645.49 one time + $82.70/year</t>
  </si>
  <si>
    <t>$148.68/year</t>
  </si>
  <si>
    <t xml:space="preserve">Quanitiy of Installed Measures </t>
  </si>
  <si>
    <t xml:space="preserve">Quantity of Installed Measures </t>
  </si>
  <si>
    <t>Total 
NEB
($)</t>
  </si>
  <si>
    <t>TRC with NEB (Ratio)</t>
  </si>
  <si>
    <t>BNI - Efficient Product Rebates</t>
  </si>
  <si>
    <t>BNI- Direct Installation</t>
  </si>
  <si>
    <t>Custom Incentives</t>
  </si>
  <si>
    <t>Residential - Efficient Product Rebates</t>
  </si>
  <si>
    <t>Existing Residential</t>
  </si>
  <si>
    <t>New Residential</t>
  </si>
  <si>
    <t>Total 
Benefits 
($)</t>
  </si>
  <si>
    <t>Total 
 Benefits 
($)</t>
  </si>
  <si>
    <t>Total Benefits Including NEBs</t>
  </si>
  <si>
    <t>Total Benefits includingNEBs</t>
  </si>
  <si>
    <t>converted MA savings to cubic meters and multiplied by water and sewer savings</t>
  </si>
  <si>
    <t>backed out NS savings and used MA values converted to cubic meters and multiplied by water and sewer savings</t>
  </si>
  <si>
    <t xml:space="preserve">backed out NS savings and used MA values converted to cubic meters and multiplied by water and sewer savings </t>
  </si>
  <si>
    <t>Measures identified by VEIC as having potential for more research</t>
  </si>
  <si>
    <t xml:space="preserve">Used Heat Pump SEER 16 to 18 </t>
  </si>
  <si>
    <t>EXISTING TRC RATIO</t>
  </si>
  <si>
    <t>Existing TRC 
(Ratio)</t>
  </si>
  <si>
    <t>BNI - Efficienct Product Rebates -2016-2018</t>
  </si>
  <si>
    <t>End Use</t>
  </si>
  <si>
    <t>Aggregate TRC w/o NEBs</t>
  </si>
  <si>
    <t>Aggregate TRC w NEBs</t>
  </si>
  <si>
    <t xml:space="preserve">% Change </t>
  </si>
  <si>
    <t xml:space="preserve">% of Program NEBs </t>
  </si>
  <si>
    <t>BNI - Direct Installation -2016-2018</t>
  </si>
  <si>
    <t>BNI - Custom Incentives -2016-2018</t>
  </si>
  <si>
    <t>RES - Efficienct Product Rebates -2016-2018</t>
  </si>
  <si>
    <t xml:space="preserve">RES-Plug Load </t>
  </si>
  <si>
    <t>RES - Existing Residential -2016-2018</t>
  </si>
  <si>
    <t>RES - New Residential -2016-2018</t>
  </si>
  <si>
    <t>Adjusted-Water Savings</t>
  </si>
  <si>
    <t>Proxy</t>
  </si>
  <si>
    <t>Proxy-from original research</t>
  </si>
  <si>
    <t>Adjusted units of measure</t>
  </si>
  <si>
    <t>One time per unit for lighting quality and lifetime</t>
  </si>
  <si>
    <t>Adjusted-Water Savings and prorated property value</t>
  </si>
  <si>
    <t>Adjusted-prorated for property value</t>
  </si>
  <si>
    <t>Proxy/ Adjusted prorated for property value</t>
  </si>
  <si>
    <t>Flagged</t>
  </si>
  <si>
    <t>Adjusted-water savings</t>
  </si>
  <si>
    <t>MA TRM p.279</t>
  </si>
  <si>
    <t>Treatment</t>
  </si>
  <si>
    <t>MA TRM p.280</t>
  </si>
  <si>
    <t>MA TRM p.285</t>
  </si>
  <si>
    <t>MA TRM p.287</t>
  </si>
  <si>
    <t>MA TRM p.324</t>
  </si>
  <si>
    <t>MA TRM p.419</t>
  </si>
  <si>
    <t>MA TRM p.283</t>
  </si>
  <si>
    <t>MA TRM p.271</t>
  </si>
  <si>
    <t>MA TRM p.236</t>
  </si>
  <si>
    <t>MA TRM p.19</t>
  </si>
  <si>
    <t>MA TRM p.262</t>
  </si>
  <si>
    <t>Not offered in MA TRM</t>
  </si>
  <si>
    <t>MA TRM p.252</t>
  </si>
  <si>
    <t>MA TRM p.266</t>
  </si>
  <si>
    <t>MA TRM p.264</t>
  </si>
  <si>
    <t>MA TRM p.269</t>
  </si>
  <si>
    <t>MA TRM p.256</t>
  </si>
  <si>
    <t>MA TRM p.299</t>
  </si>
  <si>
    <t>MA TRM p.418</t>
  </si>
  <si>
    <t>MA TRM p.291</t>
  </si>
  <si>
    <t>MA TRM p.289</t>
  </si>
  <si>
    <t>MA TRM p.296</t>
  </si>
  <si>
    <t>MA TRM p.238</t>
  </si>
  <si>
    <t>MA TRM p.248</t>
  </si>
  <si>
    <t>MA PA 2012 Study table 1-2 HVAC</t>
  </si>
  <si>
    <t>MA TRM p.366</t>
  </si>
  <si>
    <t>MA TRM p.420</t>
  </si>
  <si>
    <t>MA TRM p.365</t>
  </si>
  <si>
    <t>MA PA 2012 Study overall Custom</t>
  </si>
  <si>
    <t>MA PA 2016 Study Table 2 Page 8</t>
  </si>
  <si>
    <t>RI TRM</t>
  </si>
  <si>
    <t>MA TRM p.410</t>
  </si>
  <si>
    <t>MA TRM p.409</t>
  </si>
  <si>
    <t>MA TRM p.162</t>
  </si>
  <si>
    <t>MA TRM p.164</t>
  </si>
  <si>
    <t>MA TRM p.412</t>
  </si>
  <si>
    <t>MA TRM p.176</t>
  </si>
  <si>
    <t>MA TRM p.98</t>
  </si>
  <si>
    <t>MA TRM p.411</t>
  </si>
  <si>
    <t>MA PA 2011 Study table 2-6</t>
  </si>
  <si>
    <t>RI TRM Appendix B</t>
  </si>
  <si>
    <t>High-Efficiency Air Source Heat Pumps: Air Source Heat Pumps (1-11) Tons, Baseline</t>
  </si>
  <si>
    <t>High-Efficiency Air Source Heat Pumps: Electric Baseboards</t>
  </si>
  <si>
    <t>12 W LED: Blended 75W and 100W incandescent baseline</t>
  </si>
  <si>
    <t>12 W LED: 23 W CFL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</si>
</sst>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&quot;$&quot;#,##0"/>
    <numFmt numFmtId="168" formatCode="&quot;$&quot;#,##0.00"/>
    <numFmt numFmtId="169" formatCode="0.000000"/>
    <numFmt numFmtId="170" formatCode="0.00000"/>
    <numFmt numFmtId="171" formatCode="&quot;$&quot;#,##0.000"/>
    <numFmt numFmtId="172" formatCode="_(* #,##0_);_(* \(#,##0\);_(* &quot;-&quot;??_);_(@_)"/>
    <numFmt numFmtId="173" formatCode="&quot;$&quot;#,##0.0000"/>
    <numFmt numFmtId="174" formatCode="0.000000000"/>
    <numFmt numFmtId="175" formatCode="#,##0.000000000"/>
    <numFmt numFmtId="176" formatCode="0.00000000"/>
    <numFmt numFmtId="177" formatCode="0.0000"/>
    <numFmt numFmtId="178" formatCode="#,##0.00000000"/>
    <numFmt numFmtId="179" formatCode="_(&quot;$&quot;* #,##0_);_(&quot;$&quot;* \(#,##0\);_(&quot;$&quot;* &quot;-&quot;??_);_(@_)"/>
    <numFmt numFmtId="180" formatCode="0.0%"/>
    <numFmt numFmtId="181" formatCode="&quot;$&quot;#,##0.00000"/>
    <numFmt numFmtId="182" formatCode="0.000"/>
    <numFmt numFmtId="183" formatCode="_(&quot;$&quot;* #,##0.0000_);_(&quot;$&quot;* \(#,##0.0000\);_(&quot;$&quot;* &quot;-&quot;??_);_(@_)"/>
    <numFmt numFmtId="184" formatCode="&quot;$&quot;#,##0&quot;/MWh&quot;;\(&quot;$&quot;#,##0\)&quot;/MWh&quot;"/>
    <numFmt numFmtId="185" formatCode="_-* #,##0_-;\-* #,##0_-;_-* &quot;-&quot;_-;_-@_-"/>
    <numFmt numFmtId="186" formatCode="_-* #,##0.00_-;\-* #,##0.00_-;_-* &quot;-&quot;??_-;_-@_-"/>
    <numFmt numFmtId="187" formatCode="0.0000000000"/>
    <numFmt numFmtId="188" formatCode="#,##0;\-#,##0;&quot;-&quot;"/>
    <numFmt numFmtId="189" formatCode="&quot;$&quot;#,\);\(&quot;$&quot;#,##0\)"/>
    <numFmt numFmtId="190" formatCode="hh:mm"/>
    <numFmt numFmtId="191" formatCode="00000"/>
    <numFmt numFmtId="192" formatCode="&quot;$&quot;#,##0\ ;\(&quot;$&quot;#,##0\)"/>
    <numFmt numFmtId="193" formatCode="m/d"/>
    <numFmt numFmtId="194" formatCode="#,##0.00;[Red]#,##0.00"/>
    <numFmt numFmtId="195" formatCode="_([$€-2]* #,##0.00_);_([$€-2]* \(#,##0.00\);_([$€-2]* &quot;-&quot;??_)"/>
    <numFmt numFmtId="196" formatCode="yyyy"/>
    <numFmt numFmtId="197" formatCode="#,##0.00&quot; $&quot;;\-#,##0.00&quot; $&quot;"/>
    <numFmt numFmtId="198" formatCode="0.00_)"/>
    <numFmt numFmtId="199" formatCode="General_)"/>
    <numFmt numFmtId="200" formatCode="#,##0.00;[Red]\(#,##0.00\)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Palatino Linotype"/>
      <family val="1"/>
    </font>
    <font>
      <sz val="10"/>
      <color indexed="8"/>
      <name val="Palatino Linotype"/>
      <family val="1"/>
    </font>
    <font>
      <sz val="10"/>
      <color theme="1"/>
      <name val="Calibri"/>
      <family val="2"/>
      <scheme val="minor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0"/>
      <color rgb="FF0070C0"/>
      <name val="Palatino Linotype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Palatino Linotype"/>
      <family val="1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u/>
      <sz val="8.4"/>
      <color indexed="12"/>
      <name val="Arial"/>
      <family val="2"/>
    </font>
    <font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7"/>
      <name val="Arial"/>
      <family val="2"/>
    </font>
    <font>
      <sz val="10"/>
      <name val="Geneva"/>
    </font>
    <font>
      <sz val="11"/>
      <color indexed="20"/>
      <name val="Calibri"/>
      <family val="2"/>
    </font>
    <font>
      <sz val="9"/>
      <name val="Helv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1"/>
      <name val="Book Antiqua"/>
      <family val="1"/>
    </font>
    <font>
      <sz val="10"/>
      <color theme="1"/>
      <name val="Arial"/>
      <family val="2"/>
    </font>
    <font>
      <sz val="10"/>
      <name val="Helv"/>
    </font>
    <font>
      <b/>
      <sz val="10"/>
      <color indexed="8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8"/>
      <name val="Arial"/>
      <family val="2"/>
    </font>
    <font>
      <sz val="11"/>
      <color indexed="17"/>
      <name val="Calibri"/>
      <family val="2"/>
    </font>
    <font>
      <b/>
      <i/>
      <sz val="10"/>
      <name val="Helv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sz val="22"/>
      <name val="UBSHeadline"/>
      <family val="1"/>
    </font>
    <font>
      <sz val="10"/>
      <color indexed="14"/>
      <name val="Arial"/>
      <family val="2"/>
    </font>
    <font>
      <sz val="8"/>
      <name val="Helv"/>
    </font>
    <font>
      <b/>
      <sz val="18"/>
      <color indexed="56"/>
      <name val="Cambria"/>
      <family val="2"/>
    </font>
    <font>
      <b/>
      <sz val="8"/>
      <color indexed="8"/>
      <name val="Helv"/>
    </font>
    <font>
      <sz val="10"/>
      <name val="Frutiger 45 Light"/>
      <family val="2"/>
    </font>
    <font>
      <b/>
      <sz val="11"/>
      <name val="Times New Roman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0"/>
      <color indexed="39"/>
      <name val="Arial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Palatino Linotype"/>
      <family val="1"/>
    </font>
    <font>
      <b/>
      <sz val="12"/>
      <color theme="1"/>
      <name val="Palatino Linotype"/>
      <family val="1"/>
    </font>
    <font>
      <sz val="10"/>
      <color theme="1"/>
      <name val="HelveticaNeueLT Std"/>
      <family val="2"/>
    </font>
    <font>
      <sz val="10"/>
      <color indexed="8"/>
      <name val="Calibri"/>
      <family val="2"/>
      <scheme val="minor"/>
    </font>
  </fonts>
  <fills count="7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62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31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84" fontId="3" fillId="0" borderId="0">
      <alignment horizontal="right" wrapText="1"/>
    </xf>
    <xf numFmtId="0" fontId="18" fillId="0" borderId="0" applyNumberFormat="0" applyFill="0" applyBorder="0" applyAlignment="0" applyProtection="0">
      <alignment vertical="top"/>
    </xf>
    <xf numFmtId="0" fontId="19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</xf>
    <xf numFmtId="185" fontId="3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86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4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4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4" fillId="4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4" fillId="5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3" fontId="25" fillId="55" borderId="35"/>
    <xf numFmtId="187" fontId="26" fillId="56" borderId="36">
      <alignment horizontal="center" vertical="center"/>
    </xf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3" fontId="28" fillId="0" borderId="0" applyFill="0" applyBorder="0" applyProtection="0">
      <alignment horizontal="right"/>
    </xf>
    <xf numFmtId="188" fontId="23" fillId="0" borderId="0" applyFill="0" applyBorder="0" applyAlignment="0"/>
    <xf numFmtId="0" fontId="29" fillId="57" borderId="37" applyNumberFormat="0" applyAlignment="0" applyProtection="0"/>
    <xf numFmtId="0" fontId="29" fillId="57" borderId="37" applyNumberFormat="0" applyAlignment="0" applyProtection="0"/>
    <xf numFmtId="0" fontId="29" fillId="57" borderId="37" applyNumberFormat="0" applyAlignment="0" applyProtection="0"/>
    <xf numFmtId="0" fontId="29" fillId="57" borderId="37" applyNumberFormat="0" applyAlignment="0" applyProtection="0"/>
    <xf numFmtId="0" fontId="29" fillId="57" borderId="37" applyNumberFormat="0" applyAlignment="0" applyProtection="0"/>
    <xf numFmtId="0" fontId="30" fillId="58" borderId="38" applyNumberFormat="0" applyAlignment="0" applyProtection="0"/>
    <xf numFmtId="0" fontId="30" fillId="58" borderId="38" applyNumberFormat="0" applyAlignment="0" applyProtection="0"/>
    <xf numFmtId="0" fontId="30" fillId="58" borderId="38" applyNumberFormat="0" applyAlignment="0" applyProtection="0"/>
    <xf numFmtId="0" fontId="30" fillId="58" borderId="38" applyNumberFormat="0" applyAlignment="0" applyProtection="0"/>
    <xf numFmtId="0" fontId="30" fillId="58" borderId="38" applyNumberFormat="0" applyAlignment="0" applyProtection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1" fillId="0" borderId="0" applyNumberFormat="0" applyAlignment="0">
      <alignment horizontal="left"/>
    </xf>
    <xf numFmtId="190" fontId="3" fillId="0" borderId="0" applyFont="0" applyFill="0" applyBorder="0" applyAlignment="0" applyProtection="0"/>
    <xf numFmtId="191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4" fillId="0" borderId="0">
      <alignment horizontal="right"/>
      <protection locked="0"/>
    </xf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1" borderId="0" applyNumberFormat="0" applyBorder="0" applyAlignment="0" applyProtection="0"/>
    <xf numFmtId="0" fontId="36" fillId="0" borderId="0" applyNumberFormat="0" applyAlignment="0">
      <alignment horizontal="left"/>
    </xf>
    <xf numFmtId="195" fontId="3" fillId="0" borderId="0" applyFont="0" applyFill="0" applyBorder="0" applyAlignment="0" applyProtection="0"/>
    <xf numFmtId="0" fontId="4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38" fontId="38" fillId="0" borderId="35">
      <alignment horizontal="right"/>
    </xf>
    <xf numFmtId="172" fontId="32" fillId="0" borderId="0" applyFont="0" applyFill="0" applyBorder="0" applyAlignment="0" applyProtection="0"/>
    <xf numFmtId="196" fontId="3" fillId="0" borderId="0" applyFont="0" applyFill="0" applyBorder="0" applyAlignment="0" applyProtection="0">
      <alignment horizontal="center"/>
    </xf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38" fontId="38" fillId="62" borderId="0" applyNumberFormat="0" applyBorder="0" applyAlignment="0" applyProtection="0"/>
    <xf numFmtId="0" fontId="40" fillId="0" borderId="0"/>
    <xf numFmtId="0" fontId="41" fillId="0" borderId="0" applyNumberFormat="0" applyFill="0" applyBorder="0" applyAlignment="0" applyProtection="0"/>
    <xf numFmtId="0" fontId="42" fillId="0" borderId="15" applyNumberFormat="0" applyAlignment="0" applyProtection="0">
      <alignment horizontal="left" vertical="center"/>
    </xf>
    <xf numFmtId="0" fontId="42" fillId="0" borderId="34">
      <alignment horizontal="left" vertical="center"/>
    </xf>
    <xf numFmtId="0" fontId="43" fillId="0" borderId="39" applyNumberFormat="0" applyFill="0" applyAlignment="0" applyProtection="0"/>
    <xf numFmtId="0" fontId="43" fillId="0" borderId="39" applyNumberFormat="0" applyFill="0" applyAlignment="0" applyProtection="0"/>
    <xf numFmtId="0" fontId="43" fillId="0" borderId="39" applyNumberFormat="0" applyFill="0" applyAlignment="0" applyProtection="0"/>
    <xf numFmtId="0" fontId="43" fillId="0" borderId="39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40" applyNumberFormat="0" applyFill="0" applyAlignment="0" applyProtection="0"/>
    <xf numFmtId="0" fontId="44" fillId="0" borderId="40" applyNumberFormat="0" applyFill="0" applyAlignment="0" applyProtection="0"/>
    <xf numFmtId="0" fontId="44" fillId="0" borderId="40" applyNumberFormat="0" applyFill="0" applyAlignment="0" applyProtection="0"/>
    <xf numFmtId="0" fontId="44" fillId="0" borderId="40" applyNumberFormat="0" applyFill="0" applyAlignment="0" applyProtection="0"/>
    <xf numFmtId="0" fontId="45" fillId="0" borderId="41" applyNumberFormat="0" applyFill="0" applyAlignment="0" applyProtection="0"/>
    <xf numFmtId="0" fontId="45" fillId="0" borderId="41" applyNumberFormat="0" applyFill="0" applyAlignment="0" applyProtection="0"/>
    <xf numFmtId="0" fontId="45" fillId="0" borderId="41" applyNumberFormat="0" applyFill="0" applyAlignment="0" applyProtection="0"/>
    <xf numFmtId="0" fontId="45" fillId="0" borderId="41" applyNumberFormat="0" applyFill="0" applyAlignment="0" applyProtection="0"/>
    <xf numFmtId="0" fontId="45" fillId="0" borderId="4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97" fontId="3" fillId="0" borderId="0">
      <protection locked="0"/>
    </xf>
    <xf numFmtId="197" fontId="3" fillId="0" borderId="0">
      <protection locked="0"/>
    </xf>
    <xf numFmtId="0" fontId="46" fillId="0" borderId="42" applyNumberFormat="0" applyFill="0" applyAlignment="0" applyProtection="0"/>
    <xf numFmtId="10" fontId="38" fillId="63" borderId="33" applyNumberFormat="0" applyBorder="0" applyAlignment="0" applyProtection="0"/>
    <xf numFmtId="0" fontId="47" fillId="28" borderId="37" applyNumberFormat="0" applyAlignment="0" applyProtection="0"/>
    <xf numFmtId="0" fontId="47" fillId="28" borderId="37" applyNumberFormat="0" applyAlignment="0" applyProtection="0"/>
    <xf numFmtId="0" fontId="47" fillId="28" borderId="37" applyNumberFormat="0" applyAlignment="0" applyProtection="0"/>
    <xf numFmtId="0" fontId="47" fillId="28" borderId="37" applyNumberFormat="0" applyAlignment="0" applyProtection="0"/>
    <xf numFmtId="0" fontId="47" fillId="28" borderId="37" applyNumberFormat="0" applyAlignment="0" applyProtection="0"/>
    <xf numFmtId="0" fontId="47" fillId="28" borderId="37" applyNumberFormat="0" applyAlignment="0" applyProtection="0"/>
    <xf numFmtId="0" fontId="48" fillId="0" borderId="43" applyNumberFormat="0" applyFill="0" applyAlignment="0" applyProtection="0"/>
    <xf numFmtId="0" fontId="48" fillId="0" borderId="43" applyNumberFormat="0" applyFill="0" applyAlignment="0" applyProtection="0"/>
    <xf numFmtId="0" fontId="48" fillId="0" borderId="43" applyNumberFormat="0" applyFill="0" applyAlignment="0" applyProtection="0"/>
    <xf numFmtId="0" fontId="48" fillId="0" borderId="43" applyNumberFormat="0" applyFill="0" applyAlignment="0" applyProtection="0"/>
    <xf numFmtId="0" fontId="48" fillId="0" borderId="43" applyNumberFormat="0" applyFill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37" fontId="50" fillId="0" borderId="0"/>
    <xf numFmtId="198" fontId="51" fillId="0" borderId="0"/>
    <xf numFmtId="199" fontId="52" fillId="0" borderId="0"/>
    <xf numFmtId="199" fontId="52" fillId="0" borderId="0"/>
    <xf numFmtId="199" fontId="52" fillId="0" borderId="0"/>
    <xf numFmtId="199" fontId="52" fillId="0" borderId="0"/>
    <xf numFmtId="199" fontId="52" fillId="0" borderId="0"/>
    <xf numFmtId="199" fontId="52" fillId="0" borderId="0"/>
    <xf numFmtId="199" fontId="5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65" borderId="44" applyNumberFormat="0" applyFont="0" applyAlignment="0" applyProtection="0"/>
    <xf numFmtId="0" fontId="4" fillId="65" borderId="44" applyNumberFormat="0" applyFont="0" applyAlignment="0" applyProtection="0"/>
    <xf numFmtId="0" fontId="4" fillId="65" borderId="44" applyNumberFormat="0" applyFont="0" applyAlignment="0" applyProtection="0"/>
    <xf numFmtId="0" fontId="4" fillId="65" borderId="44" applyNumberFormat="0" applyFont="0" applyAlignment="0" applyProtection="0"/>
    <xf numFmtId="0" fontId="4" fillId="65" borderId="44" applyNumberFormat="0" applyFont="0" applyAlignment="0" applyProtection="0"/>
    <xf numFmtId="0" fontId="53" fillId="57" borderId="45" applyNumberFormat="0" applyAlignment="0" applyProtection="0"/>
    <xf numFmtId="0" fontId="53" fillId="57" borderId="45" applyNumberFormat="0" applyAlignment="0" applyProtection="0"/>
    <xf numFmtId="0" fontId="53" fillId="57" borderId="45" applyNumberFormat="0" applyAlignment="0" applyProtection="0"/>
    <xf numFmtId="0" fontId="53" fillId="57" borderId="45" applyNumberFormat="0" applyAlignment="0" applyProtection="0"/>
    <xf numFmtId="0" fontId="53" fillId="57" borderId="45" applyNumberFormat="0" applyAlignment="0" applyProtection="0"/>
    <xf numFmtId="200" fontId="23" fillId="66" borderId="0">
      <alignment horizontal="right"/>
    </xf>
    <xf numFmtId="0" fontId="54" fillId="67" borderId="0">
      <alignment horizontal="center"/>
    </xf>
    <xf numFmtId="0" fontId="55" fillId="68" borderId="46"/>
    <xf numFmtId="0" fontId="56" fillId="0" borderId="0" applyBorder="0">
      <alignment horizontal="centerContinuous"/>
    </xf>
    <xf numFmtId="0" fontId="57" fillId="68" borderId="0" applyBorder="0">
      <alignment horizontal="centerContinuous"/>
    </xf>
    <xf numFmtId="199" fontId="58" fillId="0" borderId="19">
      <alignment vertical="center"/>
    </xf>
    <xf numFmtId="10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0" borderId="0" applyNumberFormat="0" applyFill="0" applyBorder="0" applyAlignment="0"/>
    <xf numFmtId="167" fontId="28" fillId="0" borderId="0" applyFill="0" applyBorder="0" applyProtection="0">
      <alignment horizontal="right"/>
    </xf>
    <xf numFmtId="14" fontId="60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38" fillId="0" borderId="47" applyNumberForma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40" fontId="62" fillId="0" borderId="0" applyBorder="0">
      <alignment horizontal="right"/>
    </xf>
    <xf numFmtId="49" fontId="63" fillId="0" borderId="19">
      <alignment vertical="center"/>
    </xf>
    <xf numFmtId="40" fontId="64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0" fontId="65" fillId="0" borderId="48" applyNumberFormat="0" applyFill="0" applyAlignment="0" applyProtection="0"/>
    <xf numFmtId="37" fontId="38" fillId="69" borderId="0" applyNumberFormat="0" applyBorder="0" applyAlignment="0" applyProtection="0"/>
    <xf numFmtId="37" fontId="38" fillId="0" borderId="0"/>
    <xf numFmtId="37" fontId="38" fillId="69" borderId="0" applyNumberFormat="0" applyBorder="0" applyAlignment="0" applyProtection="0"/>
    <xf numFmtId="3" fontId="66" fillId="0" borderId="42" applyProtection="0"/>
    <xf numFmtId="0" fontId="67" fillId="0" borderId="0" applyFill="0" applyBorder="0" applyAlignment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</cellStyleXfs>
  <cellXfs count="498">
    <xf numFmtId="0" fontId="0" fillId="0" borderId="0" xfId="0"/>
    <xf numFmtId="3" fontId="2" fillId="3" borderId="0" xfId="0" applyNumberFormat="1" applyFont="1" applyFill="1" applyBorder="1" applyAlignment="1">
      <alignment horizontal="center" vertical="center" wrapText="1"/>
    </xf>
    <xf numFmtId="3" fontId="2" fillId="3" borderId="0" xfId="0" quotePrefix="1" applyNumberFormat="1" applyFont="1" applyFill="1" applyBorder="1" applyAlignment="1">
      <alignment horizontal="center" vertical="center" wrapText="1"/>
    </xf>
    <xf numFmtId="165" fontId="2" fillId="3" borderId="0" xfId="2" applyNumberFormat="1" applyFont="1" applyFill="1" applyBorder="1" applyAlignment="1">
      <alignment horizontal="center" vertical="center" wrapText="1"/>
    </xf>
    <xf numFmtId="165" fontId="2" fillId="3" borderId="6" xfId="2" applyNumberFormat="1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6" fontId="2" fillId="2" borderId="15" xfId="0" applyNumberFormat="1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166" fontId="2" fillId="9" borderId="14" xfId="0" applyNumberFormat="1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166" fontId="2" fillId="9" borderId="15" xfId="0" applyNumberFormat="1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166" fontId="2" fillId="3" borderId="5" xfId="0" applyNumberFormat="1" applyFont="1" applyFill="1" applyBorder="1" applyAlignment="1">
      <alignment horizontal="center" vertical="center" wrapText="1"/>
    </xf>
    <xf numFmtId="166" fontId="2" fillId="3" borderId="0" xfId="0" applyNumberFormat="1" applyFont="1" applyFill="1" applyBorder="1" applyAlignment="1">
      <alignment horizontal="center" vertical="center" wrapText="1"/>
    </xf>
    <xf numFmtId="166" fontId="7" fillId="0" borderId="0" xfId="1" applyNumberFormat="1" applyFont="1" applyFill="1" applyBorder="1" applyAlignment="1">
      <alignment horizontal="center" vertical="center"/>
    </xf>
    <xf numFmtId="166" fontId="7" fillId="0" borderId="11" xfId="1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/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167" fontId="7" fillId="4" borderId="0" xfId="0" applyNumberFormat="1" applyFont="1" applyFill="1" applyBorder="1" applyAlignment="1">
      <alignment horizontal="center" vertical="center" wrapText="1"/>
    </xf>
    <xf numFmtId="9" fontId="7" fillId="4" borderId="0" xfId="1" applyFont="1" applyFill="1" applyBorder="1" applyAlignment="1">
      <alignment horizontal="center" vertical="center" wrapText="1"/>
    </xf>
    <xf numFmtId="2" fontId="7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/>
    <xf numFmtId="3" fontId="7" fillId="5" borderId="0" xfId="0" applyNumberFormat="1" applyFont="1" applyFill="1" applyBorder="1" applyAlignment="1">
      <alignment horizontal="center" vertical="center" wrapText="1"/>
    </xf>
    <xf numFmtId="167" fontId="7" fillId="5" borderId="0" xfId="0" applyNumberFormat="1" applyFont="1" applyFill="1" applyBorder="1" applyAlignment="1">
      <alignment horizontal="center" vertical="center" wrapText="1"/>
    </xf>
    <xf numFmtId="9" fontId="7" fillId="5" borderId="0" xfId="1" applyFont="1" applyFill="1" applyBorder="1" applyAlignment="1">
      <alignment horizontal="center" vertical="center" wrapText="1"/>
    </xf>
    <xf numFmtId="2" fontId="7" fillId="5" borderId="0" xfId="0" applyNumberFormat="1" applyFont="1" applyFill="1" applyBorder="1" applyAlignment="1">
      <alignment horizontal="center" vertical="center" wrapText="1"/>
    </xf>
    <xf numFmtId="0" fontId="9" fillId="5" borderId="0" xfId="0" applyFont="1" applyFill="1"/>
    <xf numFmtId="1" fontId="7" fillId="0" borderId="5" xfId="1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9" fontId="7" fillId="0" borderId="0" xfId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8" fontId="7" fillId="0" borderId="0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166" fontId="7" fillId="0" borderId="5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 wrapText="1"/>
    </xf>
    <xf numFmtId="169" fontId="7" fillId="0" borderId="5" xfId="0" applyNumberFormat="1" applyFont="1" applyFill="1" applyBorder="1" applyAlignment="1">
      <alignment horizontal="center" vertical="center" wrapText="1"/>
    </xf>
    <xf numFmtId="170" fontId="7" fillId="0" borderId="0" xfId="0" applyNumberFormat="1" applyFont="1" applyFill="1" applyBorder="1" applyAlignment="1">
      <alignment horizontal="center" vertical="center" wrapText="1"/>
    </xf>
    <xf numFmtId="171" fontId="7" fillId="0" borderId="0" xfId="0" applyNumberFormat="1" applyFont="1" applyFill="1" applyBorder="1" applyAlignment="1">
      <alignment horizontal="center" vertical="center" wrapText="1"/>
    </xf>
    <xf numFmtId="1" fontId="7" fillId="0" borderId="10" xfId="1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167" fontId="7" fillId="0" borderId="11" xfId="0" applyNumberFormat="1" applyFont="1" applyFill="1" applyBorder="1" applyAlignment="1">
      <alignment horizontal="center" vertical="center" wrapText="1"/>
    </xf>
    <xf numFmtId="9" fontId="7" fillId="0" borderId="11" xfId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168" fontId="7" fillId="0" borderId="11" xfId="0" applyNumberFormat="1" applyFont="1" applyFill="1" applyBorder="1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166" fontId="11" fillId="0" borderId="11" xfId="0" applyNumberFormat="1" applyFont="1" applyBorder="1" applyAlignment="1">
      <alignment horizontal="center" vertical="center"/>
    </xf>
    <xf numFmtId="167" fontId="2" fillId="0" borderId="11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1" fontId="10" fillId="8" borderId="0" xfId="0" applyNumberFormat="1" applyFont="1" applyFill="1" applyBorder="1" applyAlignment="1">
      <alignment horizontal="center" vertical="center"/>
    </xf>
    <xf numFmtId="172" fontId="10" fillId="8" borderId="0" xfId="3" applyNumberFormat="1" applyFont="1" applyFill="1" applyBorder="1" applyAlignment="1">
      <alignment horizontal="center" vertical="center"/>
    </xf>
    <xf numFmtId="3" fontId="9" fillId="8" borderId="0" xfId="0" applyNumberFormat="1" applyFont="1" applyFill="1" applyBorder="1"/>
    <xf numFmtId="167" fontId="7" fillId="8" borderId="0" xfId="0" applyNumberFormat="1" applyFont="1" applyFill="1" applyBorder="1" applyAlignment="1">
      <alignment horizontal="center" vertical="center" wrapText="1"/>
    </xf>
    <xf numFmtId="2" fontId="7" fillId="8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166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166" fontId="7" fillId="0" borderId="8" xfId="0" applyNumberFormat="1" applyFont="1" applyFill="1" applyBorder="1" applyAlignment="1">
      <alignment horizontal="center" vertical="center" wrapText="1"/>
    </xf>
    <xf numFmtId="167" fontId="7" fillId="0" borderId="8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173" fontId="7" fillId="0" borderId="0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74" fontId="7" fillId="0" borderId="0" xfId="0" applyNumberFormat="1" applyFont="1" applyFill="1" applyBorder="1" applyAlignment="1">
      <alignment horizontal="center" vertical="center" wrapText="1"/>
    </xf>
    <xf numFmtId="175" fontId="7" fillId="0" borderId="0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center" vertical="center" wrapText="1"/>
    </xf>
    <xf numFmtId="178" fontId="7" fillId="0" borderId="0" xfId="0" applyNumberFormat="1" applyFont="1" applyFill="1" applyBorder="1" applyAlignment="1">
      <alignment horizontal="center" vertical="center" wrapText="1"/>
    </xf>
    <xf numFmtId="169" fontId="7" fillId="0" borderId="0" xfId="0" applyNumberFormat="1" applyFont="1" applyFill="1" applyBorder="1" applyAlignment="1">
      <alignment horizontal="center" vertical="center" wrapText="1"/>
    </xf>
    <xf numFmtId="166" fontId="9" fillId="0" borderId="0" xfId="0" applyNumberFormat="1" applyFont="1"/>
    <xf numFmtId="1" fontId="9" fillId="7" borderId="0" xfId="0" applyNumberFormat="1" applyFont="1" applyFill="1"/>
    <xf numFmtId="1" fontId="7" fillId="6" borderId="5" xfId="1" applyNumberFormat="1" applyFont="1" applyFill="1" applyBorder="1" applyAlignment="1">
      <alignment horizontal="center" vertical="center"/>
    </xf>
    <xf numFmtId="44" fontId="0" fillId="0" borderId="0" xfId="4" applyFont="1"/>
    <xf numFmtId="44" fontId="0" fillId="0" borderId="0" xfId="0" applyNumberFormat="1"/>
    <xf numFmtId="0" fontId="0" fillId="0" borderId="0" xfId="0" applyBorder="1"/>
    <xf numFmtId="0" fontId="2" fillId="2" borderId="20" xfId="0" applyNumberFormat="1" applyFont="1" applyFill="1" applyBorder="1" applyAlignment="1">
      <alignment horizontal="center" vertical="center" wrapText="1"/>
    </xf>
    <xf numFmtId="0" fontId="0" fillId="0" borderId="0" xfId="0" applyFill="1"/>
    <xf numFmtId="168" fontId="7" fillId="11" borderId="0" xfId="0" applyNumberFormat="1" applyFont="1" applyFill="1" applyBorder="1" applyAlignment="1">
      <alignment horizontal="center" vertical="center" wrapText="1"/>
    </xf>
    <xf numFmtId="168" fontId="7" fillId="11" borderId="11" xfId="0" applyNumberFormat="1" applyFont="1" applyFill="1" applyBorder="1" applyAlignment="1">
      <alignment horizontal="center" vertical="center" wrapText="1"/>
    </xf>
    <xf numFmtId="0" fontId="9" fillId="11" borderId="0" xfId="0" applyFont="1" applyFill="1"/>
    <xf numFmtId="44" fontId="7" fillId="11" borderId="0" xfId="4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1" fontId="7" fillId="12" borderId="5" xfId="1" applyNumberFormat="1" applyFont="1" applyFill="1" applyBorder="1" applyAlignment="1">
      <alignment horizontal="center" vertical="center"/>
    </xf>
    <xf numFmtId="1" fontId="7" fillId="12" borderId="10" xfId="1" applyNumberFormat="1" applyFont="1" applyFill="1" applyBorder="1" applyAlignment="1">
      <alignment horizontal="center" vertical="center"/>
    </xf>
    <xf numFmtId="0" fontId="2" fillId="7" borderId="20" xfId="0" applyNumberFormat="1" applyFont="1" applyFill="1" applyBorder="1" applyAlignment="1">
      <alignment horizontal="center" vertical="center" wrapText="1"/>
    </xf>
    <xf numFmtId="0" fontId="14" fillId="0" borderId="0" xfId="5"/>
    <xf numFmtId="0" fontId="0" fillId="0" borderId="20" xfId="0" applyBorder="1"/>
    <xf numFmtId="0" fontId="13" fillId="13" borderId="0" xfId="0" applyFont="1" applyFill="1"/>
    <xf numFmtId="0" fontId="13" fillId="14" borderId="0" xfId="0" applyFont="1" applyFill="1"/>
    <xf numFmtId="0" fontId="13" fillId="15" borderId="0" xfId="0" applyFont="1" applyFill="1"/>
    <xf numFmtId="0" fontId="13" fillId="0" borderId="0" xfId="0" applyFont="1"/>
    <xf numFmtId="44" fontId="0" fillId="0" borderId="0" xfId="4" applyFont="1" applyFill="1"/>
    <xf numFmtId="44" fontId="0" fillId="0" borderId="0" xfId="4" applyFont="1" applyFill="1" applyBorder="1"/>
    <xf numFmtId="0" fontId="0" fillId="0" borderId="0" xfId="0" applyFill="1" applyBorder="1"/>
    <xf numFmtId="0" fontId="0" fillId="14" borderId="7" xfId="0" applyFill="1" applyBorder="1"/>
    <xf numFmtId="44" fontId="0" fillId="14" borderId="8" xfId="4" applyFont="1" applyFill="1" applyBorder="1"/>
    <xf numFmtId="17" fontId="0" fillId="0" borderId="0" xfId="0" applyNumberFormat="1" applyBorder="1"/>
    <xf numFmtId="0" fontId="0" fillId="15" borderId="10" xfId="0" applyFill="1" applyBorder="1"/>
    <xf numFmtId="44" fontId="0" fillId="0" borderId="11" xfId="4" applyFont="1" applyBorder="1"/>
    <xf numFmtId="0" fontId="15" fillId="0" borderId="0" xfId="0" applyFont="1" applyFill="1"/>
    <xf numFmtId="17" fontId="0" fillId="0" borderId="0" xfId="0" applyNumberFormat="1" applyFill="1"/>
    <xf numFmtId="0" fontId="14" fillId="0" borderId="0" xfId="5" applyFill="1"/>
    <xf numFmtId="17" fontId="0" fillId="0" borderId="0" xfId="0" applyNumberFormat="1" applyFill="1" applyBorder="1"/>
    <xf numFmtId="44" fontId="0" fillId="0" borderId="9" xfId="4" applyFont="1" applyBorder="1"/>
    <xf numFmtId="44" fontId="0" fillId="15" borderId="12" xfId="4" applyFont="1" applyFill="1" applyBorder="1"/>
    <xf numFmtId="0" fontId="13" fillId="0" borderId="0" xfId="0" applyFont="1" applyFill="1"/>
    <xf numFmtId="14" fontId="13" fillId="0" borderId="0" xfId="0" applyNumberFormat="1" applyFont="1" applyFill="1"/>
    <xf numFmtId="0" fontId="0" fillId="0" borderId="7" xfId="0" applyBorder="1"/>
    <xf numFmtId="0" fontId="0" fillId="0" borderId="10" xfId="0" applyBorder="1"/>
    <xf numFmtId="2" fontId="0" fillId="14" borderId="8" xfId="0" applyNumberFormat="1" applyFill="1" applyBorder="1"/>
    <xf numFmtId="2" fontId="0" fillId="14" borderId="11" xfId="0" applyNumberFormat="1" applyFill="1" applyBorder="1"/>
    <xf numFmtId="0" fontId="0" fillId="15" borderId="9" xfId="0" applyFill="1" applyBorder="1"/>
    <xf numFmtId="0" fontId="0" fillId="15" borderId="12" xfId="0" applyFill="1" applyBorder="1"/>
    <xf numFmtId="179" fontId="0" fillId="0" borderId="0" xfId="4" applyNumberFormat="1" applyFont="1"/>
    <xf numFmtId="0" fontId="13" fillId="13" borderId="0" xfId="0" applyFont="1" applyFill="1" applyAlignment="1">
      <alignment horizontal="center"/>
    </xf>
    <xf numFmtId="0" fontId="13" fillId="13" borderId="19" xfId="0" applyFont="1" applyFill="1" applyBorder="1"/>
    <xf numFmtId="0" fontId="13" fillId="13" borderId="19" xfId="0" applyFont="1" applyFill="1" applyBorder="1" applyAlignment="1">
      <alignment wrapText="1"/>
    </xf>
    <xf numFmtId="0" fontId="13" fillId="13" borderId="19" xfId="0" applyFont="1" applyFill="1" applyBorder="1" applyAlignment="1">
      <alignment horizontal="left" wrapText="1"/>
    </xf>
    <xf numFmtId="0" fontId="0" fillId="0" borderId="9" xfId="0" applyBorder="1"/>
    <xf numFmtId="0" fontId="0" fillId="0" borderId="12" xfId="0" applyBorder="1"/>
    <xf numFmtId="9" fontId="0" fillId="16" borderId="0" xfId="1" applyFont="1" applyFill="1"/>
    <xf numFmtId="0" fontId="13" fillId="13" borderId="0" xfId="0" applyFont="1" applyFill="1" applyBorder="1" applyAlignment="1">
      <alignment wrapText="1"/>
    </xf>
    <xf numFmtId="0" fontId="0" fillId="0" borderId="8" xfId="0" applyBorder="1"/>
    <xf numFmtId="0" fontId="13" fillId="13" borderId="22" xfId="0" applyFont="1" applyFill="1" applyBorder="1"/>
    <xf numFmtId="0" fontId="13" fillId="13" borderId="6" xfId="0" applyFont="1" applyFill="1" applyBorder="1" applyAlignment="1">
      <alignment wrapText="1"/>
    </xf>
    <xf numFmtId="0" fontId="0" fillId="0" borderId="5" xfId="0" applyFont="1" applyBorder="1"/>
    <xf numFmtId="172" fontId="0" fillId="14" borderId="0" xfId="6" applyNumberFormat="1" applyFont="1" applyFill="1" applyBorder="1"/>
    <xf numFmtId="172" fontId="0" fillId="15" borderId="0" xfId="6" applyNumberFormat="1" applyFont="1" applyFill="1" applyBorder="1"/>
    <xf numFmtId="172" fontId="0" fillId="0" borderId="0" xfId="0" applyNumberFormat="1" applyBorder="1"/>
    <xf numFmtId="0" fontId="0" fillId="0" borderId="6" xfId="0" applyBorder="1"/>
    <xf numFmtId="172" fontId="0" fillId="0" borderId="0" xfId="6" applyNumberFormat="1" applyFont="1" applyFill="1" applyBorder="1"/>
    <xf numFmtId="172" fontId="0" fillId="12" borderId="0" xfId="6" applyNumberFormat="1" applyFont="1" applyFill="1" applyBorder="1"/>
    <xf numFmtId="172" fontId="0" fillId="10" borderId="0" xfId="6" applyNumberFormat="1" applyFont="1" applyFill="1" applyBorder="1"/>
    <xf numFmtId="172" fontId="13" fillId="0" borderId="0" xfId="0" applyNumberFormat="1" applyFont="1" applyBorder="1"/>
    <xf numFmtId="180" fontId="13" fillId="0" borderId="6" xfId="1" applyNumberFormat="1" applyFont="1" applyBorder="1"/>
    <xf numFmtId="0" fontId="13" fillId="0" borderId="5" xfId="0" applyFont="1" applyBorder="1"/>
    <xf numFmtId="172" fontId="13" fillId="14" borderId="0" xfId="6" applyNumberFormat="1" applyFont="1" applyFill="1" applyBorder="1"/>
    <xf numFmtId="172" fontId="0" fillId="0" borderId="0" xfId="6" applyNumberFormat="1" applyFont="1" applyBorder="1"/>
    <xf numFmtId="172" fontId="13" fillId="15" borderId="0" xfId="6" applyNumberFormat="1" applyFont="1" applyFill="1" applyBorder="1"/>
    <xf numFmtId="0" fontId="0" fillId="0" borderId="5" xfId="0" applyBorder="1"/>
    <xf numFmtId="0" fontId="13" fillId="0" borderId="5" xfId="0" applyFont="1" applyBorder="1" applyAlignment="1">
      <alignment wrapText="1"/>
    </xf>
    <xf numFmtId="3" fontId="0" fillId="0" borderId="0" xfId="0" applyNumberFormat="1" applyBorder="1"/>
    <xf numFmtId="0" fontId="0" fillId="0" borderId="11" xfId="0" applyBorder="1"/>
    <xf numFmtId="0" fontId="13" fillId="16" borderId="0" xfId="0" applyFont="1" applyFill="1"/>
    <xf numFmtId="0" fontId="13" fillId="0" borderId="0" xfId="0" applyFont="1" applyAlignment="1">
      <alignment horizontal="right"/>
    </xf>
    <xf numFmtId="180" fontId="0" fillId="0" borderId="0" xfId="1" applyNumberFormat="1" applyFont="1" applyFill="1" applyBorder="1"/>
    <xf numFmtId="2" fontId="0" fillId="0" borderId="0" xfId="0" applyNumberFormat="1" applyFill="1" applyBorder="1"/>
    <xf numFmtId="9" fontId="0" fillId="0" borderId="0" xfId="1" applyFont="1" applyFill="1"/>
    <xf numFmtId="2" fontId="13" fillId="16" borderId="0" xfId="0" applyNumberFormat="1" applyFont="1" applyFill="1" applyBorder="1"/>
    <xf numFmtId="0" fontId="0" fillId="16" borderId="0" xfId="0" applyFill="1" applyBorder="1"/>
    <xf numFmtId="0" fontId="13" fillId="16" borderId="0" xfId="0" applyFont="1" applyFill="1" applyBorder="1"/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168" fontId="7" fillId="7" borderId="0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8" fontId="7" fillId="7" borderId="1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44" fontId="7" fillId="7" borderId="0" xfId="4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5" fontId="2" fillId="0" borderId="0" xfId="2" applyNumberFormat="1" applyFont="1" applyFill="1" applyBorder="1" applyAlignment="1">
      <alignment horizontal="center" vertical="center" wrapText="1"/>
    </xf>
    <xf numFmtId="165" fontId="2" fillId="0" borderId="6" xfId="2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4" fontId="2" fillId="2" borderId="0" xfId="4" applyFont="1" applyFill="1" applyBorder="1" applyAlignment="1">
      <alignment horizontal="center" vertical="center" wrapText="1"/>
    </xf>
    <xf numFmtId="0" fontId="10" fillId="0" borderId="0" xfId="0" applyFont="1"/>
    <xf numFmtId="44" fontId="10" fillId="0" borderId="0" xfId="0" applyNumberFormat="1" applyFont="1"/>
    <xf numFmtId="168" fontId="10" fillId="7" borderId="0" xfId="0" applyNumberFormat="1" applyFont="1" applyFill="1" applyAlignment="1">
      <alignment horizontal="center"/>
    </xf>
    <xf numFmtId="168" fontId="7" fillId="9" borderId="0" xfId="0" applyNumberFormat="1" applyFont="1" applyFill="1" applyBorder="1" applyAlignment="1">
      <alignment horizontal="center" vertical="center" wrapText="1"/>
    </xf>
    <xf numFmtId="171" fontId="7" fillId="9" borderId="0" xfId="0" applyNumberFormat="1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/>
    </xf>
    <xf numFmtId="168" fontId="7" fillId="9" borderId="11" xfId="0" applyNumberFormat="1" applyFont="1" applyFill="1" applyBorder="1" applyAlignment="1">
      <alignment horizontal="center" vertical="center" wrapText="1"/>
    </xf>
    <xf numFmtId="44" fontId="0" fillId="14" borderId="8" xfId="4" applyNumberFormat="1" applyFont="1" applyFill="1" applyBorder="1"/>
    <xf numFmtId="44" fontId="0" fillId="0" borderId="8" xfId="0" applyNumberFormat="1" applyFont="1" applyFill="1" applyBorder="1"/>
    <xf numFmtId="0" fontId="13" fillId="0" borderId="9" xfId="0" applyFont="1" applyFill="1" applyBorder="1"/>
    <xf numFmtId="0" fontId="13" fillId="0" borderId="11" xfId="0" applyFont="1" applyFill="1" applyBorder="1"/>
    <xf numFmtId="44" fontId="0" fillId="15" borderId="11" xfId="0" applyNumberFormat="1" applyFont="1" applyFill="1" applyBorder="1"/>
    <xf numFmtId="0" fontId="0" fillId="0" borderId="12" xfId="0" applyFont="1" applyFill="1" applyBorder="1"/>
    <xf numFmtId="0" fontId="2" fillId="2" borderId="16" xfId="0" applyNumberFormat="1" applyFont="1" applyFill="1" applyBorder="1" applyAlignment="1">
      <alignment horizontal="center" vertical="center" wrapText="1"/>
    </xf>
    <xf numFmtId="43" fontId="7" fillId="9" borderId="0" xfId="6" applyFont="1" applyFill="1" applyBorder="1" applyAlignment="1">
      <alignment horizontal="center" vertical="center" wrapText="1"/>
    </xf>
    <xf numFmtId="43" fontId="7" fillId="9" borderId="11" xfId="6" applyFont="1" applyFill="1" applyBorder="1" applyAlignment="1">
      <alignment horizontal="center" vertical="center" wrapText="1"/>
    </xf>
    <xf numFmtId="181" fontId="7" fillId="9" borderId="0" xfId="0" applyNumberFormat="1" applyFont="1" applyFill="1" applyBorder="1" applyAlignment="1">
      <alignment horizontal="center" vertical="center" wrapText="1"/>
    </xf>
    <xf numFmtId="181" fontId="7" fillId="9" borderId="11" xfId="0" applyNumberFormat="1" applyFont="1" applyFill="1" applyBorder="1" applyAlignment="1">
      <alignment horizontal="center" vertical="center" wrapText="1"/>
    </xf>
    <xf numFmtId="182" fontId="7" fillId="9" borderId="0" xfId="0" applyNumberFormat="1" applyFont="1" applyFill="1" applyBorder="1" applyAlignment="1">
      <alignment horizontal="center" vertical="center" wrapText="1"/>
    </xf>
    <xf numFmtId="17" fontId="14" fillId="0" borderId="0" xfId="5" applyNumberFormat="1"/>
    <xf numFmtId="17" fontId="14" fillId="0" borderId="0" xfId="5" applyNumberFormat="1" applyAlignment="1">
      <alignment horizontal="left"/>
    </xf>
    <xf numFmtId="179" fontId="0" fillId="0" borderId="20" xfId="4" applyNumberFormat="1" applyFont="1" applyBorder="1"/>
    <xf numFmtId="0" fontId="13" fillId="13" borderId="7" xfId="0" applyFont="1" applyFill="1" applyBorder="1"/>
    <xf numFmtId="0" fontId="13" fillId="13" borderId="8" xfId="0" applyFont="1" applyFill="1" applyBorder="1"/>
    <xf numFmtId="0" fontId="13" fillId="14" borderId="8" xfId="0" applyFont="1" applyFill="1" applyBorder="1"/>
    <xf numFmtId="0" fontId="13" fillId="15" borderId="8" xfId="0" applyFont="1" applyFill="1" applyBorder="1"/>
    <xf numFmtId="0" fontId="0" fillId="0" borderId="5" xfId="0" applyFill="1" applyBorder="1"/>
    <xf numFmtId="0" fontId="13" fillId="14" borderId="0" xfId="0" applyFont="1" applyFill="1" applyBorder="1"/>
    <xf numFmtId="0" fontId="13" fillId="15" borderId="0" xfId="0" applyFont="1" applyFill="1" applyBorder="1"/>
    <xf numFmtId="0" fontId="13" fillId="13" borderId="0" xfId="0" applyFont="1" applyFill="1" applyBorder="1" applyAlignment="1">
      <alignment horizontal="left"/>
    </xf>
    <xf numFmtId="17" fontId="14" fillId="16" borderId="10" xfId="5" applyNumberFormat="1" applyFill="1" applyBorder="1"/>
    <xf numFmtId="0" fontId="0" fillId="16" borderId="11" xfId="0" applyFill="1" applyBorder="1"/>
    <xf numFmtId="179" fontId="0" fillId="16" borderId="11" xfId="4" applyNumberFormat="1" applyFont="1" applyFill="1" applyBorder="1"/>
    <xf numFmtId="0" fontId="14" fillId="16" borderId="11" xfId="5" applyFill="1" applyBorder="1"/>
    <xf numFmtId="179" fontId="0" fillId="16" borderId="12" xfId="4" applyNumberFormat="1" applyFont="1" applyFill="1" applyBorder="1"/>
    <xf numFmtId="44" fontId="7" fillId="7" borderId="0" xfId="4" applyFont="1" applyFill="1" applyBorder="1" applyAlignment="1">
      <alignment horizontal="center" vertical="center" wrapText="1"/>
    </xf>
    <xf numFmtId="44" fontId="7" fillId="0" borderId="0" xfId="4" applyFont="1" applyFill="1" applyBorder="1" applyAlignment="1">
      <alignment horizontal="center" vertical="center" wrapText="1"/>
    </xf>
    <xf numFmtId="9" fontId="0" fillId="0" borderId="9" xfId="1" applyFont="1" applyBorder="1"/>
    <xf numFmtId="1" fontId="7" fillId="7" borderId="5" xfId="1" applyNumberFormat="1" applyFont="1" applyFill="1" applyBorder="1" applyAlignment="1">
      <alignment horizontal="center" vertical="center"/>
    </xf>
    <xf numFmtId="168" fontId="7" fillId="18" borderId="0" xfId="0" applyNumberFormat="1" applyFont="1" applyFill="1" applyBorder="1" applyAlignment="1">
      <alignment horizontal="center" vertical="center" wrapText="1"/>
    </xf>
    <xf numFmtId="44" fontId="2" fillId="2" borderId="16" xfId="4" applyFont="1" applyFill="1" applyBorder="1" applyAlignment="1">
      <alignment horizontal="center" vertical="center" wrapText="1"/>
    </xf>
    <xf numFmtId="44" fontId="8" fillId="0" borderId="0" xfId="4" applyFont="1" applyFill="1" applyBorder="1" applyAlignment="1">
      <alignment horizontal="center" vertical="center"/>
    </xf>
    <xf numFmtId="44" fontId="8" fillId="0" borderId="11" xfId="4" applyFont="1" applyFill="1" applyBorder="1" applyAlignment="1">
      <alignment horizontal="center" vertical="center"/>
    </xf>
    <xf numFmtId="44" fontId="2" fillId="2" borderId="23" xfId="4" applyFont="1" applyFill="1" applyBorder="1" applyAlignment="1">
      <alignment horizontal="center" vertical="center" wrapText="1"/>
    </xf>
    <xf numFmtId="44" fontId="9" fillId="0" borderId="0" xfId="4" applyFont="1"/>
    <xf numFmtId="0" fontId="0" fillId="7" borderId="20" xfId="0" applyFill="1" applyBorder="1"/>
    <xf numFmtId="168" fontId="7" fillId="18" borderId="0" xfId="0" applyNumberFormat="1" applyFont="1" applyFill="1" applyBorder="1" applyAlignment="1">
      <alignment horizontal="right" vertical="center" wrapText="1"/>
    </xf>
    <xf numFmtId="0" fontId="2" fillId="17" borderId="16" xfId="0" applyNumberFormat="1" applyFont="1" applyFill="1" applyBorder="1" applyAlignment="1">
      <alignment horizontal="center" vertical="center" wrapText="1"/>
    </xf>
    <xf numFmtId="44" fontId="2" fillId="17" borderId="16" xfId="4" applyFont="1" applyFill="1" applyBorder="1" applyAlignment="1">
      <alignment horizontal="center" vertical="center" wrapText="1"/>
    </xf>
    <xf numFmtId="44" fontId="2" fillId="18" borderId="0" xfId="4" applyFont="1" applyFill="1" applyBorder="1" applyAlignment="1">
      <alignment horizontal="center" vertical="center" wrapText="1"/>
    </xf>
    <xf numFmtId="0" fontId="2" fillId="18" borderId="0" xfId="0" applyNumberFormat="1" applyFont="1" applyFill="1" applyBorder="1" applyAlignment="1">
      <alignment horizontal="center" vertical="center" wrapText="1"/>
    </xf>
    <xf numFmtId="168" fontId="7" fillId="18" borderId="0" xfId="4" applyNumberFormat="1" applyFont="1" applyFill="1" applyBorder="1" applyAlignment="1">
      <alignment horizontal="right" vertical="center" wrapText="1"/>
    </xf>
    <xf numFmtId="168" fontId="10" fillId="18" borderId="0" xfId="0" applyNumberFormat="1" applyFont="1" applyFill="1" applyAlignment="1">
      <alignment horizontal="right"/>
    </xf>
    <xf numFmtId="168" fontId="7" fillId="18" borderId="11" xfId="0" applyNumberFormat="1" applyFont="1" applyFill="1" applyBorder="1" applyAlignment="1">
      <alignment horizontal="center" vertical="center" wrapText="1"/>
    </xf>
    <xf numFmtId="168" fontId="7" fillId="18" borderId="0" xfId="4" applyNumberFormat="1" applyFont="1" applyFill="1" applyBorder="1" applyAlignment="1">
      <alignment vertical="center" wrapText="1"/>
    </xf>
    <xf numFmtId="168" fontId="7" fillId="18" borderId="0" xfId="0" applyNumberFormat="1" applyFont="1" applyFill="1" applyBorder="1" applyAlignment="1">
      <alignment vertical="center" wrapText="1"/>
    </xf>
    <xf numFmtId="168" fontId="7" fillId="18" borderId="11" xfId="0" applyNumberFormat="1" applyFont="1" applyFill="1" applyBorder="1" applyAlignment="1">
      <alignment horizontal="right" vertical="center" wrapText="1"/>
    </xf>
    <xf numFmtId="168" fontId="7" fillId="18" borderId="0" xfId="0" applyNumberFormat="1" applyFont="1" applyFill="1" applyBorder="1" applyAlignment="1">
      <alignment horizontal="left" vertical="center" wrapText="1"/>
    </xf>
    <xf numFmtId="168" fontId="7" fillId="18" borderId="11" xfId="0" applyNumberFormat="1" applyFont="1" applyFill="1" applyBorder="1" applyAlignment="1">
      <alignment horizontal="left" vertical="center" wrapText="1"/>
    </xf>
    <xf numFmtId="0" fontId="10" fillId="18" borderId="0" xfId="0" applyFont="1" applyFill="1" applyAlignment="1">
      <alignment horizontal="left"/>
    </xf>
    <xf numFmtId="168" fontId="7" fillId="7" borderId="11" xfId="0" applyNumberFormat="1" applyFont="1" applyFill="1" applyBorder="1" applyAlignment="1">
      <alignment horizontal="left" vertical="center" wrapText="1"/>
    </xf>
    <xf numFmtId="0" fontId="0" fillId="18" borderId="0" xfId="0" applyFill="1" applyAlignment="1">
      <alignment horizontal="left" wrapText="1"/>
    </xf>
    <xf numFmtId="0" fontId="9" fillId="19" borderId="0" xfId="0" applyFont="1" applyFill="1"/>
    <xf numFmtId="0" fontId="2" fillId="19" borderId="2" xfId="0" applyNumberFormat="1" applyFont="1" applyFill="1" applyBorder="1" applyAlignment="1">
      <alignment horizontal="center" vertical="center" wrapText="1"/>
    </xf>
    <xf numFmtId="0" fontId="2" fillId="19" borderId="0" xfId="0" applyNumberFormat="1" applyFont="1" applyFill="1" applyBorder="1" applyAlignment="1">
      <alignment horizontal="center" vertical="center" wrapText="1"/>
    </xf>
    <xf numFmtId="10" fontId="2" fillId="19" borderId="0" xfId="1" applyNumberFormat="1" applyFont="1" applyFill="1" applyBorder="1" applyAlignment="1">
      <alignment horizontal="center" vertical="center" wrapText="1"/>
    </xf>
    <xf numFmtId="2" fontId="7" fillId="19" borderId="0" xfId="0" applyNumberFormat="1" applyFont="1" applyFill="1" applyBorder="1" applyAlignment="1">
      <alignment horizontal="center" vertical="center" wrapText="1"/>
    </xf>
    <xf numFmtId="167" fontId="7" fillId="19" borderId="0" xfId="0" applyNumberFormat="1" applyFont="1" applyFill="1" applyBorder="1" applyAlignment="1">
      <alignment horizontal="center" vertical="center" wrapText="1"/>
    </xf>
    <xf numFmtId="2" fontId="7" fillId="19" borderId="11" xfId="0" applyNumberFormat="1" applyFont="1" applyFill="1" applyBorder="1" applyAlignment="1">
      <alignment horizontal="center" vertical="center" wrapText="1"/>
    </xf>
    <xf numFmtId="167" fontId="7" fillId="19" borderId="11" xfId="0" applyNumberFormat="1" applyFont="1" applyFill="1" applyBorder="1" applyAlignment="1">
      <alignment horizontal="center" vertical="center" wrapText="1"/>
    </xf>
    <xf numFmtId="0" fontId="2" fillId="19" borderId="24" xfId="0" applyNumberFormat="1" applyFont="1" applyFill="1" applyBorder="1" applyAlignment="1">
      <alignment horizontal="center" vertical="center" wrapText="1"/>
    </xf>
    <xf numFmtId="9" fontId="7" fillId="19" borderId="0" xfId="1" applyNumberFormat="1" applyFont="1" applyFill="1" applyBorder="1" applyAlignment="1">
      <alignment horizontal="center" vertical="center" wrapText="1"/>
    </xf>
    <xf numFmtId="9" fontId="7" fillId="19" borderId="0" xfId="1" applyFont="1" applyFill="1" applyBorder="1" applyAlignment="1">
      <alignment horizontal="center" vertical="center" wrapText="1"/>
    </xf>
    <xf numFmtId="9" fontId="7" fillId="19" borderId="11" xfId="1" applyFont="1" applyFill="1" applyBorder="1" applyAlignment="1">
      <alignment horizontal="center" vertical="center" wrapText="1"/>
    </xf>
    <xf numFmtId="9" fontId="2" fillId="19" borderId="2" xfId="1" applyFont="1" applyFill="1" applyBorder="1" applyAlignment="1">
      <alignment horizontal="center" vertical="center" wrapText="1"/>
    </xf>
    <xf numFmtId="9" fontId="2" fillId="19" borderId="24" xfId="1" applyFont="1" applyFill="1" applyBorder="1" applyAlignment="1">
      <alignment horizontal="center" vertical="center" wrapText="1"/>
    </xf>
    <xf numFmtId="2" fontId="0" fillId="0" borderId="0" xfId="0" applyNumberFormat="1" applyFill="1"/>
    <xf numFmtId="9" fontId="0" fillId="0" borderId="0" xfId="0" applyNumberFormat="1" applyFill="1"/>
    <xf numFmtId="180" fontId="0" fillId="0" borderId="0" xfId="0" applyNumberFormat="1" applyFill="1"/>
    <xf numFmtId="0" fontId="0" fillId="0" borderId="0" xfId="0" applyNumberFormat="1" applyFill="1"/>
    <xf numFmtId="168" fontId="7" fillId="18" borderId="11" xfId="4" applyNumberFormat="1" applyFont="1" applyFill="1" applyBorder="1" applyAlignment="1">
      <alignment horizontal="right" vertical="center" wrapText="1"/>
    </xf>
    <xf numFmtId="168" fontId="7" fillId="0" borderId="0" xfId="4" applyNumberFormat="1" applyFont="1" applyFill="1" applyBorder="1" applyAlignment="1">
      <alignment horizontal="right" vertical="center" wrapText="1"/>
    </xf>
    <xf numFmtId="168" fontId="8" fillId="0" borderId="0" xfId="4" applyNumberFormat="1" applyFont="1" applyFill="1" applyBorder="1" applyAlignment="1">
      <alignment horizontal="right" vertical="center"/>
    </xf>
    <xf numFmtId="168" fontId="2" fillId="2" borderId="16" xfId="4" applyNumberFormat="1" applyFont="1" applyFill="1" applyBorder="1" applyAlignment="1">
      <alignment horizontal="right" vertical="center" wrapText="1"/>
    </xf>
    <xf numFmtId="168" fontId="7" fillId="18" borderId="11" xfId="4" applyNumberFormat="1" applyFont="1" applyFill="1" applyBorder="1" applyAlignment="1">
      <alignment vertical="center" wrapText="1"/>
    </xf>
    <xf numFmtId="168" fontId="7" fillId="0" borderId="0" xfId="4" applyNumberFormat="1" applyFont="1" applyFill="1" applyBorder="1" applyAlignment="1">
      <alignment vertical="center" wrapText="1"/>
    </xf>
    <xf numFmtId="168" fontId="8" fillId="0" borderId="0" xfId="4" applyNumberFormat="1" applyFont="1" applyFill="1" applyBorder="1" applyAlignment="1">
      <alignment vertical="center"/>
    </xf>
    <xf numFmtId="168" fontId="8" fillId="0" borderId="11" xfId="4" applyNumberFormat="1" applyFont="1" applyFill="1" applyBorder="1" applyAlignment="1">
      <alignment vertical="center"/>
    </xf>
    <xf numFmtId="168" fontId="2" fillId="2" borderId="23" xfId="4" applyNumberFormat="1" applyFont="1" applyFill="1" applyBorder="1" applyAlignment="1">
      <alignment vertical="center" wrapText="1"/>
    </xf>
    <xf numFmtId="168" fontId="10" fillId="18" borderId="0" xfId="4" applyNumberFormat="1" applyFont="1" applyFill="1" applyAlignment="1"/>
    <xf numFmtId="1" fontId="0" fillId="0" borderId="0" xfId="0" applyNumberFormat="1" applyFill="1"/>
    <xf numFmtId="183" fontId="2" fillId="17" borderId="16" xfId="4" applyNumberFormat="1" applyFont="1" applyFill="1" applyBorder="1" applyAlignment="1">
      <alignment horizontal="center" vertical="center" wrapText="1"/>
    </xf>
    <xf numFmtId="44" fontId="2" fillId="17" borderId="0" xfId="4" applyFont="1" applyFill="1" applyBorder="1" applyAlignment="1">
      <alignment horizontal="center" vertical="center" wrapText="1"/>
    </xf>
    <xf numFmtId="168" fontId="7" fillId="17" borderId="0" xfId="4" applyNumberFormat="1" applyFont="1" applyFill="1" applyBorder="1" applyAlignment="1">
      <alignment horizontal="right" vertical="center" wrapText="1"/>
    </xf>
    <xf numFmtId="168" fontId="7" fillId="17" borderId="11" xfId="4" applyNumberFormat="1" applyFont="1" applyFill="1" applyBorder="1" applyAlignment="1">
      <alignment horizontal="right" vertical="center" wrapText="1"/>
    </xf>
    <xf numFmtId="1" fontId="2" fillId="5" borderId="5" xfId="0" applyNumberFormat="1" applyFont="1" applyFill="1" applyBorder="1" applyAlignment="1">
      <alignment horizontal="center" vertical="center" wrapText="1"/>
    </xf>
    <xf numFmtId="1" fontId="12" fillId="5" borderId="0" xfId="0" applyNumberFormat="1" applyFont="1" applyFill="1" applyBorder="1" applyAlignment="1">
      <alignment horizontal="center" vertical="center"/>
    </xf>
    <xf numFmtId="0" fontId="0" fillId="5" borderId="0" xfId="0" applyFill="1"/>
    <xf numFmtId="3" fontId="2" fillId="20" borderId="0" xfId="0" applyNumberFormat="1" applyFont="1" applyFill="1" applyBorder="1" applyAlignment="1">
      <alignment horizontal="center" vertical="center" wrapText="1"/>
    </xf>
    <xf numFmtId="167" fontId="7" fillId="20" borderId="8" xfId="0" applyNumberFormat="1" applyFont="1" applyFill="1" applyBorder="1" applyAlignment="1">
      <alignment horizontal="center" vertical="center" wrapText="1"/>
    </xf>
    <xf numFmtId="167" fontId="7" fillId="20" borderId="0" xfId="0" applyNumberFormat="1" applyFont="1" applyFill="1" applyBorder="1" applyAlignment="1">
      <alignment horizontal="center" vertical="center" wrapText="1"/>
    </xf>
    <xf numFmtId="167" fontId="2" fillId="20" borderId="11" xfId="0" applyNumberFormat="1" applyFont="1" applyFill="1" applyBorder="1" applyAlignment="1">
      <alignment horizontal="center" vertical="center"/>
    </xf>
    <xf numFmtId="0" fontId="8" fillId="20" borderId="0" xfId="0" applyFont="1" applyFill="1" applyBorder="1" applyAlignment="1">
      <alignment horizontal="center" vertical="center"/>
    </xf>
    <xf numFmtId="0" fontId="2" fillId="20" borderId="15" xfId="0" applyFont="1" applyFill="1" applyBorder="1" applyAlignment="1">
      <alignment vertical="center"/>
    </xf>
    <xf numFmtId="0" fontId="2" fillId="20" borderId="15" xfId="0" applyFont="1" applyFill="1" applyBorder="1" applyAlignment="1">
      <alignment horizontal="center" vertical="center"/>
    </xf>
    <xf numFmtId="171" fontId="7" fillId="20" borderId="0" xfId="0" applyNumberFormat="1" applyFont="1" applyFill="1" applyBorder="1" applyAlignment="1">
      <alignment horizontal="center" vertical="center" wrapText="1"/>
    </xf>
    <xf numFmtId="167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4" fontId="9" fillId="0" borderId="0" xfId="4" applyFont="1" applyFill="1"/>
    <xf numFmtId="182" fontId="16" fillId="0" borderId="0" xfId="0" applyNumberFormat="1" applyFont="1" applyFill="1"/>
    <xf numFmtId="44" fontId="2" fillId="18" borderId="13" xfId="4" applyFont="1" applyFill="1" applyBorder="1" applyAlignment="1">
      <alignment horizontal="center" vertical="center" wrapText="1"/>
    </xf>
    <xf numFmtId="44" fontId="2" fillId="2" borderId="2" xfId="4" applyFont="1" applyFill="1" applyBorder="1" applyAlignment="1">
      <alignment horizontal="center" vertical="center" wrapText="1"/>
    </xf>
    <xf numFmtId="168" fontId="7" fillId="13" borderId="0" xfId="4" applyNumberFormat="1" applyFont="1" applyFill="1" applyBorder="1" applyAlignment="1">
      <alignment horizontal="right" vertical="center" wrapText="1"/>
    </xf>
    <xf numFmtId="168" fontId="7" fillId="2" borderId="0" xfId="4" applyNumberFormat="1" applyFont="1" applyFill="1" applyBorder="1" applyAlignment="1">
      <alignment horizontal="right" vertical="center" wrapText="1"/>
    </xf>
    <xf numFmtId="180" fontId="9" fillId="0" borderId="0" xfId="1" applyNumberFormat="1" applyFont="1" applyFill="1"/>
    <xf numFmtId="182" fontId="9" fillId="0" borderId="0" xfId="0" applyNumberFormat="1" applyFont="1" applyFill="1"/>
    <xf numFmtId="180" fontId="9" fillId="0" borderId="0" xfId="0" applyNumberFormat="1" applyFont="1" applyFill="1"/>
    <xf numFmtId="168" fontId="7" fillId="4" borderId="0" xfId="4" applyNumberFormat="1" applyFont="1" applyFill="1" applyBorder="1" applyAlignment="1">
      <alignment horizontal="right" vertical="center" wrapText="1"/>
    </xf>
    <xf numFmtId="168" fontId="2" fillId="2" borderId="12" xfId="4" applyNumberFormat="1" applyFont="1" applyFill="1" applyBorder="1" applyAlignment="1">
      <alignment horizontal="right" vertical="center" wrapText="1"/>
    </xf>
    <xf numFmtId="168" fontId="7" fillId="13" borderId="0" xfId="0" applyNumberFormat="1" applyFont="1" applyFill="1" applyBorder="1" applyAlignment="1">
      <alignment vertical="center" wrapText="1"/>
    </xf>
    <xf numFmtId="167" fontId="7" fillId="22" borderId="0" xfId="0" applyNumberFormat="1" applyFont="1" applyFill="1" applyBorder="1" applyAlignment="1">
      <alignment horizontal="center" vertical="center" wrapText="1"/>
    </xf>
    <xf numFmtId="44" fontId="2" fillId="2" borderId="12" xfId="4" applyFont="1" applyFill="1" applyBorder="1" applyAlignment="1">
      <alignment horizontal="center" vertical="center" wrapText="1"/>
    </xf>
    <xf numFmtId="44" fontId="8" fillId="0" borderId="15" xfId="4" applyFont="1" applyFill="1" applyBorder="1" applyAlignment="1">
      <alignment horizontal="center" vertical="center"/>
    </xf>
    <xf numFmtId="44" fontId="7" fillId="18" borderId="0" xfId="4" applyNumberFormat="1" applyFont="1" applyFill="1" applyBorder="1" applyAlignment="1">
      <alignment vertical="center" wrapText="1"/>
    </xf>
    <xf numFmtId="168" fontId="7" fillId="13" borderId="0" xfId="0" applyNumberFormat="1" applyFont="1" applyFill="1" applyBorder="1" applyAlignment="1">
      <alignment horizontal="right" vertical="center" wrapText="1"/>
    </xf>
    <xf numFmtId="168" fontId="7" fillId="13" borderId="0" xfId="4" applyNumberFormat="1" applyFont="1" applyFill="1" applyBorder="1" applyAlignment="1">
      <alignment vertical="center" wrapText="1"/>
    </xf>
    <xf numFmtId="168" fontId="7" fillId="13" borderId="11" xfId="4" applyNumberFormat="1" applyFont="1" applyFill="1" applyBorder="1" applyAlignment="1">
      <alignment vertical="center" wrapText="1"/>
    </xf>
    <xf numFmtId="44" fontId="8" fillId="0" borderId="20" xfId="4" applyFont="1" applyFill="1" applyBorder="1" applyAlignment="1">
      <alignment horizontal="center" vertical="center"/>
    </xf>
    <xf numFmtId="49" fontId="9" fillId="19" borderId="0" xfId="0" applyNumberFormat="1" applyFont="1" applyFill="1"/>
    <xf numFmtId="49" fontId="9" fillId="0" borderId="0" xfId="0" applyNumberFormat="1" applyFont="1" applyFill="1"/>
    <xf numFmtId="2" fontId="8" fillId="0" borderId="0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vertical="center"/>
    </xf>
    <xf numFmtId="2" fontId="2" fillId="9" borderId="15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182" fontId="0" fillId="0" borderId="0" xfId="0" applyNumberFormat="1" applyFill="1"/>
    <xf numFmtId="44" fontId="2" fillId="18" borderId="17" xfId="4" applyFont="1" applyFill="1" applyBorder="1" applyAlignment="1">
      <alignment horizontal="center" vertical="center" wrapText="1"/>
    </xf>
    <xf numFmtId="43" fontId="7" fillId="18" borderId="33" xfId="6" applyFont="1" applyFill="1" applyBorder="1" applyAlignment="1">
      <alignment horizontal="center" vertical="center" wrapText="1"/>
    </xf>
    <xf numFmtId="168" fontId="7" fillId="18" borderId="33" xfId="4" applyNumberFormat="1" applyFont="1" applyFill="1" applyBorder="1" applyAlignment="1">
      <alignment horizontal="right" vertical="center" wrapText="1"/>
    </xf>
    <xf numFmtId="168" fontId="7" fillId="18" borderId="33" xfId="0" applyNumberFormat="1" applyFont="1" applyFill="1" applyBorder="1" applyAlignment="1">
      <alignment horizontal="right" vertical="center" wrapText="1"/>
    </xf>
    <xf numFmtId="168" fontId="10" fillId="18" borderId="33" xfId="0" applyNumberFormat="1" applyFont="1" applyFill="1" applyBorder="1" applyAlignment="1">
      <alignment horizontal="right"/>
    </xf>
    <xf numFmtId="168" fontId="10" fillId="18" borderId="33" xfId="4" applyNumberFormat="1" applyFont="1" applyFill="1" applyBorder="1" applyAlignment="1">
      <alignment horizontal="right"/>
    </xf>
    <xf numFmtId="43" fontId="7" fillId="18" borderId="29" xfId="6" applyFont="1" applyFill="1" applyBorder="1" applyAlignment="1">
      <alignment horizontal="center" vertical="center" wrapText="1"/>
    </xf>
    <xf numFmtId="168" fontId="7" fillId="18" borderId="29" xfId="4" applyNumberFormat="1" applyFont="1" applyFill="1" applyBorder="1" applyAlignment="1">
      <alignment horizontal="right" vertical="center" wrapText="1"/>
    </xf>
    <xf numFmtId="168" fontId="7" fillId="18" borderId="33" xfId="0" applyNumberFormat="1" applyFont="1" applyFill="1" applyBorder="1" applyAlignment="1">
      <alignment horizontal="center" vertical="center" wrapText="1"/>
    </xf>
    <xf numFmtId="171" fontId="7" fillId="18" borderId="33" xfId="0" applyNumberFormat="1" applyFont="1" applyFill="1" applyBorder="1" applyAlignment="1">
      <alignment horizontal="center" vertical="center" wrapText="1"/>
    </xf>
    <xf numFmtId="168" fontId="7" fillId="18" borderId="29" xfId="0" applyNumberFormat="1" applyFont="1" applyFill="1" applyBorder="1" applyAlignment="1">
      <alignment horizontal="center" vertical="center" wrapText="1"/>
    </xf>
    <xf numFmtId="168" fontId="7" fillId="18" borderId="33" xfId="4" applyNumberFormat="1" applyFont="1" applyFill="1" applyBorder="1" applyAlignment="1">
      <alignment vertical="center" wrapText="1"/>
    </xf>
    <xf numFmtId="168" fontId="7" fillId="18" borderId="33" xfId="0" applyNumberFormat="1" applyFont="1" applyFill="1" applyBorder="1" applyAlignment="1">
      <alignment vertical="center" wrapText="1"/>
    </xf>
    <xf numFmtId="0" fontId="10" fillId="18" borderId="33" xfId="0" applyFont="1" applyFill="1" applyBorder="1" applyAlignment="1">
      <alignment horizontal="center"/>
    </xf>
    <xf numFmtId="168" fontId="7" fillId="18" borderId="29" xfId="0" applyNumberFormat="1" applyFont="1" applyFill="1" applyBorder="1" applyAlignment="1">
      <alignment horizontal="right" vertical="center" wrapText="1"/>
    </xf>
    <xf numFmtId="182" fontId="7" fillId="18" borderId="33" xfId="0" applyNumberFormat="1" applyFont="1" applyFill="1" applyBorder="1" applyAlignment="1">
      <alignment vertical="center" wrapText="1"/>
    </xf>
    <xf numFmtId="171" fontId="7" fillId="18" borderId="33" xfId="4" applyNumberFormat="1" applyFont="1" applyFill="1" applyBorder="1" applyAlignment="1">
      <alignment vertical="center" wrapText="1"/>
    </xf>
    <xf numFmtId="168" fontId="7" fillId="18" borderId="29" xfId="0" applyNumberFormat="1" applyFont="1" applyFill="1" applyBorder="1" applyAlignment="1">
      <alignment vertical="center" wrapText="1"/>
    </xf>
    <xf numFmtId="168" fontId="7" fillId="18" borderId="29" xfId="4" applyNumberFormat="1" applyFont="1" applyFill="1" applyBorder="1" applyAlignment="1">
      <alignment vertical="center" wrapText="1"/>
    </xf>
    <xf numFmtId="168" fontId="10" fillId="18" borderId="33" xfId="0" applyNumberFormat="1" applyFont="1" applyFill="1" applyBorder="1" applyAlignment="1">
      <alignment horizontal="center"/>
    </xf>
    <xf numFmtId="168" fontId="10" fillId="18" borderId="33" xfId="4" applyNumberFormat="1" applyFont="1" applyFill="1" applyBorder="1" applyAlignment="1"/>
    <xf numFmtId="168" fontId="7" fillId="18" borderId="24" xfId="0" applyNumberFormat="1" applyFont="1" applyFill="1" applyBorder="1" applyAlignment="1">
      <alignment horizontal="center" vertical="center" wrapText="1"/>
    </xf>
    <xf numFmtId="168" fontId="7" fillId="18" borderId="24" xfId="4" applyNumberFormat="1" applyFont="1" applyFill="1" applyBorder="1" applyAlignment="1">
      <alignment horizontal="right" vertical="center" wrapText="1"/>
    </xf>
    <xf numFmtId="44" fontId="2" fillId="2" borderId="11" xfId="4" applyFont="1" applyFill="1" applyBorder="1" applyAlignment="1">
      <alignment horizontal="center" vertical="center" wrapText="1"/>
    </xf>
    <xf numFmtId="43" fontId="7" fillId="18" borderId="24" xfId="6" applyFont="1" applyFill="1" applyBorder="1" applyAlignment="1">
      <alignment horizontal="center" vertical="center" wrapText="1"/>
    </xf>
    <xf numFmtId="168" fontId="7" fillId="18" borderId="24" xfId="0" applyNumberFormat="1" applyFont="1" applyFill="1" applyBorder="1" applyAlignment="1">
      <alignment horizontal="right" vertical="center" wrapText="1"/>
    </xf>
    <xf numFmtId="44" fontId="2" fillId="2" borderId="3" xfId="4" applyFont="1" applyFill="1" applyBorder="1" applyAlignment="1">
      <alignment horizontal="center" vertical="center" wrapText="1"/>
    </xf>
    <xf numFmtId="168" fontId="7" fillId="18" borderId="24" xfId="4" applyNumberFormat="1" applyFont="1" applyFill="1" applyBorder="1" applyAlignment="1">
      <alignment vertical="center" wrapText="1"/>
    </xf>
    <xf numFmtId="168" fontId="7" fillId="18" borderId="24" xfId="0" applyNumberFormat="1" applyFont="1" applyFill="1" applyBorder="1" applyAlignment="1">
      <alignment vertical="center" wrapText="1"/>
    </xf>
    <xf numFmtId="168" fontId="2" fillId="2" borderId="11" xfId="4" applyNumberFormat="1" applyFont="1" applyFill="1" applyBorder="1" applyAlignment="1">
      <alignment vertical="center" wrapText="1"/>
    </xf>
    <xf numFmtId="168" fontId="10" fillId="18" borderId="24" xfId="0" applyNumberFormat="1" applyFont="1" applyFill="1" applyBorder="1" applyAlignment="1">
      <alignment horizontal="center"/>
    </xf>
    <xf numFmtId="168" fontId="10" fillId="18" borderId="24" xfId="4" applyNumberFormat="1" applyFont="1" applyFill="1" applyBorder="1" applyAlignment="1"/>
    <xf numFmtId="168" fontId="2" fillId="2" borderId="3" xfId="4" applyNumberFormat="1" applyFont="1" applyFill="1" applyBorder="1" applyAlignment="1">
      <alignment vertical="center" wrapText="1"/>
    </xf>
    <xf numFmtId="44" fontId="7" fillId="18" borderId="33" xfId="4" applyFont="1" applyFill="1" applyBorder="1" applyAlignment="1">
      <alignment horizontal="center" vertical="center" wrapText="1"/>
    </xf>
    <xf numFmtId="44" fontId="7" fillId="18" borderId="0" xfId="4" applyFont="1" applyFill="1" applyBorder="1" applyAlignment="1">
      <alignment horizontal="center" vertical="center" wrapText="1"/>
    </xf>
    <xf numFmtId="44" fontId="7" fillId="18" borderId="29" xfId="4" applyFont="1" applyFill="1" applyBorder="1" applyAlignment="1">
      <alignment horizontal="center" vertical="center" wrapText="1"/>
    </xf>
    <xf numFmtId="44" fontId="7" fillId="18" borderId="11" xfId="4" applyFont="1" applyFill="1" applyBorder="1" applyAlignment="1">
      <alignment horizontal="center" vertical="center" wrapText="1"/>
    </xf>
    <xf numFmtId="167" fontId="7" fillId="20" borderId="11" xfId="0" applyNumberFormat="1" applyFont="1" applyFill="1" applyBorder="1" applyAlignment="1">
      <alignment horizontal="center" vertical="center" wrapText="1"/>
    </xf>
    <xf numFmtId="167" fontId="7" fillId="20" borderId="15" xfId="0" applyNumberFormat="1" applyFont="1" applyFill="1" applyBorder="1" applyAlignment="1">
      <alignment horizontal="center" vertical="center" wrapText="1"/>
    </xf>
    <xf numFmtId="167" fontId="2" fillId="7" borderId="20" xfId="0" applyNumberFormat="1" applyFont="1" applyFill="1" applyBorder="1" applyAlignment="1">
      <alignment horizontal="center" vertical="center"/>
    </xf>
    <xf numFmtId="2" fontId="2" fillId="7" borderId="20" xfId="0" applyNumberFormat="1" applyFont="1" applyFill="1" applyBorder="1" applyAlignment="1">
      <alignment horizontal="center" vertical="center" wrapText="1"/>
    </xf>
    <xf numFmtId="167" fontId="2" fillId="7" borderId="20" xfId="0" applyNumberFormat="1" applyFont="1" applyFill="1" applyBorder="1" applyAlignment="1">
      <alignment horizontal="center" vertical="center" wrapText="1"/>
    </xf>
    <xf numFmtId="167" fontId="69" fillId="0" borderId="0" xfId="0" applyNumberFormat="1" applyFont="1"/>
    <xf numFmtId="182" fontId="70" fillId="0" borderId="0" xfId="0" applyNumberFormat="1" applyFont="1" applyFill="1"/>
    <xf numFmtId="1" fontId="2" fillId="2" borderId="10" xfId="0" applyNumberFormat="1" applyFont="1" applyFill="1" applyBorder="1" applyAlignment="1">
      <alignment horizont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72" fontId="10" fillId="8" borderId="5" xfId="3" applyNumberFormat="1" applyFont="1" applyFill="1" applyBorder="1" applyAlignment="1">
      <alignment horizontal="center" vertical="center"/>
    </xf>
    <xf numFmtId="2" fontId="7" fillId="8" borderId="6" xfId="0" applyNumberFormat="1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0" xfId="0" applyFont="1" applyBorder="1"/>
    <xf numFmtId="2" fontId="9" fillId="0" borderId="0" xfId="0" applyNumberFormat="1" applyFont="1" applyBorder="1"/>
    <xf numFmtId="0" fontId="9" fillId="0" borderId="6" xfId="0" applyFont="1" applyBorder="1"/>
    <xf numFmtId="166" fontId="8" fillId="0" borderId="5" xfId="0" applyNumberFormat="1" applyFont="1" applyFill="1" applyBorder="1" applyAlignment="1"/>
    <xf numFmtId="0" fontId="8" fillId="0" borderId="6" xfId="0" applyFont="1" applyFill="1" applyBorder="1" applyAlignment="1">
      <alignment horizontal="center" vertical="center"/>
    </xf>
    <xf numFmtId="166" fontId="8" fillId="0" borderId="5" xfId="0" applyNumberFormat="1" applyFont="1" applyFill="1" applyBorder="1" applyAlignment="1">
      <alignment horizontal="center" vertical="center"/>
    </xf>
    <xf numFmtId="3" fontId="2" fillId="20" borderId="15" xfId="0" applyNumberFormat="1" applyFont="1" applyFill="1" applyBorder="1" applyAlignment="1">
      <alignment horizontal="center" vertical="center" wrapText="1"/>
    </xf>
    <xf numFmtId="167" fontId="7" fillId="0" borderId="7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>
      <alignment horizontal="center" vertical="center" wrapText="1"/>
    </xf>
    <xf numFmtId="167" fontId="7" fillId="8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9" borderId="14" xfId="0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 wrapText="1"/>
    </xf>
    <xf numFmtId="171" fontId="7" fillId="0" borderId="5" xfId="0" applyNumberFormat="1" applyFont="1" applyFill="1" applyBorder="1" applyAlignment="1">
      <alignment horizontal="center" vertical="center" wrapText="1"/>
    </xf>
    <xf numFmtId="0" fontId="73" fillId="18" borderId="0" xfId="0" applyFont="1" applyFill="1"/>
    <xf numFmtId="0" fontId="9" fillId="0" borderId="0" xfId="0" applyFont="1" applyFill="1" applyBorder="1"/>
    <xf numFmtId="3" fontId="2" fillId="3" borderId="13" xfId="0" applyNumberFormat="1" applyFont="1" applyFill="1" applyBorder="1" applyAlignment="1">
      <alignment horizontal="center" vertical="center" wrapText="1"/>
    </xf>
    <xf numFmtId="3" fontId="2" fillId="20" borderId="13" xfId="0" applyNumberFormat="1" applyFont="1" applyFill="1" applyBorder="1" applyAlignment="1">
      <alignment horizontal="center" vertical="center" wrapText="1"/>
    </xf>
    <xf numFmtId="3" fontId="2" fillId="3" borderId="13" xfId="0" quotePrefix="1" applyNumberFormat="1" applyFont="1" applyFill="1" applyBorder="1" applyAlignment="1">
      <alignment horizontal="center" vertical="center" wrapText="1"/>
    </xf>
    <xf numFmtId="165" fontId="2" fillId="3" borderId="13" xfId="2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2" fillId="0" borderId="0" xfId="0" quotePrefix="1" applyNumberFormat="1" applyFont="1" applyFill="1" applyBorder="1" applyAlignment="1">
      <alignment horizontal="center" vertical="center" wrapText="1"/>
    </xf>
    <xf numFmtId="3" fontId="2" fillId="20" borderId="11" xfId="0" applyNumberFormat="1" applyFont="1" applyFill="1" applyBorder="1" applyAlignment="1">
      <alignment horizontal="center" vertical="center" wrapText="1"/>
    </xf>
    <xf numFmtId="167" fontId="7" fillId="20" borderId="5" xfId="0" applyNumberFormat="1" applyFont="1" applyFill="1" applyBorder="1" applyAlignment="1">
      <alignment horizontal="center" vertical="center" wrapText="1"/>
    </xf>
    <xf numFmtId="0" fontId="74" fillId="20" borderId="20" xfId="0" applyFont="1" applyFill="1" applyBorder="1" applyAlignment="1">
      <alignment horizontal="center" vertical="center"/>
    </xf>
    <xf numFmtId="0" fontId="9" fillId="0" borderId="20" xfId="0" applyFont="1" applyBorder="1"/>
    <xf numFmtId="0" fontId="74" fillId="20" borderId="15" xfId="0" applyFont="1" applyFill="1" applyBorder="1" applyAlignment="1">
      <alignment horizontal="center" vertical="center"/>
    </xf>
    <xf numFmtId="0" fontId="9" fillId="0" borderId="5" xfId="0" applyFont="1" applyFill="1" applyBorder="1"/>
    <xf numFmtId="2" fontId="9" fillId="0" borderId="0" xfId="0" applyNumberFormat="1" applyFont="1" applyFill="1" applyBorder="1"/>
    <xf numFmtId="0" fontId="9" fillId="0" borderId="16" xfId="0" applyFont="1" applyFill="1" applyBorder="1"/>
    <xf numFmtId="166" fontId="9" fillId="0" borderId="0" xfId="0" applyNumberFormat="1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9" xfId="0" applyBorder="1"/>
    <xf numFmtId="4" fontId="0" fillId="0" borderId="50" xfId="0" applyNumberFormat="1" applyBorder="1"/>
    <xf numFmtId="2" fontId="0" fillId="0" borderId="50" xfId="0" applyNumberFormat="1" applyBorder="1"/>
    <xf numFmtId="9" fontId="0" fillId="0" borderId="50" xfId="1" applyFont="1" applyBorder="1"/>
    <xf numFmtId="9" fontId="0" fillId="0" borderId="51" xfId="1" applyNumberFormat="1" applyFont="1" applyBorder="1"/>
    <xf numFmtId="0" fontId="0" fillId="0" borderId="52" xfId="0" applyBorder="1"/>
    <xf numFmtId="4" fontId="0" fillId="0" borderId="53" xfId="0" applyNumberFormat="1" applyBorder="1"/>
    <xf numFmtId="2" fontId="0" fillId="0" borderId="53" xfId="0" applyNumberFormat="1" applyBorder="1"/>
    <xf numFmtId="9" fontId="0" fillId="0" borderId="53" xfId="1" applyFont="1" applyBorder="1"/>
    <xf numFmtId="9" fontId="0" fillId="0" borderId="54" xfId="1" applyNumberFormat="1" applyFont="1" applyBorder="1"/>
    <xf numFmtId="0" fontId="0" fillId="0" borderId="55" xfId="0" applyBorder="1"/>
    <xf numFmtId="4" fontId="0" fillId="0" borderId="21" xfId="0" applyNumberFormat="1" applyBorder="1"/>
    <xf numFmtId="2" fontId="0" fillId="0" borderId="21" xfId="0" applyNumberFormat="1" applyBorder="1"/>
    <xf numFmtId="9" fontId="0" fillId="0" borderId="21" xfId="1" applyFont="1" applyBorder="1"/>
    <xf numFmtId="9" fontId="0" fillId="0" borderId="56" xfId="1" applyNumberFormat="1" applyFont="1" applyBorder="1"/>
    <xf numFmtId="168" fontId="8" fillId="0" borderId="11" xfId="4" applyNumberFormat="1" applyFont="1" applyFill="1" applyBorder="1" applyAlignment="1">
      <alignment horizontal="right" vertical="center"/>
    </xf>
    <xf numFmtId="168" fontId="2" fillId="2" borderId="20" xfId="4" applyNumberFormat="1" applyFont="1" applyFill="1" applyBorder="1" applyAlignment="1">
      <alignment horizontal="right" vertical="center" wrapText="1"/>
    </xf>
    <xf numFmtId="44" fontId="2" fillId="18" borderId="8" xfId="4" applyFont="1" applyFill="1" applyBorder="1" applyAlignment="1">
      <alignment horizontal="right" vertical="center" wrapText="1"/>
    </xf>
    <xf numFmtId="44" fontId="2" fillId="18" borderId="0" xfId="4" applyFont="1" applyFill="1" applyBorder="1" applyAlignment="1">
      <alignment horizontal="right" vertical="center" wrapText="1"/>
    </xf>
    <xf numFmtId="44" fontId="7" fillId="0" borderId="0" xfId="4" applyFont="1" applyFill="1" applyBorder="1" applyAlignment="1">
      <alignment horizontal="right" vertical="center" wrapText="1"/>
    </xf>
    <xf numFmtId="44" fontId="8" fillId="0" borderId="0" xfId="4" applyFont="1" applyFill="1" applyBorder="1" applyAlignment="1">
      <alignment horizontal="right" vertical="center"/>
    </xf>
    <xf numFmtId="44" fontId="8" fillId="0" borderId="11" xfId="4" applyFont="1" applyFill="1" applyBorder="1" applyAlignment="1">
      <alignment horizontal="right" vertical="center"/>
    </xf>
    <xf numFmtId="44" fontId="2" fillId="2" borderId="11" xfId="4" applyFont="1" applyFill="1" applyBorder="1" applyAlignment="1">
      <alignment horizontal="right" vertical="center" wrapText="1"/>
    </xf>
    <xf numFmtId="44" fontId="2" fillId="2" borderId="16" xfId="4" applyFont="1" applyFill="1" applyBorder="1" applyAlignment="1">
      <alignment horizontal="right" vertical="center" wrapText="1"/>
    </xf>
    <xf numFmtId="44" fontId="9" fillId="0" borderId="0" xfId="4" applyFont="1" applyAlignment="1">
      <alignment horizontal="right"/>
    </xf>
    <xf numFmtId="44" fontId="9" fillId="0" borderId="0" xfId="4" applyFont="1" applyFill="1" applyAlignment="1">
      <alignment horizontal="right"/>
    </xf>
    <xf numFmtId="168" fontId="2" fillId="2" borderId="2" xfId="4" applyNumberFormat="1" applyFont="1" applyFill="1" applyBorder="1" applyAlignment="1">
      <alignment horizontal="right" vertical="center" wrapText="1"/>
    </xf>
    <xf numFmtId="43" fontId="7" fillId="0" borderId="33" xfId="6" applyFont="1" applyFill="1" applyBorder="1" applyAlignment="1">
      <alignment horizontal="center" vertical="center" wrapText="1"/>
    </xf>
    <xf numFmtId="168" fontId="7" fillId="0" borderId="33" xfId="4" applyNumberFormat="1" applyFont="1" applyFill="1" applyBorder="1" applyAlignment="1">
      <alignment horizontal="right" vertical="center" wrapText="1"/>
    </xf>
    <xf numFmtId="168" fontId="7" fillId="7" borderId="0" xfId="4" applyNumberFormat="1" applyFont="1" applyFill="1" applyBorder="1" applyAlignment="1">
      <alignment horizontal="right" vertical="center" wrapText="1"/>
    </xf>
    <xf numFmtId="168" fontId="10" fillId="7" borderId="0" xfId="0" applyNumberFormat="1" applyFont="1" applyFill="1" applyBorder="1" applyAlignment="1">
      <alignment horizontal="right"/>
    </xf>
    <xf numFmtId="168" fontId="10" fillId="7" borderId="0" xfId="4" applyNumberFormat="1" applyFont="1" applyFill="1" applyBorder="1" applyAlignment="1">
      <alignment horizontal="right"/>
    </xf>
    <xf numFmtId="1" fontId="7" fillId="7" borderId="10" xfId="1" applyNumberFormat="1" applyFont="1" applyFill="1" applyBorder="1" applyAlignment="1">
      <alignment horizontal="center" vertical="center"/>
    </xf>
    <xf numFmtId="168" fontId="7" fillId="7" borderId="11" xfId="4" applyNumberFormat="1" applyFont="1" applyFill="1" applyBorder="1" applyAlignment="1">
      <alignment horizontal="right" vertical="center" wrapText="1"/>
    </xf>
    <xf numFmtId="168" fontId="7" fillId="7" borderId="0" xfId="4" applyNumberFormat="1" applyFont="1" applyFill="1" applyBorder="1" applyAlignment="1">
      <alignment vertical="center" wrapText="1"/>
    </xf>
    <xf numFmtId="168" fontId="7" fillId="7" borderId="0" xfId="0" applyNumberFormat="1" applyFont="1" applyFill="1" applyBorder="1" applyAlignment="1">
      <alignment horizontal="left" vertical="center" wrapText="1"/>
    </xf>
    <xf numFmtId="168" fontId="7" fillId="7" borderId="0" xfId="0" applyNumberFormat="1" applyFont="1" applyFill="1" applyBorder="1" applyAlignment="1">
      <alignment vertical="center" wrapText="1"/>
    </xf>
    <xf numFmtId="168" fontId="7" fillId="7" borderId="0" xfId="0" applyNumberFormat="1" applyFont="1" applyFill="1" applyBorder="1" applyAlignment="1">
      <alignment horizontal="right" vertical="center" wrapText="1"/>
    </xf>
    <xf numFmtId="0" fontId="10" fillId="7" borderId="0" xfId="0" applyFont="1" applyFill="1" applyAlignment="1">
      <alignment horizontal="left" wrapText="1"/>
    </xf>
    <xf numFmtId="168" fontId="7" fillId="71" borderId="0" xfId="4" applyNumberFormat="1" applyFont="1" applyFill="1" applyBorder="1" applyAlignment="1">
      <alignment horizontal="right" vertical="center" wrapText="1"/>
    </xf>
    <xf numFmtId="168" fontId="7" fillId="71" borderId="0" xfId="0" applyNumberFormat="1" applyFont="1" applyFill="1" applyBorder="1" applyAlignment="1">
      <alignment horizontal="center" vertical="center" wrapText="1"/>
    </xf>
    <xf numFmtId="168" fontId="7" fillId="71" borderId="0" xfId="0" applyNumberFormat="1" applyFont="1" applyFill="1" applyBorder="1" applyAlignment="1">
      <alignment horizontal="left" vertical="center" wrapText="1"/>
    </xf>
    <xf numFmtId="168" fontId="7" fillId="71" borderId="0" xfId="0" applyNumberFormat="1" applyFont="1" applyFill="1" applyBorder="1" applyAlignment="1">
      <alignment horizontal="right" vertical="center" wrapText="1"/>
    </xf>
    <xf numFmtId="168" fontId="7" fillId="71" borderId="0" xfId="4" applyNumberFormat="1" applyFont="1" applyFill="1" applyBorder="1" applyAlignment="1">
      <alignment vertical="center" wrapText="1"/>
    </xf>
    <xf numFmtId="4" fontId="0" fillId="0" borderId="0" xfId="0" applyNumberFormat="1"/>
    <xf numFmtId="0" fontId="9" fillId="0" borderId="11" xfId="0" applyFont="1" applyBorder="1" applyAlignment="1">
      <alignment horizontal="center"/>
    </xf>
    <xf numFmtId="44" fontId="7" fillId="18" borderId="0" xfId="4" applyFont="1" applyFill="1" applyBorder="1" applyAlignment="1">
      <alignment horizontal="left" vertical="center" wrapText="1"/>
    </xf>
    <xf numFmtId="0" fontId="72" fillId="19" borderId="11" xfId="0" applyFont="1" applyFill="1" applyBorder="1" applyAlignment="1">
      <alignment horizontal="center"/>
    </xf>
    <xf numFmtId="0" fontId="69" fillId="19" borderId="11" xfId="0" applyFont="1" applyFill="1" applyBorder="1" applyAlignment="1">
      <alignment horizontal="center"/>
    </xf>
    <xf numFmtId="44" fontId="2" fillId="17" borderId="8" xfId="4" applyFont="1" applyFill="1" applyBorder="1" applyAlignment="1">
      <alignment horizontal="center" vertical="center" wrapText="1"/>
    </xf>
    <xf numFmtId="168" fontId="8" fillId="0" borderId="25" xfId="4" applyNumberFormat="1" applyFont="1" applyFill="1" applyBorder="1" applyAlignment="1">
      <alignment horizontal="center" vertical="center" wrapText="1"/>
    </xf>
    <xf numFmtId="168" fontId="8" fillId="0" borderId="28" xfId="4" applyNumberFormat="1" applyFont="1" applyFill="1" applyBorder="1" applyAlignment="1">
      <alignment horizontal="center" vertical="center" wrapText="1"/>
    </xf>
    <xf numFmtId="44" fontId="8" fillId="0" borderId="13" xfId="4" applyFont="1" applyFill="1" applyBorder="1" applyAlignment="1">
      <alignment horizontal="center" vertical="center" wrapText="1"/>
    </xf>
    <xf numFmtId="44" fontId="8" fillId="0" borderId="4" xfId="4" applyFont="1" applyFill="1" applyBorder="1" applyAlignment="1">
      <alignment horizontal="center" vertical="center" wrapText="1"/>
    </xf>
    <xf numFmtId="44" fontId="8" fillId="0" borderId="14" xfId="4" applyFont="1" applyFill="1" applyBorder="1" applyAlignment="1">
      <alignment horizontal="center" vertical="center"/>
    </xf>
    <xf numFmtId="44" fontId="8" fillId="0" borderId="15" xfId="4" applyFont="1" applyFill="1" applyBorder="1" applyAlignment="1">
      <alignment horizontal="center" vertical="center"/>
    </xf>
    <xf numFmtId="44" fontId="8" fillId="0" borderId="16" xfId="4" applyFont="1" applyFill="1" applyBorder="1" applyAlignment="1">
      <alignment horizontal="center" vertical="center"/>
    </xf>
    <xf numFmtId="168" fontId="8" fillId="0" borderId="26" xfId="4" applyNumberFormat="1" applyFont="1" applyFill="1" applyBorder="1" applyAlignment="1">
      <alignment horizontal="center" vertical="center" wrapText="1"/>
    </xf>
    <xf numFmtId="168" fontId="8" fillId="0" borderId="29" xfId="4" applyNumberFormat="1" applyFont="1" applyFill="1" applyBorder="1" applyAlignment="1">
      <alignment horizontal="center" vertical="center" wrapText="1"/>
    </xf>
    <xf numFmtId="0" fontId="72" fillId="21" borderId="11" xfId="0" applyFont="1" applyFill="1" applyBorder="1" applyAlignment="1">
      <alignment horizontal="center"/>
    </xf>
    <xf numFmtId="168" fontId="8" fillId="0" borderId="31" xfId="4" applyNumberFormat="1" applyFont="1" applyFill="1" applyBorder="1" applyAlignment="1">
      <alignment horizontal="center" vertical="center"/>
    </xf>
    <xf numFmtId="168" fontId="8" fillId="0" borderId="32" xfId="4" applyNumberFormat="1" applyFont="1" applyFill="1" applyBorder="1" applyAlignment="1">
      <alignment horizontal="center" vertical="center"/>
    </xf>
    <xf numFmtId="168" fontId="8" fillId="0" borderId="27" xfId="4" applyNumberFormat="1" applyFont="1" applyFill="1" applyBorder="1" applyAlignment="1">
      <alignment horizontal="center" vertical="center"/>
    </xf>
    <xf numFmtId="168" fontId="8" fillId="0" borderId="30" xfId="4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 wrapText="1"/>
    </xf>
    <xf numFmtId="0" fontId="71" fillId="17" borderId="11" xfId="0" applyFont="1" applyFill="1" applyBorder="1" applyAlignment="1">
      <alignment horizontal="center"/>
    </xf>
    <xf numFmtId="0" fontId="13" fillId="9" borderId="0" xfId="0" applyFont="1" applyFill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13" borderId="8" xfId="0" applyFont="1" applyFill="1" applyBorder="1" applyAlignment="1">
      <alignment horizontal="left"/>
    </xf>
    <xf numFmtId="0" fontId="17" fillId="70" borderId="0" xfId="0" applyFont="1" applyFill="1" applyAlignment="1">
      <alignment horizontal="center" vertical="center"/>
    </xf>
    <xf numFmtId="0" fontId="0" fillId="70" borderId="0" xfId="0" applyFill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168" fontId="9" fillId="0" borderId="0" xfId="0" applyNumberFormat="1" applyFont="1" applyFill="1"/>
  </cellXfs>
  <cellStyles count="2431">
    <cellStyle name="$/MWh" xfId="8"/>
    <cellStyle name="*MB Hardwired" xfId="9"/>
    <cellStyle name="*MB Input Table Calc" xfId="10"/>
    <cellStyle name="*MB Normal" xfId="11"/>
    <cellStyle name="*MB Placeholder" xfId="12"/>
    <cellStyle name="?? [0]_VERA" xfId="13"/>
    <cellStyle name="?????_VERA" xfId="14"/>
    <cellStyle name="??_VERA" xfId="15"/>
    <cellStyle name="_x0010_“+ˆÉ•?pý¤" xfId="16"/>
    <cellStyle name="20% - Accent1 2" xfId="17"/>
    <cellStyle name="20% - Accent1 2 2" xfId="18"/>
    <cellStyle name="20% - Accent1 2 3" xfId="19"/>
    <cellStyle name="20% - Accent1 3 2" xfId="20"/>
    <cellStyle name="20% - Accent1 3 3" xfId="21"/>
    <cellStyle name="20% - Accent2 2" xfId="22"/>
    <cellStyle name="20% - Accent2 2 2" xfId="23"/>
    <cellStyle name="20% - Accent2 2 3" xfId="24"/>
    <cellStyle name="20% - Accent2 3 2" xfId="25"/>
    <cellStyle name="20% - Accent2 3 3" xfId="26"/>
    <cellStyle name="20% - Accent3 2" xfId="27"/>
    <cellStyle name="20% - Accent3 2 2" xfId="28"/>
    <cellStyle name="20% - Accent3 2 3" xfId="29"/>
    <cellStyle name="20% - Accent3 3 2" xfId="30"/>
    <cellStyle name="20% - Accent3 3 3" xfId="31"/>
    <cellStyle name="20% - Accent4 2" xfId="32"/>
    <cellStyle name="20% - Accent4 2 2" xfId="33"/>
    <cellStyle name="20% - Accent4 2 3" xfId="34"/>
    <cellStyle name="20% - Accent4 3 2" xfId="35"/>
    <cellStyle name="20% - Accent4 3 3" xfId="36"/>
    <cellStyle name="20% - Accent5 2" xfId="37"/>
    <cellStyle name="20% - Accent5 2 2" xfId="38"/>
    <cellStyle name="20% - Accent5 2 3" xfId="39"/>
    <cellStyle name="20% - Accent5 3 2" xfId="40"/>
    <cellStyle name="20% - Accent5 3 3" xfId="41"/>
    <cellStyle name="20% - Accent6 2" xfId="42"/>
    <cellStyle name="20% - Accent6 2 2" xfId="43"/>
    <cellStyle name="20% - Accent6 2 3" xfId="44"/>
    <cellStyle name="20% - Accent6 3 2" xfId="45"/>
    <cellStyle name="20% - Accent6 3 3" xfId="46"/>
    <cellStyle name="40% - Accent1 2" xfId="47"/>
    <cellStyle name="40% - Accent1 2 2" xfId="48"/>
    <cellStyle name="40% - Accent1 2 3" xfId="49"/>
    <cellStyle name="40% - Accent1 3 2" xfId="50"/>
    <cellStyle name="40% - Accent1 3 3" xfId="51"/>
    <cellStyle name="40% - Accent2 2" xfId="52"/>
    <cellStyle name="40% - Accent2 2 2" xfId="53"/>
    <cellStyle name="40% - Accent2 2 3" xfId="54"/>
    <cellStyle name="40% - Accent2 3 2" xfId="55"/>
    <cellStyle name="40% - Accent2 3 3" xfId="56"/>
    <cellStyle name="40% - Accent3 2" xfId="57"/>
    <cellStyle name="40% - Accent3 2 2" xfId="58"/>
    <cellStyle name="40% - Accent3 2 3" xfId="59"/>
    <cellStyle name="40% - Accent3 3 2" xfId="60"/>
    <cellStyle name="40% - Accent3 3 3" xfId="61"/>
    <cellStyle name="40% - Accent4 2" xfId="62"/>
    <cellStyle name="40% - Accent4 2 2" xfId="63"/>
    <cellStyle name="40% - Accent4 2 3" xfId="64"/>
    <cellStyle name="40% - Accent4 3 2" xfId="65"/>
    <cellStyle name="40% - Accent4 3 3" xfId="66"/>
    <cellStyle name="40% - Accent5 2" xfId="67"/>
    <cellStyle name="40% - Accent5 2 2" xfId="68"/>
    <cellStyle name="40% - Accent5 2 3" xfId="69"/>
    <cellStyle name="40% - Accent5 3 2" xfId="70"/>
    <cellStyle name="40% - Accent5 3 3" xfId="71"/>
    <cellStyle name="40% - Accent6 2" xfId="72"/>
    <cellStyle name="40% - Accent6 2 2" xfId="73"/>
    <cellStyle name="40% - Accent6 2 3" xfId="74"/>
    <cellStyle name="40% - Accent6 3 2" xfId="75"/>
    <cellStyle name="40% - Accent6 3 3" xfId="76"/>
    <cellStyle name="60% - Accent1 2" xfId="77"/>
    <cellStyle name="60% - Accent1 2 2" xfId="78"/>
    <cellStyle name="60% - Accent1 2 3" xfId="79"/>
    <cellStyle name="60% - Accent1 3 2" xfId="80"/>
    <cellStyle name="60% - Accent1 3 3" xfId="81"/>
    <cellStyle name="60% - Accent2 2" xfId="82"/>
    <cellStyle name="60% - Accent2 2 2" xfId="83"/>
    <cellStyle name="60% - Accent2 2 3" xfId="84"/>
    <cellStyle name="60% - Accent2 3 2" xfId="85"/>
    <cellStyle name="60% - Accent2 3 3" xfId="86"/>
    <cellStyle name="60% - Accent3 2" xfId="87"/>
    <cellStyle name="60% - Accent3 2 2" xfId="88"/>
    <cellStyle name="60% - Accent3 2 3" xfId="89"/>
    <cellStyle name="60% - Accent3 3 2" xfId="90"/>
    <cellStyle name="60% - Accent3 3 3" xfId="91"/>
    <cellStyle name="60% - Accent4 2" xfId="92"/>
    <cellStyle name="60% - Accent4 2 2" xfId="93"/>
    <cellStyle name="60% - Accent4 2 3" xfId="94"/>
    <cellStyle name="60% - Accent4 3 2" xfId="95"/>
    <cellStyle name="60% - Accent4 3 3" xfId="96"/>
    <cellStyle name="60% - Accent5 2" xfId="97"/>
    <cellStyle name="60% - Accent5 2 2" xfId="98"/>
    <cellStyle name="60% - Accent5 2 3" xfId="99"/>
    <cellStyle name="60% - Accent5 3 2" xfId="100"/>
    <cellStyle name="60% - Accent5 3 3" xfId="101"/>
    <cellStyle name="60% - Accent6 2" xfId="102"/>
    <cellStyle name="60% - Accent6 2 2" xfId="103"/>
    <cellStyle name="60% - Accent6 2 3" xfId="104"/>
    <cellStyle name="60% - Accent6 3 2" xfId="105"/>
    <cellStyle name="60% - Accent6 3 3" xfId="106"/>
    <cellStyle name="Accent1 - 20%" xfId="107"/>
    <cellStyle name="Accent1 - 20% 2" xfId="108"/>
    <cellStyle name="Accent1 - 20% 3" xfId="109"/>
    <cellStyle name="Accent1 - 40%" xfId="110"/>
    <cellStyle name="Accent1 - 40% 2" xfId="111"/>
    <cellStyle name="Accent1 - 40% 3" xfId="112"/>
    <cellStyle name="Accent1 - 60%" xfId="113"/>
    <cellStyle name="Accent1 2" xfId="114"/>
    <cellStyle name="Accent1 2 2" xfId="115"/>
    <cellStyle name="Accent1 2 3" xfId="116"/>
    <cellStyle name="Accent1 3" xfId="117"/>
    <cellStyle name="Accent1 3 2" xfId="118"/>
    <cellStyle name="Accent1 3 3" xfId="119"/>
    <cellStyle name="Accent1 4" xfId="120"/>
    <cellStyle name="Accent2 - 20%" xfId="121"/>
    <cellStyle name="Accent2 - 20% 2" xfId="122"/>
    <cellStyle name="Accent2 - 20% 3" xfId="123"/>
    <cellStyle name="Accent2 - 40%" xfId="124"/>
    <cellStyle name="Accent2 - 40% 2" xfId="125"/>
    <cellStyle name="Accent2 - 40% 3" xfId="126"/>
    <cellStyle name="Accent2 - 60%" xfId="127"/>
    <cellStyle name="Accent2 2" xfId="128"/>
    <cellStyle name="Accent2 2 2" xfId="129"/>
    <cellStyle name="Accent2 2 3" xfId="130"/>
    <cellStyle name="Accent2 3" xfId="131"/>
    <cellStyle name="Accent2 3 2" xfId="132"/>
    <cellStyle name="Accent2 3 3" xfId="133"/>
    <cellStyle name="Accent2 4" xfId="134"/>
    <cellStyle name="Accent3 - 20%" xfId="135"/>
    <cellStyle name="Accent3 - 20% 2" xfId="136"/>
    <cellStyle name="Accent3 - 20% 3" xfId="137"/>
    <cellStyle name="Accent3 - 40%" xfId="138"/>
    <cellStyle name="Accent3 - 40% 2" xfId="139"/>
    <cellStyle name="Accent3 - 40% 3" xfId="140"/>
    <cellStyle name="Accent3 - 60%" xfId="141"/>
    <cellStyle name="Accent3 2" xfId="142"/>
    <cellStyle name="Accent3 2 2" xfId="143"/>
    <cellStyle name="Accent3 2 3" xfId="144"/>
    <cellStyle name="Accent3 3" xfId="145"/>
    <cellStyle name="Accent3 3 2" xfId="146"/>
    <cellStyle name="Accent3 3 3" xfId="147"/>
    <cellStyle name="Accent3 4" xfId="148"/>
    <cellStyle name="Accent4 - 20%" xfId="149"/>
    <cellStyle name="Accent4 - 20% 2" xfId="150"/>
    <cellStyle name="Accent4 - 20% 3" xfId="151"/>
    <cellStyle name="Accent4 - 40%" xfId="152"/>
    <cellStyle name="Accent4 - 40% 2" xfId="153"/>
    <cellStyle name="Accent4 - 40% 3" xfId="154"/>
    <cellStyle name="Accent4 - 60%" xfId="155"/>
    <cellStyle name="Accent4 2" xfId="156"/>
    <cellStyle name="Accent4 2 2" xfId="157"/>
    <cellStyle name="Accent4 2 3" xfId="158"/>
    <cellStyle name="Accent4 3" xfId="159"/>
    <cellStyle name="Accent4 3 2" xfId="160"/>
    <cellStyle name="Accent4 3 3" xfId="161"/>
    <cellStyle name="Accent4 4" xfId="162"/>
    <cellStyle name="Accent5 - 20%" xfId="163"/>
    <cellStyle name="Accent5 - 20% 2" xfId="164"/>
    <cellStyle name="Accent5 - 20% 3" xfId="165"/>
    <cellStyle name="Accent5 - 40%" xfId="166"/>
    <cellStyle name="Accent5 - 40% 2" xfId="167"/>
    <cellStyle name="Accent5 - 40% 3" xfId="168"/>
    <cellStyle name="Accent5 - 60%" xfId="169"/>
    <cellStyle name="Accent5 2" xfId="170"/>
    <cellStyle name="Accent5 2 2" xfId="171"/>
    <cellStyle name="Accent5 2 3" xfId="172"/>
    <cellStyle name="Accent5 3" xfId="173"/>
    <cellStyle name="Accent5 3 2" xfId="174"/>
    <cellStyle name="Accent5 3 3" xfId="175"/>
    <cellStyle name="Accent5 4" xfId="176"/>
    <cellStyle name="Accent6 - 20%" xfId="177"/>
    <cellStyle name="Accent6 - 20% 2" xfId="178"/>
    <cellStyle name="Accent6 - 20% 3" xfId="179"/>
    <cellStyle name="Accent6 - 40%" xfId="180"/>
    <cellStyle name="Accent6 - 40% 2" xfId="181"/>
    <cellStyle name="Accent6 - 40% 3" xfId="182"/>
    <cellStyle name="Accent6 - 60%" xfId="183"/>
    <cellStyle name="Accent6 2" xfId="184"/>
    <cellStyle name="Accent6 2 2" xfId="185"/>
    <cellStyle name="Accent6 2 3" xfId="186"/>
    <cellStyle name="Accent6 3" xfId="187"/>
    <cellStyle name="Accent6 3 2" xfId="188"/>
    <cellStyle name="Accent6 3 3" xfId="189"/>
    <cellStyle name="Accent6 4" xfId="190"/>
    <cellStyle name="Actual" xfId="191"/>
    <cellStyle name="Actual Date" xfId="192"/>
    <cellStyle name="Bad 2" xfId="193"/>
    <cellStyle name="Bad 2 2" xfId="194"/>
    <cellStyle name="Bad 2 3" xfId="195"/>
    <cellStyle name="Bad 3 2" xfId="196"/>
    <cellStyle name="Bad 3 3" xfId="197"/>
    <cellStyle name="basic" xfId="198"/>
    <cellStyle name="Calc Currency (0)" xfId="199"/>
    <cellStyle name="Calculation 2" xfId="200"/>
    <cellStyle name="Calculation 2 2" xfId="201"/>
    <cellStyle name="Calculation 2 3" xfId="202"/>
    <cellStyle name="Calculation 3 2" xfId="203"/>
    <cellStyle name="Calculation 3 3" xfId="204"/>
    <cellStyle name="Check Cell 2" xfId="205"/>
    <cellStyle name="Check Cell 2 2" xfId="206"/>
    <cellStyle name="Check Cell 2 3" xfId="207"/>
    <cellStyle name="Check Cell 3 2" xfId="208"/>
    <cellStyle name="Check Cell 3 3" xfId="209"/>
    <cellStyle name="Comma" xfId="6" builtinId="3"/>
    <cellStyle name="Comma  - Style1" xfId="210"/>
    <cellStyle name="Comma  - Style2" xfId="211"/>
    <cellStyle name="Comma  - Style3" xfId="212"/>
    <cellStyle name="Comma  - Style4" xfId="213"/>
    <cellStyle name="Comma  - Style5" xfId="214"/>
    <cellStyle name="Comma  - Style6" xfId="215"/>
    <cellStyle name="Comma  - Style7" xfId="216"/>
    <cellStyle name="Comma  - Style8" xfId="217"/>
    <cellStyle name="Comma 10" xfId="218"/>
    <cellStyle name="Comma 11" xfId="219"/>
    <cellStyle name="Comma 12" xfId="220"/>
    <cellStyle name="Comma 13" xfId="221"/>
    <cellStyle name="Comma 16" xfId="222"/>
    <cellStyle name="Comma 18" xfId="223"/>
    <cellStyle name="Comma 19" xfId="224"/>
    <cellStyle name="Comma 2" xfId="3"/>
    <cellStyle name="Comma 2 2" xfId="225"/>
    <cellStyle name="Comma 2 3" xfId="226"/>
    <cellStyle name="Comma 2 4" xfId="227"/>
    <cellStyle name="Comma 2 5" xfId="228"/>
    <cellStyle name="Comma 2 6" xfId="229"/>
    <cellStyle name="Comma 22" xfId="230"/>
    <cellStyle name="Comma 23" xfId="231"/>
    <cellStyle name="Comma 24" xfId="232"/>
    <cellStyle name="Comma 25" xfId="233"/>
    <cellStyle name="Comma 26" xfId="234"/>
    <cellStyle name="Comma 27" xfId="235"/>
    <cellStyle name="Comma 28" xfId="236"/>
    <cellStyle name="Comma 29" xfId="237"/>
    <cellStyle name="Comma 3" xfId="238"/>
    <cellStyle name="Comma 3 2" xfId="239"/>
    <cellStyle name="Comma 3 3" xfId="240"/>
    <cellStyle name="Comma 3 4" xfId="241"/>
    <cellStyle name="Comma 3 5" xfId="242"/>
    <cellStyle name="Comma 3 6" xfId="243"/>
    <cellStyle name="Comma 34" xfId="244"/>
    <cellStyle name="Comma 4" xfId="245"/>
    <cellStyle name="Comma 4 2" xfId="2"/>
    <cellStyle name="Comma 4 3" xfId="246"/>
    <cellStyle name="Comma 4 4" xfId="247"/>
    <cellStyle name="Comma 4 5" xfId="248"/>
    <cellStyle name="Comma 4 6" xfId="249"/>
    <cellStyle name="Comma 4 7" xfId="250"/>
    <cellStyle name="Comma 5" xfId="251"/>
    <cellStyle name="Comma 5 2" xfId="252"/>
    <cellStyle name="Comma 6" xfId="253"/>
    <cellStyle name="Comma 7" xfId="254"/>
    <cellStyle name="Comma 8" xfId="255"/>
    <cellStyle name="Comma 9" xfId="256"/>
    <cellStyle name="Comma0" xfId="257"/>
    <cellStyle name="Copied" xfId="258"/>
    <cellStyle name="Currency" xfId="4" builtinId="4"/>
    <cellStyle name="Currency [$0]" xfId="259"/>
    <cellStyle name="Currency [£0]" xfId="260"/>
    <cellStyle name="Currency 10" xfId="261"/>
    <cellStyle name="Currency 11" xfId="262"/>
    <cellStyle name="Currency 18" xfId="263"/>
    <cellStyle name="Currency 19" xfId="264"/>
    <cellStyle name="Currency 2" xfId="265"/>
    <cellStyle name="Currency 2 10" xfId="266"/>
    <cellStyle name="Currency 2 2" xfId="267"/>
    <cellStyle name="Currency 2 3" xfId="268"/>
    <cellStyle name="Currency 2 4" xfId="269"/>
    <cellStyle name="Currency 2 5" xfId="270"/>
    <cellStyle name="Currency 2 6" xfId="271"/>
    <cellStyle name="Currency 2 7" xfId="272"/>
    <cellStyle name="Currency 2 8" xfId="273"/>
    <cellStyle name="Currency 2 9" xfId="274"/>
    <cellStyle name="Currency 3" xfId="275"/>
    <cellStyle name="Currency 3 2" xfId="276"/>
    <cellStyle name="Currency 4" xfId="277"/>
    <cellStyle name="Currency 4 2" xfId="278"/>
    <cellStyle name="Currency 4 3" xfId="279"/>
    <cellStyle name="Currency 4 4" xfId="280"/>
    <cellStyle name="Currency 4 5" xfId="281"/>
    <cellStyle name="Currency 5" xfId="282"/>
    <cellStyle name="Currency 6" xfId="283"/>
    <cellStyle name="Currency 7" xfId="284"/>
    <cellStyle name="Currency 8" xfId="285"/>
    <cellStyle name="Currency 9" xfId="286"/>
    <cellStyle name="Currency0" xfId="287"/>
    <cellStyle name="Date" xfId="288"/>
    <cellStyle name="Dollars &amp; Cents" xfId="289"/>
    <cellStyle name="Emphasis 1" xfId="290"/>
    <cellStyle name="Emphasis 2" xfId="291"/>
    <cellStyle name="Emphasis 3" xfId="292"/>
    <cellStyle name="Entered" xfId="293"/>
    <cellStyle name="Euro" xfId="294"/>
    <cellStyle name="Excel Built-in Normal" xfId="295"/>
    <cellStyle name="Explanatory Text 2" xfId="296"/>
    <cellStyle name="Explanatory Text 2 2" xfId="297"/>
    <cellStyle name="Explanatory Text 2 3" xfId="298"/>
    <cellStyle name="Explanatory Text 3 2" xfId="299"/>
    <cellStyle name="Explanatory Text 3 3" xfId="300"/>
    <cellStyle name="Fixed" xfId="301"/>
    <cellStyle name="Forecast" xfId="302"/>
    <cellStyle name="fred" xfId="303"/>
    <cellStyle name="Fred%" xfId="304"/>
    <cellStyle name="Good 2" xfId="305"/>
    <cellStyle name="Good 2 2" xfId="306"/>
    <cellStyle name="Good 2 3" xfId="307"/>
    <cellStyle name="Good 3 2" xfId="308"/>
    <cellStyle name="Good 3 3" xfId="309"/>
    <cellStyle name="Grey" xfId="310"/>
    <cellStyle name="Header" xfId="311"/>
    <cellStyle name="HEADER 2" xfId="312"/>
    <cellStyle name="Header1" xfId="313"/>
    <cellStyle name="Header2" xfId="314"/>
    <cellStyle name="Heading 1 2" xfId="315"/>
    <cellStyle name="Heading 1 2 2" xfId="316"/>
    <cellStyle name="Heading 1 2 3" xfId="317"/>
    <cellStyle name="Heading 1 3 2" xfId="318"/>
    <cellStyle name="Heading 1 3 3" xfId="319"/>
    <cellStyle name="Heading 2 2" xfId="320"/>
    <cellStyle name="Heading 2 2 2" xfId="321"/>
    <cellStyle name="Heading 2 2 3" xfId="322"/>
    <cellStyle name="Heading 2 3 2" xfId="323"/>
    <cellStyle name="Heading 2 3 3" xfId="324"/>
    <cellStyle name="Heading 3 2" xfId="325"/>
    <cellStyle name="Heading 3 2 2" xfId="326"/>
    <cellStyle name="Heading 3 2 3" xfId="327"/>
    <cellStyle name="Heading 3 3 2" xfId="328"/>
    <cellStyle name="Heading 3 3 3" xfId="329"/>
    <cellStyle name="Heading 4 2" xfId="330"/>
    <cellStyle name="Heading 4 2 2" xfId="331"/>
    <cellStyle name="Heading 4 2 3" xfId="332"/>
    <cellStyle name="Heading 4 3 2" xfId="333"/>
    <cellStyle name="Heading 4 3 3" xfId="334"/>
    <cellStyle name="Heading1" xfId="335"/>
    <cellStyle name="Heading2" xfId="336"/>
    <cellStyle name="HIGHLIGHT" xfId="337"/>
    <cellStyle name="Hyperlink" xfId="5" builtinId="8"/>
    <cellStyle name="Input [yellow]" xfId="338"/>
    <cellStyle name="Input 2" xfId="339"/>
    <cellStyle name="Input 2 2" xfId="340"/>
    <cellStyle name="Input 2 3" xfId="341"/>
    <cellStyle name="Input 3" xfId="342"/>
    <cellStyle name="Input 3 2" xfId="343"/>
    <cellStyle name="Input 3 3" xfId="344"/>
    <cellStyle name="Linked Cell 2" xfId="345"/>
    <cellStyle name="Linked Cell 2 2" xfId="346"/>
    <cellStyle name="Linked Cell 2 3" xfId="347"/>
    <cellStyle name="Linked Cell 3 2" xfId="348"/>
    <cellStyle name="Linked Cell 3 3" xfId="349"/>
    <cellStyle name="Neutral 2" xfId="350"/>
    <cellStyle name="Neutral 2 2" xfId="351"/>
    <cellStyle name="Neutral 2 3" xfId="352"/>
    <cellStyle name="Neutral 3 2" xfId="353"/>
    <cellStyle name="Neutral 3 3" xfId="354"/>
    <cellStyle name="no dec" xfId="355"/>
    <cellStyle name="Normal" xfId="0" builtinId="0"/>
    <cellStyle name="Normal - Style1" xfId="356"/>
    <cellStyle name="Normal - Style2" xfId="357"/>
    <cellStyle name="Normal - Style3" xfId="358"/>
    <cellStyle name="Normal - Style4" xfId="359"/>
    <cellStyle name="Normal - Style5" xfId="360"/>
    <cellStyle name="Normal - Style6" xfId="361"/>
    <cellStyle name="Normal - Style7" xfId="362"/>
    <cellStyle name="Normal - Style8" xfId="363"/>
    <cellStyle name="Normal 10" xfId="364"/>
    <cellStyle name="Normal 10 2" xfId="365"/>
    <cellStyle name="Normal 10 3" xfId="366"/>
    <cellStyle name="Normal 11" xfId="367"/>
    <cellStyle name="Normal 12" xfId="368"/>
    <cellStyle name="Normal 13" xfId="369"/>
    <cellStyle name="Normal 13 2" xfId="370"/>
    <cellStyle name="Normal 13 3" xfId="371"/>
    <cellStyle name="Normal 14" xfId="372"/>
    <cellStyle name="Normal 14 2" xfId="373"/>
    <cellStyle name="Normal 14 3" xfId="374"/>
    <cellStyle name="Normal 15" xfId="375"/>
    <cellStyle name="Normal 15 2" xfId="376"/>
    <cellStyle name="Normal 15 3" xfId="377"/>
    <cellStyle name="Normal 16" xfId="378"/>
    <cellStyle name="Normal 16 2" xfId="379"/>
    <cellStyle name="Normal 17" xfId="380"/>
    <cellStyle name="Normal 17 2" xfId="381"/>
    <cellStyle name="Normal 18" xfId="382"/>
    <cellStyle name="Normal 19" xfId="383"/>
    <cellStyle name="Normal 2" xfId="384"/>
    <cellStyle name="Normal 2 10" xfId="385"/>
    <cellStyle name="Normal 2 10 10" xfId="386"/>
    <cellStyle name="Normal 2 10 11" xfId="387"/>
    <cellStyle name="Normal 2 10 12" xfId="388"/>
    <cellStyle name="Normal 2 10 13" xfId="389"/>
    <cellStyle name="Normal 2 10 14" xfId="390"/>
    <cellStyle name="Normal 2 10 15" xfId="391"/>
    <cellStyle name="Normal 2 10 16" xfId="392"/>
    <cellStyle name="Normal 2 10 17" xfId="393"/>
    <cellStyle name="Normal 2 10 18" xfId="394"/>
    <cellStyle name="Normal 2 10 19" xfId="395"/>
    <cellStyle name="Normal 2 10 2" xfId="396"/>
    <cellStyle name="Normal 2 10 20" xfId="397"/>
    <cellStyle name="Normal 2 10 21" xfId="398"/>
    <cellStyle name="Normal 2 10 22" xfId="399"/>
    <cellStyle name="Normal 2 10 23" xfId="400"/>
    <cellStyle name="Normal 2 10 3" xfId="401"/>
    <cellStyle name="Normal 2 10 4" xfId="402"/>
    <cellStyle name="Normal 2 10 5" xfId="403"/>
    <cellStyle name="Normal 2 10 6" xfId="404"/>
    <cellStyle name="Normal 2 10 7" xfId="405"/>
    <cellStyle name="Normal 2 10 8" xfId="406"/>
    <cellStyle name="Normal 2 10 9" xfId="407"/>
    <cellStyle name="Normal 2 11" xfId="408"/>
    <cellStyle name="Normal 2 11 10" xfId="409"/>
    <cellStyle name="Normal 2 11 11" xfId="410"/>
    <cellStyle name="Normal 2 11 12" xfId="411"/>
    <cellStyle name="Normal 2 11 13" xfId="412"/>
    <cellStyle name="Normal 2 11 14" xfId="413"/>
    <cellStyle name="Normal 2 11 15" xfId="414"/>
    <cellStyle name="Normal 2 11 16" xfId="415"/>
    <cellStyle name="Normal 2 11 17" xfId="416"/>
    <cellStyle name="Normal 2 11 18" xfId="417"/>
    <cellStyle name="Normal 2 11 19" xfId="418"/>
    <cellStyle name="Normal 2 11 2" xfId="419"/>
    <cellStyle name="Normal 2 11 20" xfId="420"/>
    <cellStyle name="Normal 2 11 21" xfId="421"/>
    <cellStyle name="Normal 2 11 22" xfId="422"/>
    <cellStyle name="Normal 2 11 23" xfId="423"/>
    <cellStyle name="Normal 2 11 3" xfId="424"/>
    <cellStyle name="Normal 2 11 4" xfId="425"/>
    <cellStyle name="Normal 2 11 5" xfId="426"/>
    <cellStyle name="Normal 2 11 6" xfId="427"/>
    <cellStyle name="Normal 2 11 7" xfId="428"/>
    <cellStyle name="Normal 2 11 8" xfId="429"/>
    <cellStyle name="Normal 2 11 9" xfId="430"/>
    <cellStyle name="Normal 2 12" xfId="431"/>
    <cellStyle name="Normal 2 12 10" xfId="432"/>
    <cellStyle name="Normal 2 12 11" xfId="433"/>
    <cellStyle name="Normal 2 12 12" xfId="434"/>
    <cellStyle name="Normal 2 12 13" xfId="435"/>
    <cellStyle name="Normal 2 12 14" xfId="436"/>
    <cellStyle name="Normal 2 12 15" xfId="437"/>
    <cellStyle name="Normal 2 12 16" xfId="438"/>
    <cellStyle name="Normal 2 12 17" xfId="439"/>
    <cellStyle name="Normal 2 12 18" xfId="440"/>
    <cellStyle name="Normal 2 12 19" xfId="441"/>
    <cellStyle name="Normal 2 12 2" xfId="442"/>
    <cellStyle name="Normal 2 12 20" xfId="443"/>
    <cellStyle name="Normal 2 12 21" xfId="444"/>
    <cellStyle name="Normal 2 12 22" xfId="445"/>
    <cellStyle name="Normal 2 12 23" xfId="446"/>
    <cellStyle name="Normal 2 12 3" xfId="447"/>
    <cellStyle name="Normal 2 12 4" xfId="448"/>
    <cellStyle name="Normal 2 12 5" xfId="449"/>
    <cellStyle name="Normal 2 12 6" xfId="450"/>
    <cellStyle name="Normal 2 12 7" xfId="451"/>
    <cellStyle name="Normal 2 12 8" xfId="452"/>
    <cellStyle name="Normal 2 12 9" xfId="453"/>
    <cellStyle name="Normal 2 13" xfId="454"/>
    <cellStyle name="Normal 2 13 10" xfId="455"/>
    <cellStyle name="Normal 2 13 11" xfId="456"/>
    <cellStyle name="Normal 2 13 12" xfId="457"/>
    <cellStyle name="Normal 2 13 13" xfId="458"/>
    <cellStyle name="Normal 2 13 14" xfId="459"/>
    <cellStyle name="Normal 2 13 15" xfId="460"/>
    <cellStyle name="Normal 2 13 16" xfId="461"/>
    <cellStyle name="Normal 2 13 17" xfId="462"/>
    <cellStyle name="Normal 2 13 18" xfId="463"/>
    <cellStyle name="Normal 2 13 19" xfId="464"/>
    <cellStyle name="Normal 2 13 2" xfId="465"/>
    <cellStyle name="Normal 2 13 20" xfId="466"/>
    <cellStyle name="Normal 2 13 21" xfId="467"/>
    <cellStyle name="Normal 2 13 22" xfId="468"/>
    <cellStyle name="Normal 2 13 23" xfId="469"/>
    <cellStyle name="Normal 2 13 3" xfId="470"/>
    <cellStyle name="Normal 2 13 4" xfId="471"/>
    <cellStyle name="Normal 2 13 5" xfId="472"/>
    <cellStyle name="Normal 2 13 6" xfId="473"/>
    <cellStyle name="Normal 2 13 7" xfId="474"/>
    <cellStyle name="Normal 2 13 8" xfId="475"/>
    <cellStyle name="Normal 2 13 9" xfId="476"/>
    <cellStyle name="Normal 2 14" xfId="477"/>
    <cellStyle name="Normal 2 14 10" xfId="478"/>
    <cellStyle name="Normal 2 14 11" xfId="479"/>
    <cellStyle name="Normal 2 14 12" xfId="480"/>
    <cellStyle name="Normal 2 14 13" xfId="481"/>
    <cellStyle name="Normal 2 14 14" xfId="482"/>
    <cellStyle name="Normal 2 14 15" xfId="483"/>
    <cellStyle name="Normal 2 14 16" xfId="484"/>
    <cellStyle name="Normal 2 14 17" xfId="485"/>
    <cellStyle name="Normal 2 14 18" xfId="486"/>
    <cellStyle name="Normal 2 14 19" xfId="487"/>
    <cellStyle name="Normal 2 14 2" xfId="488"/>
    <cellStyle name="Normal 2 14 20" xfId="489"/>
    <cellStyle name="Normal 2 14 21" xfId="490"/>
    <cellStyle name="Normal 2 14 22" xfId="491"/>
    <cellStyle name="Normal 2 14 23" xfId="492"/>
    <cellStyle name="Normal 2 14 3" xfId="493"/>
    <cellStyle name="Normal 2 14 4" xfId="494"/>
    <cellStyle name="Normal 2 14 5" xfId="495"/>
    <cellStyle name="Normal 2 14 6" xfId="496"/>
    <cellStyle name="Normal 2 14 7" xfId="497"/>
    <cellStyle name="Normal 2 14 8" xfId="498"/>
    <cellStyle name="Normal 2 14 9" xfId="499"/>
    <cellStyle name="Normal 2 15" xfId="500"/>
    <cellStyle name="Normal 2 15 10" xfId="501"/>
    <cellStyle name="Normal 2 15 11" xfId="502"/>
    <cellStyle name="Normal 2 15 12" xfId="503"/>
    <cellStyle name="Normal 2 15 13" xfId="504"/>
    <cellStyle name="Normal 2 15 14" xfId="505"/>
    <cellStyle name="Normal 2 15 15" xfId="506"/>
    <cellStyle name="Normal 2 15 16" xfId="507"/>
    <cellStyle name="Normal 2 15 17" xfId="508"/>
    <cellStyle name="Normal 2 15 18" xfId="509"/>
    <cellStyle name="Normal 2 15 19" xfId="510"/>
    <cellStyle name="Normal 2 15 2" xfId="511"/>
    <cellStyle name="Normal 2 15 20" xfId="512"/>
    <cellStyle name="Normal 2 15 21" xfId="513"/>
    <cellStyle name="Normal 2 15 22" xfId="514"/>
    <cellStyle name="Normal 2 15 23" xfId="515"/>
    <cellStyle name="Normal 2 15 3" xfId="516"/>
    <cellStyle name="Normal 2 15 4" xfId="517"/>
    <cellStyle name="Normal 2 15 5" xfId="518"/>
    <cellStyle name="Normal 2 15 6" xfId="519"/>
    <cellStyle name="Normal 2 15 7" xfId="520"/>
    <cellStyle name="Normal 2 15 8" xfId="521"/>
    <cellStyle name="Normal 2 15 9" xfId="522"/>
    <cellStyle name="Normal 2 16" xfId="523"/>
    <cellStyle name="Normal 2 16 10" xfId="524"/>
    <cellStyle name="Normal 2 16 11" xfId="525"/>
    <cellStyle name="Normal 2 16 12" xfId="526"/>
    <cellStyle name="Normal 2 16 13" xfId="527"/>
    <cellStyle name="Normal 2 16 14" xfId="528"/>
    <cellStyle name="Normal 2 16 15" xfId="529"/>
    <cellStyle name="Normal 2 16 16" xfId="530"/>
    <cellStyle name="Normal 2 16 17" xfId="531"/>
    <cellStyle name="Normal 2 16 18" xfId="532"/>
    <cellStyle name="Normal 2 16 19" xfId="533"/>
    <cellStyle name="Normal 2 16 2" xfId="534"/>
    <cellStyle name="Normal 2 16 20" xfId="535"/>
    <cellStyle name="Normal 2 16 21" xfId="536"/>
    <cellStyle name="Normal 2 16 22" xfId="537"/>
    <cellStyle name="Normal 2 16 23" xfId="538"/>
    <cellStyle name="Normal 2 16 3" xfId="539"/>
    <cellStyle name="Normal 2 16 4" xfId="540"/>
    <cellStyle name="Normal 2 16 5" xfId="541"/>
    <cellStyle name="Normal 2 16 6" xfId="542"/>
    <cellStyle name="Normal 2 16 7" xfId="543"/>
    <cellStyle name="Normal 2 16 8" xfId="544"/>
    <cellStyle name="Normal 2 16 9" xfId="545"/>
    <cellStyle name="Normal 2 17" xfId="546"/>
    <cellStyle name="Normal 2 17 10" xfId="547"/>
    <cellStyle name="Normal 2 17 11" xfId="548"/>
    <cellStyle name="Normal 2 17 12" xfId="549"/>
    <cellStyle name="Normal 2 17 13" xfId="550"/>
    <cellStyle name="Normal 2 17 14" xfId="551"/>
    <cellStyle name="Normal 2 17 15" xfId="552"/>
    <cellStyle name="Normal 2 17 16" xfId="553"/>
    <cellStyle name="Normal 2 17 17" xfId="554"/>
    <cellStyle name="Normal 2 17 18" xfId="555"/>
    <cellStyle name="Normal 2 17 19" xfId="556"/>
    <cellStyle name="Normal 2 17 2" xfId="557"/>
    <cellStyle name="Normal 2 17 20" xfId="558"/>
    <cellStyle name="Normal 2 17 21" xfId="559"/>
    <cellStyle name="Normal 2 17 22" xfId="560"/>
    <cellStyle name="Normal 2 17 23" xfId="561"/>
    <cellStyle name="Normal 2 17 3" xfId="562"/>
    <cellStyle name="Normal 2 17 4" xfId="563"/>
    <cellStyle name="Normal 2 17 5" xfId="564"/>
    <cellStyle name="Normal 2 17 6" xfId="565"/>
    <cellStyle name="Normal 2 17 7" xfId="566"/>
    <cellStyle name="Normal 2 17 8" xfId="567"/>
    <cellStyle name="Normal 2 17 9" xfId="568"/>
    <cellStyle name="Normal 2 18" xfId="569"/>
    <cellStyle name="Normal 2 18 10" xfId="570"/>
    <cellStyle name="Normal 2 18 11" xfId="571"/>
    <cellStyle name="Normal 2 18 12" xfId="572"/>
    <cellStyle name="Normal 2 18 13" xfId="573"/>
    <cellStyle name="Normal 2 18 14" xfId="574"/>
    <cellStyle name="Normal 2 18 15" xfId="575"/>
    <cellStyle name="Normal 2 18 16" xfId="576"/>
    <cellStyle name="Normal 2 18 17" xfId="577"/>
    <cellStyle name="Normal 2 18 18" xfId="578"/>
    <cellStyle name="Normal 2 18 19" xfId="579"/>
    <cellStyle name="Normal 2 18 2" xfId="580"/>
    <cellStyle name="Normal 2 18 20" xfId="581"/>
    <cellStyle name="Normal 2 18 21" xfId="582"/>
    <cellStyle name="Normal 2 18 22" xfId="583"/>
    <cellStyle name="Normal 2 18 23" xfId="584"/>
    <cellStyle name="Normal 2 18 3" xfId="585"/>
    <cellStyle name="Normal 2 18 4" xfId="586"/>
    <cellStyle name="Normal 2 18 5" xfId="587"/>
    <cellStyle name="Normal 2 18 6" xfId="588"/>
    <cellStyle name="Normal 2 18 7" xfId="589"/>
    <cellStyle name="Normal 2 18 8" xfId="590"/>
    <cellStyle name="Normal 2 18 9" xfId="591"/>
    <cellStyle name="Normal 2 19" xfId="592"/>
    <cellStyle name="Normal 2 19 10" xfId="593"/>
    <cellStyle name="Normal 2 19 11" xfId="594"/>
    <cellStyle name="Normal 2 19 12" xfId="595"/>
    <cellStyle name="Normal 2 19 13" xfId="596"/>
    <cellStyle name="Normal 2 19 14" xfId="597"/>
    <cellStyle name="Normal 2 19 15" xfId="598"/>
    <cellStyle name="Normal 2 19 16" xfId="599"/>
    <cellStyle name="Normal 2 19 17" xfId="600"/>
    <cellStyle name="Normal 2 19 18" xfId="601"/>
    <cellStyle name="Normal 2 19 19" xfId="602"/>
    <cellStyle name="Normal 2 19 2" xfId="603"/>
    <cellStyle name="Normal 2 19 20" xfId="604"/>
    <cellStyle name="Normal 2 19 21" xfId="605"/>
    <cellStyle name="Normal 2 19 22" xfId="606"/>
    <cellStyle name="Normal 2 19 23" xfId="607"/>
    <cellStyle name="Normal 2 19 3" xfId="608"/>
    <cellStyle name="Normal 2 19 4" xfId="609"/>
    <cellStyle name="Normal 2 19 5" xfId="610"/>
    <cellStyle name="Normal 2 19 6" xfId="611"/>
    <cellStyle name="Normal 2 19 7" xfId="612"/>
    <cellStyle name="Normal 2 19 8" xfId="613"/>
    <cellStyle name="Normal 2 19 9" xfId="614"/>
    <cellStyle name="Normal 2 2" xfId="615"/>
    <cellStyle name="Normal 2 2 2" xfId="616"/>
    <cellStyle name="Normal 2 20" xfId="617"/>
    <cellStyle name="Normal 2 20 10" xfId="618"/>
    <cellStyle name="Normal 2 20 11" xfId="619"/>
    <cellStyle name="Normal 2 20 12" xfId="620"/>
    <cellStyle name="Normal 2 20 13" xfId="621"/>
    <cellStyle name="Normal 2 20 14" xfId="622"/>
    <cellStyle name="Normal 2 20 15" xfId="623"/>
    <cellStyle name="Normal 2 20 16" xfId="624"/>
    <cellStyle name="Normal 2 20 17" xfId="625"/>
    <cellStyle name="Normal 2 20 18" xfId="626"/>
    <cellStyle name="Normal 2 20 19" xfId="627"/>
    <cellStyle name="Normal 2 20 2" xfId="628"/>
    <cellStyle name="Normal 2 20 20" xfId="629"/>
    <cellStyle name="Normal 2 20 21" xfId="630"/>
    <cellStyle name="Normal 2 20 22" xfId="631"/>
    <cellStyle name="Normal 2 20 23" xfId="632"/>
    <cellStyle name="Normal 2 20 3" xfId="633"/>
    <cellStyle name="Normal 2 20 4" xfId="634"/>
    <cellStyle name="Normal 2 20 5" xfId="635"/>
    <cellStyle name="Normal 2 20 6" xfId="636"/>
    <cellStyle name="Normal 2 20 7" xfId="637"/>
    <cellStyle name="Normal 2 20 8" xfId="638"/>
    <cellStyle name="Normal 2 20 9" xfId="639"/>
    <cellStyle name="Normal 2 21" xfId="640"/>
    <cellStyle name="Normal 2 21 10" xfId="641"/>
    <cellStyle name="Normal 2 21 11" xfId="642"/>
    <cellStyle name="Normal 2 21 12" xfId="643"/>
    <cellStyle name="Normal 2 21 13" xfId="644"/>
    <cellStyle name="Normal 2 21 14" xfId="645"/>
    <cellStyle name="Normal 2 21 15" xfId="646"/>
    <cellStyle name="Normal 2 21 16" xfId="647"/>
    <cellStyle name="Normal 2 21 17" xfId="648"/>
    <cellStyle name="Normal 2 21 18" xfId="649"/>
    <cellStyle name="Normal 2 21 19" xfId="650"/>
    <cellStyle name="Normal 2 21 2" xfId="651"/>
    <cellStyle name="Normal 2 21 20" xfId="652"/>
    <cellStyle name="Normal 2 21 21" xfId="653"/>
    <cellStyle name="Normal 2 21 22" xfId="654"/>
    <cellStyle name="Normal 2 21 23" xfId="655"/>
    <cellStyle name="Normal 2 21 3" xfId="656"/>
    <cellStyle name="Normal 2 21 4" xfId="657"/>
    <cellStyle name="Normal 2 21 5" xfId="658"/>
    <cellStyle name="Normal 2 21 6" xfId="659"/>
    <cellStyle name="Normal 2 21 7" xfId="660"/>
    <cellStyle name="Normal 2 21 8" xfId="661"/>
    <cellStyle name="Normal 2 21 9" xfId="662"/>
    <cellStyle name="Normal 2 22" xfId="663"/>
    <cellStyle name="Normal 2 22 10" xfId="664"/>
    <cellStyle name="Normal 2 22 11" xfId="665"/>
    <cellStyle name="Normal 2 22 12" xfId="666"/>
    <cellStyle name="Normal 2 22 13" xfId="667"/>
    <cellStyle name="Normal 2 22 14" xfId="668"/>
    <cellStyle name="Normal 2 22 15" xfId="669"/>
    <cellStyle name="Normal 2 22 16" xfId="670"/>
    <cellStyle name="Normal 2 22 17" xfId="671"/>
    <cellStyle name="Normal 2 22 18" xfId="672"/>
    <cellStyle name="Normal 2 22 19" xfId="673"/>
    <cellStyle name="Normal 2 22 2" xfId="674"/>
    <cellStyle name="Normal 2 22 20" xfId="675"/>
    <cellStyle name="Normal 2 22 21" xfId="676"/>
    <cellStyle name="Normal 2 22 22" xfId="677"/>
    <cellStyle name="Normal 2 22 23" xfId="678"/>
    <cellStyle name="Normal 2 22 3" xfId="679"/>
    <cellStyle name="Normal 2 22 4" xfId="680"/>
    <cellStyle name="Normal 2 22 5" xfId="681"/>
    <cellStyle name="Normal 2 22 6" xfId="682"/>
    <cellStyle name="Normal 2 22 7" xfId="683"/>
    <cellStyle name="Normal 2 22 8" xfId="684"/>
    <cellStyle name="Normal 2 22 9" xfId="685"/>
    <cellStyle name="Normal 2 23" xfId="686"/>
    <cellStyle name="Normal 2 23 10" xfId="687"/>
    <cellStyle name="Normal 2 23 11" xfId="688"/>
    <cellStyle name="Normal 2 23 12" xfId="689"/>
    <cellStyle name="Normal 2 23 13" xfId="690"/>
    <cellStyle name="Normal 2 23 14" xfId="691"/>
    <cellStyle name="Normal 2 23 15" xfId="692"/>
    <cellStyle name="Normal 2 23 16" xfId="693"/>
    <cellStyle name="Normal 2 23 17" xfId="694"/>
    <cellStyle name="Normal 2 23 18" xfId="695"/>
    <cellStyle name="Normal 2 23 19" xfId="696"/>
    <cellStyle name="Normal 2 23 2" xfId="697"/>
    <cellStyle name="Normal 2 23 20" xfId="698"/>
    <cellStyle name="Normal 2 23 21" xfId="699"/>
    <cellStyle name="Normal 2 23 22" xfId="700"/>
    <cellStyle name="Normal 2 23 23" xfId="701"/>
    <cellStyle name="Normal 2 23 3" xfId="702"/>
    <cellStyle name="Normal 2 23 4" xfId="703"/>
    <cellStyle name="Normal 2 23 5" xfId="704"/>
    <cellStyle name="Normal 2 23 6" xfId="705"/>
    <cellStyle name="Normal 2 23 7" xfId="706"/>
    <cellStyle name="Normal 2 23 8" xfId="707"/>
    <cellStyle name="Normal 2 23 9" xfId="708"/>
    <cellStyle name="Normal 2 24" xfId="709"/>
    <cellStyle name="Normal 2 24 10" xfId="710"/>
    <cellStyle name="Normal 2 24 11" xfId="711"/>
    <cellStyle name="Normal 2 24 12" xfId="712"/>
    <cellStyle name="Normal 2 24 13" xfId="713"/>
    <cellStyle name="Normal 2 24 14" xfId="714"/>
    <cellStyle name="Normal 2 24 15" xfId="715"/>
    <cellStyle name="Normal 2 24 16" xfId="716"/>
    <cellStyle name="Normal 2 24 17" xfId="717"/>
    <cellStyle name="Normal 2 24 18" xfId="718"/>
    <cellStyle name="Normal 2 24 19" xfId="719"/>
    <cellStyle name="Normal 2 24 2" xfId="720"/>
    <cellStyle name="Normal 2 24 20" xfId="721"/>
    <cellStyle name="Normal 2 24 21" xfId="722"/>
    <cellStyle name="Normal 2 24 22" xfId="723"/>
    <cellStyle name="Normal 2 24 23" xfId="724"/>
    <cellStyle name="Normal 2 24 3" xfId="725"/>
    <cellStyle name="Normal 2 24 4" xfId="726"/>
    <cellStyle name="Normal 2 24 5" xfId="727"/>
    <cellStyle name="Normal 2 24 6" xfId="728"/>
    <cellStyle name="Normal 2 24 7" xfId="729"/>
    <cellStyle name="Normal 2 24 8" xfId="730"/>
    <cellStyle name="Normal 2 24 9" xfId="731"/>
    <cellStyle name="Normal 2 25" xfId="732"/>
    <cellStyle name="Normal 2 25 10" xfId="733"/>
    <cellStyle name="Normal 2 25 11" xfId="734"/>
    <cellStyle name="Normal 2 25 12" xfId="735"/>
    <cellStyle name="Normal 2 25 13" xfId="736"/>
    <cellStyle name="Normal 2 25 14" xfId="737"/>
    <cellStyle name="Normal 2 25 15" xfId="738"/>
    <cellStyle name="Normal 2 25 16" xfId="739"/>
    <cellStyle name="Normal 2 25 17" xfId="740"/>
    <cellStyle name="Normal 2 25 18" xfId="741"/>
    <cellStyle name="Normal 2 25 19" xfId="742"/>
    <cellStyle name="Normal 2 25 2" xfId="743"/>
    <cellStyle name="Normal 2 25 20" xfId="744"/>
    <cellStyle name="Normal 2 25 21" xfId="745"/>
    <cellStyle name="Normal 2 25 22" xfId="746"/>
    <cellStyle name="Normal 2 25 23" xfId="747"/>
    <cellStyle name="Normal 2 25 3" xfId="748"/>
    <cellStyle name="Normal 2 25 4" xfId="749"/>
    <cellStyle name="Normal 2 25 5" xfId="750"/>
    <cellStyle name="Normal 2 25 6" xfId="751"/>
    <cellStyle name="Normal 2 25 7" xfId="752"/>
    <cellStyle name="Normal 2 25 8" xfId="753"/>
    <cellStyle name="Normal 2 25 9" xfId="754"/>
    <cellStyle name="Normal 2 26" xfId="755"/>
    <cellStyle name="Normal 2 26 10" xfId="756"/>
    <cellStyle name="Normal 2 26 11" xfId="757"/>
    <cellStyle name="Normal 2 26 12" xfId="758"/>
    <cellStyle name="Normal 2 26 13" xfId="759"/>
    <cellStyle name="Normal 2 26 14" xfId="760"/>
    <cellStyle name="Normal 2 26 15" xfId="761"/>
    <cellStyle name="Normal 2 26 16" xfId="762"/>
    <cellStyle name="Normal 2 26 17" xfId="763"/>
    <cellStyle name="Normal 2 26 18" xfId="764"/>
    <cellStyle name="Normal 2 26 19" xfId="765"/>
    <cellStyle name="Normal 2 26 2" xfId="766"/>
    <cellStyle name="Normal 2 26 20" xfId="767"/>
    <cellStyle name="Normal 2 26 21" xfId="768"/>
    <cellStyle name="Normal 2 26 22" xfId="769"/>
    <cellStyle name="Normal 2 26 23" xfId="770"/>
    <cellStyle name="Normal 2 26 3" xfId="771"/>
    <cellStyle name="Normal 2 26 4" xfId="772"/>
    <cellStyle name="Normal 2 26 5" xfId="773"/>
    <cellStyle name="Normal 2 26 6" xfId="774"/>
    <cellStyle name="Normal 2 26 7" xfId="775"/>
    <cellStyle name="Normal 2 26 8" xfId="776"/>
    <cellStyle name="Normal 2 26 9" xfId="777"/>
    <cellStyle name="Normal 2 27" xfId="778"/>
    <cellStyle name="Normal 2 27 10" xfId="779"/>
    <cellStyle name="Normal 2 27 11" xfId="780"/>
    <cellStyle name="Normal 2 27 12" xfId="781"/>
    <cellStyle name="Normal 2 27 13" xfId="782"/>
    <cellStyle name="Normal 2 27 14" xfId="783"/>
    <cellStyle name="Normal 2 27 15" xfId="784"/>
    <cellStyle name="Normal 2 27 16" xfId="785"/>
    <cellStyle name="Normal 2 27 17" xfId="786"/>
    <cellStyle name="Normal 2 27 18" xfId="787"/>
    <cellStyle name="Normal 2 27 19" xfId="788"/>
    <cellStyle name="Normal 2 27 2" xfId="789"/>
    <cellStyle name="Normal 2 27 20" xfId="790"/>
    <cellStyle name="Normal 2 27 21" xfId="791"/>
    <cellStyle name="Normal 2 27 22" xfId="792"/>
    <cellStyle name="Normal 2 27 23" xfId="793"/>
    <cellStyle name="Normal 2 27 3" xfId="794"/>
    <cellStyle name="Normal 2 27 4" xfId="795"/>
    <cellStyle name="Normal 2 27 5" xfId="796"/>
    <cellStyle name="Normal 2 27 6" xfId="797"/>
    <cellStyle name="Normal 2 27 7" xfId="798"/>
    <cellStyle name="Normal 2 27 8" xfId="799"/>
    <cellStyle name="Normal 2 27 9" xfId="800"/>
    <cellStyle name="Normal 2 28" xfId="801"/>
    <cellStyle name="Normal 2 28 10" xfId="802"/>
    <cellStyle name="Normal 2 28 11" xfId="803"/>
    <cellStyle name="Normal 2 28 12" xfId="804"/>
    <cellStyle name="Normal 2 28 13" xfId="805"/>
    <cellStyle name="Normal 2 28 14" xfId="806"/>
    <cellStyle name="Normal 2 28 15" xfId="807"/>
    <cellStyle name="Normal 2 28 16" xfId="808"/>
    <cellStyle name="Normal 2 28 17" xfId="809"/>
    <cellStyle name="Normal 2 28 18" xfId="810"/>
    <cellStyle name="Normal 2 28 19" xfId="811"/>
    <cellStyle name="Normal 2 28 2" xfId="812"/>
    <cellStyle name="Normal 2 28 20" xfId="813"/>
    <cellStyle name="Normal 2 28 21" xfId="814"/>
    <cellStyle name="Normal 2 28 22" xfId="815"/>
    <cellStyle name="Normal 2 28 23" xfId="816"/>
    <cellStyle name="Normal 2 28 3" xfId="817"/>
    <cellStyle name="Normal 2 28 4" xfId="818"/>
    <cellStyle name="Normal 2 28 5" xfId="819"/>
    <cellStyle name="Normal 2 28 6" xfId="820"/>
    <cellStyle name="Normal 2 28 7" xfId="821"/>
    <cellStyle name="Normal 2 28 8" xfId="822"/>
    <cellStyle name="Normal 2 28 9" xfId="823"/>
    <cellStyle name="Normal 2 29" xfId="824"/>
    <cellStyle name="Normal 2 29 10" xfId="825"/>
    <cellStyle name="Normal 2 29 11" xfId="826"/>
    <cellStyle name="Normal 2 29 12" xfId="827"/>
    <cellStyle name="Normal 2 29 13" xfId="828"/>
    <cellStyle name="Normal 2 29 14" xfId="829"/>
    <cellStyle name="Normal 2 29 15" xfId="830"/>
    <cellStyle name="Normal 2 29 16" xfId="831"/>
    <cellStyle name="Normal 2 29 17" xfId="832"/>
    <cellStyle name="Normal 2 29 18" xfId="833"/>
    <cellStyle name="Normal 2 29 19" xfId="834"/>
    <cellStyle name="Normal 2 29 2" xfId="835"/>
    <cellStyle name="Normal 2 29 20" xfId="836"/>
    <cellStyle name="Normal 2 29 21" xfId="837"/>
    <cellStyle name="Normal 2 29 22" xfId="838"/>
    <cellStyle name="Normal 2 29 23" xfId="839"/>
    <cellStyle name="Normal 2 29 3" xfId="840"/>
    <cellStyle name="Normal 2 29 4" xfId="841"/>
    <cellStyle name="Normal 2 29 5" xfId="842"/>
    <cellStyle name="Normal 2 29 6" xfId="843"/>
    <cellStyle name="Normal 2 29 7" xfId="844"/>
    <cellStyle name="Normal 2 29 8" xfId="845"/>
    <cellStyle name="Normal 2 29 9" xfId="846"/>
    <cellStyle name="Normal 2 3" xfId="847"/>
    <cellStyle name="Normal 2 3 2" xfId="848"/>
    <cellStyle name="Normal 2 30" xfId="849"/>
    <cellStyle name="Normal 2 30 10" xfId="850"/>
    <cellStyle name="Normal 2 30 11" xfId="851"/>
    <cellStyle name="Normal 2 30 12" xfId="852"/>
    <cellStyle name="Normal 2 30 13" xfId="853"/>
    <cellStyle name="Normal 2 30 14" xfId="854"/>
    <cellStyle name="Normal 2 30 15" xfId="855"/>
    <cellStyle name="Normal 2 30 16" xfId="856"/>
    <cellStyle name="Normal 2 30 17" xfId="857"/>
    <cellStyle name="Normal 2 30 18" xfId="858"/>
    <cellStyle name="Normal 2 30 19" xfId="859"/>
    <cellStyle name="Normal 2 30 2" xfId="860"/>
    <cellStyle name="Normal 2 30 20" xfId="861"/>
    <cellStyle name="Normal 2 30 21" xfId="862"/>
    <cellStyle name="Normal 2 30 22" xfId="863"/>
    <cellStyle name="Normal 2 30 23" xfId="864"/>
    <cellStyle name="Normal 2 30 3" xfId="865"/>
    <cellStyle name="Normal 2 30 4" xfId="866"/>
    <cellStyle name="Normal 2 30 5" xfId="867"/>
    <cellStyle name="Normal 2 30 6" xfId="868"/>
    <cellStyle name="Normal 2 30 7" xfId="869"/>
    <cellStyle name="Normal 2 30 8" xfId="870"/>
    <cellStyle name="Normal 2 30 9" xfId="871"/>
    <cellStyle name="Normal 2 31" xfId="872"/>
    <cellStyle name="Normal 2 31 10" xfId="873"/>
    <cellStyle name="Normal 2 31 11" xfId="874"/>
    <cellStyle name="Normal 2 31 12" xfId="875"/>
    <cellStyle name="Normal 2 31 13" xfId="876"/>
    <cellStyle name="Normal 2 31 14" xfId="877"/>
    <cellStyle name="Normal 2 31 15" xfId="878"/>
    <cellStyle name="Normal 2 31 16" xfId="879"/>
    <cellStyle name="Normal 2 31 17" xfId="880"/>
    <cellStyle name="Normal 2 31 18" xfId="881"/>
    <cellStyle name="Normal 2 31 19" xfId="882"/>
    <cellStyle name="Normal 2 31 2" xfId="883"/>
    <cellStyle name="Normal 2 31 20" xfId="884"/>
    <cellStyle name="Normal 2 31 21" xfId="885"/>
    <cellStyle name="Normal 2 31 22" xfId="886"/>
    <cellStyle name="Normal 2 31 23" xfId="887"/>
    <cellStyle name="Normal 2 31 3" xfId="888"/>
    <cellStyle name="Normal 2 31 4" xfId="889"/>
    <cellStyle name="Normal 2 31 5" xfId="890"/>
    <cellStyle name="Normal 2 31 6" xfId="891"/>
    <cellStyle name="Normal 2 31 7" xfId="892"/>
    <cellStyle name="Normal 2 31 8" xfId="893"/>
    <cellStyle name="Normal 2 31 9" xfId="894"/>
    <cellStyle name="Normal 2 32" xfId="895"/>
    <cellStyle name="Normal 2 32 10" xfId="896"/>
    <cellStyle name="Normal 2 32 11" xfId="897"/>
    <cellStyle name="Normal 2 32 12" xfId="898"/>
    <cellStyle name="Normal 2 32 13" xfId="899"/>
    <cellStyle name="Normal 2 32 14" xfId="900"/>
    <cellStyle name="Normal 2 32 15" xfId="901"/>
    <cellStyle name="Normal 2 32 16" xfId="902"/>
    <cellStyle name="Normal 2 32 17" xfId="903"/>
    <cellStyle name="Normal 2 32 18" xfId="904"/>
    <cellStyle name="Normal 2 32 19" xfId="905"/>
    <cellStyle name="Normal 2 32 2" xfId="906"/>
    <cellStyle name="Normal 2 32 20" xfId="907"/>
    <cellStyle name="Normal 2 32 21" xfId="908"/>
    <cellStyle name="Normal 2 32 22" xfId="909"/>
    <cellStyle name="Normal 2 32 23" xfId="910"/>
    <cellStyle name="Normal 2 32 3" xfId="911"/>
    <cellStyle name="Normal 2 32 4" xfId="912"/>
    <cellStyle name="Normal 2 32 5" xfId="913"/>
    <cellStyle name="Normal 2 32 6" xfId="914"/>
    <cellStyle name="Normal 2 32 7" xfId="915"/>
    <cellStyle name="Normal 2 32 8" xfId="916"/>
    <cellStyle name="Normal 2 32 9" xfId="917"/>
    <cellStyle name="Normal 2 33" xfId="918"/>
    <cellStyle name="Normal 2 33 10" xfId="919"/>
    <cellStyle name="Normal 2 33 11" xfId="920"/>
    <cellStyle name="Normal 2 33 12" xfId="921"/>
    <cellStyle name="Normal 2 33 13" xfId="922"/>
    <cellStyle name="Normal 2 33 14" xfId="923"/>
    <cellStyle name="Normal 2 33 15" xfId="924"/>
    <cellStyle name="Normal 2 33 16" xfId="925"/>
    <cellStyle name="Normal 2 33 17" xfId="926"/>
    <cellStyle name="Normal 2 33 18" xfId="927"/>
    <cellStyle name="Normal 2 33 19" xfId="928"/>
    <cellStyle name="Normal 2 33 2" xfId="929"/>
    <cellStyle name="Normal 2 33 20" xfId="930"/>
    <cellStyle name="Normal 2 33 21" xfId="931"/>
    <cellStyle name="Normal 2 33 22" xfId="932"/>
    <cellStyle name="Normal 2 33 23" xfId="933"/>
    <cellStyle name="Normal 2 33 3" xfId="934"/>
    <cellStyle name="Normal 2 33 4" xfId="935"/>
    <cellStyle name="Normal 2 33 5" xfId="936"/>
    <cellStyle name="Normal 2 33 6" xfId="937"/>
    <cellStyle name="Normal 2 33 7" xfId="938"/>
    <cellStyle name="Normal 2 33 8" xfId="939"/>
    <cellStyle name="Normal 2 33 9" xfId="940"/>
    <cellStyle name="Normal 2 34" xfId="941"/>
    <cellStyle name="Normal 2 34 10" xfId="942"/>
    <cellStyle name="Normal 2 34 11" xfId="943"/>
    <cellStyle name="Normal 2 34 12" xfId="944"/>
    <cellStyle name="Normal 2 34 13" xfId="945"/>
    <cellStyle name="Normal 2 34 14" xfId="946"/>
    <cellStyle name="Normal 2 34 15" xfId="947"/>
    <cellStyle name="Normal 2 34 16" xfId="948"/>
    <cellStyle name="Normal 2 34 17" xfId="949"/>
    <cellStyle name="Normal 2 34 18" xfId="950"/>
    <cellStyle name="Normal 2 34 19" xfId="951"/>
    <cellStyle name="Normal 2 34 2" xfId="952"/>
    <cellStyle name="Normal 2 34 20" xfId="953"/>
    <cellStyle name="Normal 2 34 21" xfId="954"/>
    <cellStyle name="Normal 2 34 22" xfId="955"/>
    <cellStyle name="Normal 2 34 23" xfId="956"/>
    <cellStyle name="Normal 2 34 3" xfId="957"/>
    <cellStyle name="Normal 2 34 4" xfId="958"/>
    <cellStyle name="Normal 2 34 5" xfId="959"/>
    <cellStyle name="Normal 2 34 6" xfId="960"/>
    <cellStyle name="Normal 2 34 7" xfId="961"/>
    <cellStyle name="Normal 2 34 8" xfId="962"/>
    <cellStyle name="Normal 2 34 9" xfId="963"/>
    <cellStyle name="Normal 2 35" xfId="964"/>
    <cellStyle name="Normal 2 35 10" xfId="965"/>
    <cellStyle name="Normal 2 35 11" xfId="966"/>
    <cellStyle name="Normal 2 35 12" xfId="967"/>
    <cellStyle name="Normal 2 35 13" xfId="968"/>
    <cellStyle name="Normal 2 35 14" xfId="969"/>
    <cellStyle name="Normal 2 35 15" xfId="970"/>
    <cellStyle name="Normal 2 35 16" xfId="971"/>
    <cellStyle name="Normal 2 35 17" xfId="972"/>
    <cellStyle name="Normal 2 35 18" xfId="973"/>
    <cellStyle name="Normal 2 35 19" xfId="974"/>
    <cellStyle name="Normal 2 35 2" xfId="975"/>
    <cellStyle name="Normal 2 35 20" xfId="976"/>
    <cellStyle name="Normal 2 35 21" xfId="977"/>
    <cellStyle name="Normal 2 35 22" xfId="978"/>
    <cellStyle name="Normal 2 35 23" xfId="979"/>
    <cellStyle name="Normal 2 35 3" xfId="980"/>
    <cellStyle name="Normal 2 35 4" xfId="981"/>
    <cellStyle name="Normal 2 35 5" xfId="982"/>
    <cellStyle name="Normal 2 35 6" xfId="983"/>
    <cellStyle name="Normal 2 35 7" xfId="984"/>
    <cellStyle name="Normal 2 35 8" xfId="985"/>
    <cellStyle name="Normal 2 35 9" xfId="986"/>
    <cellStyle name="Normal 2 36" xfId="987"/>
    <cellStyle name="Normal 2 36 10" xfId="988"/>
    <cellStyle name="Normal 2 36 11" xfId="989"/>
    <cellStyle name="Normal 2 36 12" xfId="990"/>
    <cellStyle name="Normal 2 36 13" xfId="991"/>
    <cellStyle name="Normal 2 36 14" xfId="992"/>
    <cellStyle name="Normal 2 36 15" xfId="993"/>
    <cellStyle name="Normal 2 36 16" xfId="994"/>
    <cellStyle name="Normal 2 36 17" xfId="995"/>
    <cellStyle name="Normal 2 36 18" xfId="996"/>
    <cellStyle name="Normal 2 36 19" xfId="997"/>
    <cellStyle name="Normal 2 36 2" xfId="998"/>
    <cellStyle name="Normal 2 36 20" xfId="999"/>
    <cellStyle name="Normal 2 36 21" xfId="1000"/>
    <cellStyle name="Normal 2 36 22" xfId="1001"/>
    <cellStyle name="Normal 2 36 23" xfId="1002"/>
    <cellStyle name="Normal 2 36 3" xfId="1003"/>
    <cellStyle name="Normal 2 36 4" xfId="1004"/>
    <cellStyle name="Normal 2 36 5" xfId="1005"/>
    <cellStyle name="Normal 2 36 6" xfId="1006"/>
    <cellStyle name="Normal 2 36 7" xfId="1007"/>
    <cellStyle name="Normal 2 36 8" xfId="1008"/>
    <cellStyle name="Normal 2 36 9" xfId="1009"/>
    <cellStyle name="Normal 2 37" xfId="1010"/>
    <cellStyle name="Normal 2 37 10" xfId="1011"/>
    <cellStyle name="Normal 2 37 11" xfId="1012"/>
    <cellStyle name="Normal 2 37 12" xfId="1013"/>
    <cellStyle name="Normal 2 37 13" xfId="1014"/>
    <cellStyle name="Normal 2 37 14" xfId="1015"/>
    <cellStyle name="Normal 2 37 15" xfId="1016"/>
    <cellStyle name="Normal 2 37 16" xfId="1017"/>
    <cellStyle name="Normal 2 37 17" xfId="1018"/>
    <cellStyle name="Normal 2 37 18" xfId="1019"/>
    <cellStyle name="Normal 2 37 19" xfId="1020"/>
    <cellStyle name="Normal 2 37 2" xfId="1021"/>
    <cellStyle name="Normal 2 37 20" xfId="1022"/>
    <cellStyle name="Normal 2 37 21" xfId="1023"/>
    <cellStyle name="Normal 2 37 22" xfId="1024"/>
    <cellStyle name="Normal 2 37 23" xfId="1025"/>
    <cellStyle name="Normal 2 37 3" xfId="1026"/>
    <cellStyle name="Normal 2 37 4" xfId="1027"/>
    <cellStyle name="Normal 2 37 5" xfId="1028"/>
    <cellStyle name="Normal 2 37 6" xfId="1029"/>
    <cellStyle name="Normal 2 37 7" xfId="1030"/>
    <cellStyle name="Normal 2 37 8" xfId="1031"/>
    <cellStyle name="Normal 2 37 9" xfId="1032"/>
    <cellStyle name="Normal 2 38" xfId="1033"/>
    <cellStyle name="Normal 2 38 10" xfId="1034"/>
    <cellStyle name="Normal 2 38 11" xfId="1035"/>
    <cellStyle name="Normal 2 38 12" xfId="1036"/>
    <cellStyle name="Normal 2 38 13" xfId="1037"/>
    <cellStyle name="Normal 2 38 14" xfId="1038"/>
    <cellStyle name="Normal 2 38 15" xfId="1039"/>
    <cellStyle name="Normal 2 38 16" xfId="1040"/>
    <cellStyle name="Normal 2 38 17" xfId="1041"/>
    <cellStyle name="Normal 2 38 18" xfId="1042"/>
    <cellStyle name="Normal 2 38 19" xfId="1043"/>
    <cellStyle name="Normal 2 38 2" xfId="1044"/>
    <cellStyle name="Normal 2 38 20" xfId="1045"/>
    <cellStyle name="Normal 2 38 21" xfId="1046"/>
    <cellStyle name="Normal 2 38 22" xfId="1047"/>
    <cellStyle name="Normal 2 38 23" xfId="1048"/>
    <cellStyle name="Normal 2 38 3" xfId="1049"/>
    <cellStyle name="Normal 2 38 4" xfId="1050"/>
    <cellStyle name="Normal 2 38 5" xfId="1051"/>
    <cellStyle name="Normal 2 38 6" xfId="1052"/>
    <cellStyle name="Normal 2 38 7" xfId="1053"/>
    <cellStyle name="Normal 2 38 8" xfId="1054"/>
    <cellStyle name="Normal 2 38 9" xfId="1055"/>
    <cellStyle name="Normal 2 39" xfId="1056"/>
    <cellStyle name="Normal 2 39 10" xfId="1057"/>
    <cellStyle name="Normal 2 39 11" xfId="1058"/>
    <cellStyle name="Normal 2 39 12" xfId="1059"/>
    <cellStyle name="Normal 2 39 13" xfId="1060"/>
    <cellStyle name="Normal 2 39 14" xfId="1061"/>
    <cellStyle name="Normal 2 39 15" xfId="1062"/>
    <cellStyle name="Normal 2 39 16" xfId="1063"/>
    <cellStyle name="Normal 2 39 17" xfId="1064"/>
    <cellStyle name="Normal 2 39 18" xfId="1065"/>
    <cellStyle name="Normal 2 39 19" xfId="1066"/>
    <cellStyle name="Normal 2 39 2" xfId="1067"/>
    <cellStyle name="Normal 2 39 20" xfId="1068"/>
    <cellStyle name="Normal 2 39 21" xfId="1069"/>
    <cellStyle name="Normal 2 39 22" xfId="1070"/>
    <cellStyle name="Normal 2 39 23" xfId="1071"/>
    <cellStyle name="Normal 2 39 3" xfId="1072"/>
    <cellStyle name="Normal 2 39 4" xfId="1073"/>
    <cellStyle name="Normal 2 39 5" xfId="1074"/>
    <cellStyle name="Normal 2 39 6" xfId="1075"/>
    <cellStyle name="Normal 2 39 7" xfId="1076"/>
    <cellStyle name="Normal 2 39 8" xfId="1077"/>
    <cellStyle name="Normal 2 39 9" xfId="1078"/>
    <cellStyle name="Normal 2 4" xfId="1079"/>
    <cellStyle name="Normal 2 4 2" xfId="1080"/>
    <cellStyle name="Normal 2 40" xfId="1081"/>
    <cellStyle name="Normal 2 41" xfId="1082"/>
    <cellStyle name="Normal 2 42" xfId="1083"/>
    <cellStyle name="Normal 2 43" xfId="1084"/>
    <cellStyle name="Normal 2 44" xfId="1085"/>
    <cellStyle name="Normal 2 45" xfId="1086"/>
    <cellStyle name="Normal 2 46" xfId="1087"/>
    <cellStyle name="Normal 2 47" xfId="1088"/>
    <cellStyle name="Normal 2 48" xfId="1089"/>
    <cellStyle name="Normal 2 49" xfId="1090"/>
    <cellStyle name="Normal 2 5" xfId="1091"/>
    <cellStyle name="Normal 2 5 10" xfId="1092"/>
    <cellStyle name="Normal 2 5 11" xfId="1093"/>
    <cellStyle name="Normal 2 5 12" xfId="1094"/>
    <cellStyle name="Normal 2 5 13" xfId="1095"/>
    <cellStyle name="Normal 2 5 14" xfId="1096"/>
    <cellStyle name="Normal 2 5 15" xfId="1097"/>
    <cellStyle name="Normal 2 5 16" xfId="1098"/>
    <cellStyle name="Normal 2 5 17" xfId="1099"/>
    <cellStyle name="Normal 2 5 18" xfId="1100"/>
    <cellStyle name="Normal 2 5 19" xfId="1101"/>
    <cellStyle name="Normal 2 5 2" xfId="1102"/>
    <cellStyle name="Normal 2 5 2 10" xfId="1103"/>
    <cellStyle name="Normal 2 5 2 11" xfId="1104"/>
    <cellStyle name="Normal 2 5 2 12" xfId="1105"/>
    <cellStyle name="Normal 2 5 2 13" xfId="1106"/>
    <cellStyle name="Normal 2 5 2 14" xfId="1107"/>
    <cellStyle name="Normal 2 5 2 15" xfId="1108"/>
    <cellStyle name="Normal 2 5 2 16" xfId="1109"/>
    <cellStyle name="Normal 2 5 2 17" xfId="1110"/>
    <cellStyle name="Normal 2 5 2 18" xfId="1111"/>
    <cellStyle name="Normal 2 5 2 19" xfId="1112"/>
    <cellStyle name="Normal 2 5 2 2" xfId="1113"/>
    <cellStyle name="Normal 2 5 2 2 10" xfId="1114"/>
    <cellStyle name="Normal 2 5 2 2 11" xfId="1115"/>
    <cellStyle name="Normal 2 5 2 2 12" xfId="1116"/>
    <cellStyle name="Normal 2 5 2 2 13" xfId="1117"/>
    <cellStyle name="Normal 2 5 2 2 14" xfId="1118"/>
    <cellStyle name="Normal 2 5 2 2 15" xfId="1119"/>
    <cellStyle name="Normal 2 5 2 2 16" xfId="1120"/>
    <cellStyle name="Normal 2 5 2 2 17" xfId="1121"/>
    <cellStyle name="Normal 2 5 2 2 18" xfId="1122"/>
    <cellStyle name="Normal 2 5 2 2 19" xfId="1123"/>
    <cellStyle name="Normal 2 5 2 2 2" xfId="1124"/>
    <cellStyle name="Normal 2 5 2 2 20" xfId="1125"/>
    <cellStyle name="Normal 2 5 2 2 21" xfId="1126"/>
    <cellStyle name="Normal 2 5 2 2 22" xfId="1127"/>
    <cellStyle name="Normal 2 5 2 2 23" xfId="1128"/>
    <cellStyle name="Normal 2 5 2 2 24" xfId="1129"/>
    <cellStyle name="Normal 2 5 2 2 25" xfId="1130"/>
    <cellStyle name="Normal 2 5 2 2 26" xfId="1131"/>
    <cellStyle name="Normal 2 5 2 2 27" xfId="1132"/>
    <cellStyle name="Normal 2 5 2 2 28" xfId="1133"/>
    <cellStyle name="Normal 2 5 2 2 29" xfId="1134"/>
    <cellStyle name="Normal 2 5 2 2 3" xfId="1135"/>
    <cellStyle name="Normal 2 5 2 2 30" xfId="1136"/>
    <cellStyle name="Normal 2 5 2 2 31" xfId="1137"/>
    <cellStyle name="Normal 2 5 2 2 32" xfId="1138"/>
    <cellStyle name="Normal 2 5 2 2 33" xfId="1139"/>
    <cellStyle name="Normal 2 5 2 2 34" xfId="1140"/>
    <cellStyle name="Normal 2 5 2 2 35" xfId="1141"/>
    <cellStyle name="Normal 2 5 2 2 36" xfId="1142"/>
    <cellStyle name="Normal 2 5 2 2 37" xfId="1143"/>
    <cellStyle name="Normal 2 5 2 2 38" xfId="1144"/>
    <cellStyle name="Normal 2 5 2 2 39" xfId="1145"/>
    <cellStyle name="Normal 2 5 2 2 4" xfId="1146"/>
    <cellStyle name="Normal 2 5 2 2 40" xfId="1147"/>
    <cellStyle name="Normal 2 5 2 2 41" xfId="1148"/>
    <cellStyle name="Normal 2 5 2 2 42" xfId="1149"/>
    <cellStyle name="Normal 2 5 2 2 43" xfId="1150"/>
    <cellStyle name="Normal 2 5 2 2 44" xfId="1151"/>
    <cellStyle name="Normal 2 5 2 2 45" xfId="1152"/>
    <cellStyle name="Normal 2 5 2 2 46" xfId="1153"/>
    <cellStyle name="Normal 2 5 2 2 47" xfId="1154"/>
    <cellStyle name="Normal 2 5 2 2 48" xfId="1155"/>
    <cellStyle name="Normal 2 5 2 2 49" xfId="1156"/>
    <cellStyle name="Normal 2 5 2 2 5" xfId="1157"/>
    <cellStyle name="Normal 2 5 2 2 50" xfId="1158"/>
    <cellStyle name="Normal 2 5 2 2 51" xfId="1159"/>
    <cellStyle name="Normal 2 5 2 2 52" xfId="1160"/>
    <cellStyle name="Normal 2 5 2 2 53" xfId="1161"/>
    <cellStyle name="Normal 2 5 2 2 54" xfId="1162"/>
    <cellStyle name="Normal 2 5 2 2 55" xfId="1163"/>
    <cellStyle name="Normal 2 5 2 2 6" xfId="1164"/>
    <cellStyle name="Normal 2 5 2 2 7" xfId="1165"/>
    <cellStyle name="Normal 2 5 2 2 8" xfId="1166"/>
    <cellStyle name="Normal 2 5 2 2 9" xfId="1167"/>
    <cellStyle name="Normal 2 5 2 20" xfId="1168"/>
    <cellStyle name="Normal 2 5 2 21" xfId="1169"/>
    <cellStyle name="Normal 2 5 2 22" xfId="1170"/>
    <cellStyle name="Normal 2 5 2 23" xfId="1171"/>
    <cellStyle name="Normal 2 5 2 24" xfId="1172"/>
    <cellStyle name="Normal 2 5 2 25" xfId="1173"/>
    <cellStyle name="Normal 2 5 2 26" xfId="1174"/>
    <cellStyle name="Normal 2 5 2 27" xfId="1175"/>
    <cellStyle name="Normal 2 5 2 28" xfId="1176"/>
    <cellStyle name="Normal 2 5 2 29" xfId="1177"/>
    <cellStyle name="Normal 2 5 2 3" xfId="1178"/>
    <cellStyle name="Normal 2 5 2 30" xfId="1179"/>
    <cellStyle name="Normal 2 5 2 31" xfId="1180"/>
    <cellStyle name="Normal 2 5 2 32" xfId="1181"/>
    <cellStyle name="Normal 2 5 2 33" xfId="1182"/>
    <cellStyle name="Normal 2 5 2 4" xfId="1183"/>
    <cellStyle name="Normal 2 5 2 5" xfId="1184"/>
    <cellStyle name="Normal 2 5 2 6" xfId="1185"/>
    <cellStyle name="Normal 2 5 2 7" xfId="1186"/>
    <cellStyle name="Normal 2 5 2 8" xfId="1187"/>
    <cellStyle name="Normal 2 5 2 9" xfId="1188"/>
    <cellStyle name="Normal 2 5 20" xfId="1189"/>
    <cellStyle name="Normal 2 5 21" xfId="1190"/>
    <cellStyle name="Normal 2 5 22" xfId="1191"/>
    <cellStyle name="Normal 2 5 23" xfId="1192"/>
    <cellStyle name="Normal 2 5 24" xfId="1193"/>
    <cellStyle name="Normal 2 5 25" xfId="1194"/>
    <cellStyle name="Normal 2 5 26" xfId="1195"/>
    <cellStyle name="Normal 2 5 27" xfId="1196"/>
    <cellStyle name="Normal 2 5 28" xfId="1197"/>
    <cellStyle name="Normal 2 5 29" xfId="1198"/>
    <cellStyle name="Normal 2 5 3" xfId="1199"/>
    <cellStyle name="Normal 2 5 30" xfId="1200"/>
    <cellStyle name="Normal 2 5 31" xfId="1201"/>
    <cellStyle name="Normal 2 5 32" xfId="1202"/>
    <cellStyle name="Normal 2 5 33" xfId="1203"/>
    <cellStyle name="Normal 2 5 34" xfId="1204"/>
    <cellStyle name="Normal 2 5 35" xfId="1205"/>
    <cellStyle name="Normal 2 5 36" xfId="1206"/>
    <cellStyle name="Normal 2 5 37" xfId="1207"/>
    <cellStyle name="Normal 2 5 38" xfId="1208"/>
    <cellStyle name="Normal 2 5 39" xfId="1209"/>
    <cellStyle name="Normal 2 5 4" xfId="1210"/>
    <cellStyle name="Normal 2 5 40" xfId="1211"/>
    <cellStyle name="Normal 2 5 41" xfId="1212"/>
    <cellStyle name="Normal 2 5 42" xfId="1213"/>
    <cellStyle name="Normal 2 5 43" xfId="1214"/>
    <cellStyle name="Normal 2 5 44" xfId="1215"/>
    <cellStyle name="Normal 2 5 45" xfId="1216"/>
    <cellStyle name="Normal 2 5 46" xfId="1217"/>
    <cellStyle name="Normal 2 5 47" xfId="1218"/>
    <cellStyle name="Normal 2 5 48" xfId="1219"/>
    <cellStyle name="Normal 2 5 49" xfId="1220"/>
    <cellStyle name="Normal 2 5 5" xfId="1221"/>
    <cellStyle name="Normal 2 5 50" xfId="1222"/>
    <cellStyle name="Normal 2 5 51" xfId="1223"/>
    <cellStyle name="Normal 2 5 52" xfId="1224"/>
    <cellStyle name="Normal 2 5 53" xfId="1225"/>
    <cellStyle name="Normal 2 5 54" xfId="1226"/>
    <cellStyle name="Normal 2 5 55" xfId="1227"/>
    <cellStyle name="Normal 2 5 56" xfId="1228"/>
    <cellStyle name="Normal 2 5 57" xfId="1229"/>
    <cellStyle name="Normal 2 5 58" xfId="1230"/>
    <cellStyle name="Normal 2 5 59" xfId="1231"/>
    <cellStyle name="Normal 2 5 6" xfId="1232"/>
    <cellStyle name="Normal 2 5 60" xfId="1233"/>
    <cellStyle name="Normal 2 5 61" xfId="1234"/>
    <cellStyle name="Normal 2 5 62" xfId="1235"/>
    <cellStyle name="Normal 2 5 63" xfId="1236"/>
    <cellStyle name="Normal 2 5 64" xfId="1237"/>
    <cellStyle name="Normal 2 5 65" xfId="1238"/>
    <cellStyle name="Normal 2 5 66" xfId="1239"/>
    <cellStyle name="Normal 2 5 67" xfId="1240"/>
    <cellStyle name="Normal 2 5 68" xfId="1241"/>
    <cellStyle name="Normal 2 5 69" xfId="1242"/>
    <cellStyle name="Normal 2 5 7" xfId="1243"/>
    <cellStyle name="Normal 2 5 70" xfId="1244"/>
    <cellStyle name="Normal 2 5 71" xfId="1245"/>
    <cellStyle name="Normal 2 5 72" xfId="1246"/>
    <cellStyle name="Normal 2 5 73" xfId="1247"/>
    <cellStyle name="Normal 2 5 74" xfId="1248"/>
    <cellStyle name="Normal 2 5 75" xfId="1249"/>
    <cellStyle name="Normal 2 5 76" xfId="1250"/>
    <cellStyle name="Normal 2 5 77" xfId="1251"/>
    <cellStyle name="Normal 2 5 78" xfId="1252"/>
    <cellStyle name="Normal 2 5 79" xfId="1253"/>
    <cellStyle name="Normal 2 5 8" xfId="1254"/>
    <cellStyle name="Normal 2 5 80" xfId="1255"/>
    <cellStyle name="Normal 2 5 81" xfId="1256"/>
    <cellStyle name="Normal 2 5 82" xfId="1257"/>
    <cellStyle name="Normal 2 5 83" xfId="1258"/>
    <cellStyle name="Normal 2 5 84" xfId="1259"/>
    <cellStyle name="Normal 2 5 85" xfId="1260"/>
    <cellStyle name="Normal 2 5 86" xfId="1261"/>
    <cellStyle name="Normal 2 5 87" xfId="1262"/>
    <cellStyle name="Normal 2 5 9" xfId="1263"/>
    <cellStyle name="Normal 2 5_DEER 032008 Cost Summary Delivery - Rev 4 (2)" xfId="1264"/>
    <cellStyle name="Normal 2 50" xfId="1265"/>
    <cellStyle name="Normal 2 51" xfId="1266"/>
    <cellStyle name="Normal 2 52" xfId="1267"/>
    <cellStyle name="Normal 2 53" xfId="1268"/>
    <cellStyle name="Normal 2 54" xfId="1269"/>
    <cellStyle name="Normal 2 55" xfId="1270"/>
    <cellStyle name="Normal 2 56" xfId="1271"/>
    <cellStyle name="Normal 2 57" xfId="1272"/>
    <cellStyle name="Normal 2 58" xfId="1273"/>
    <cellStyle name="Normal 2 59" xfId="1274"/>
    <cellStyle name="Normal 2 6" xfId="1275"/>
    <cellStyle name="Normal 2 60" xfId="1276"/>
    <cellStyle name="Normal 2 61" xfId="1277"/>
    <cellStyle name="Normal 2 62" xfId="1278"/>
    <cellStyle name="Normal 2 63" xfId="1279"/>
    <cellStyle name="Normal 2 64" xfId="1280"/>
    <cellStyle name="Normal 2 65" xfId="1281"/>
    <cellStyle name="Normal 2 66" xfId="1282"/>
    <cellStyle name="Normal 2 67" xfId="1283"/>
    <cellStyle name="Normal 2 68" xfId="1284"/>
    <cellStyle name="Normal 2 69" xfId="1285"/>
    <cellStyle name="Normal 2 7" xfId="1286"/>
    <cellStyle name="Normal 2 70" xfId="1287"/>
    <cellStyle name="Normal 2 71" xfId="1288"/>
    <cellStyle name="Normal 2 72" xfId="1289"/>
    <cellStyle name="Normal 2 73" xfId="1290"/>
    <cellStyle name="Normal 2 74" xfId="1291"/>
    <cellStyle name="Normal 2 75" xfId="1292"/>
    <cellStyle name="Normal 2 76" xfId="1293"/>
    <cellStyle name="Normal 2 77" xfId="1294"/>
    <cellStyle name="Normal 2 78" xfId="1295"/>
    <cellStyle name="Normal 2 79" xfId="1296"/>
    <cellStyle name="Normal 2 8" xfId="1297"/>
    <cellStyle name="Normal 2 8 10" xfId="1298"/>
    <cellStyle name="Normal 2 8 11" xfId="1299"/>
    <cellStyle name="Normal 2 8 12" xfId="1300"/>
    <cellStyle name="Normal 2 8 13" xfId="1301"/>
    <cellStyle name="Normal 2 8 14" xfId="1302"/>
    <cellStyle name="Normal 2 8 15" xfId="1303"/>
    <cellStyle name="Normal 2 8 16" xfId="1304"/>
    <cellStyle name="Normal 2 8 17" xfId="1305"/>
    <cellStyle name="Normal 2 8 18" xfId="1306"/>
    <cellStyle name="Normal 2 8 19" xfId="1307"/>
    <cellStyle name="Normal 2 8 2" xfId="1308"/>
    <cellStyle name="Normal 2 8 20" xfId="1309"/>
    <cellStyle name="Normal 2 8 21" xfId="1310"/>
    <cellStyle name="Normal 2 8 22" xfId="1311"/>
    <cellStyle name="Normal 2 8 23" xfId="1312"/>
    <cellStyle name="Normal 2 8 3" xfId="1313"/>
    <cellStyle name="Normal 2 8 4" xfId="1314"/>
    <cellStyle name="Normal 2 8 5" xfId="1315"/>
    <cellStyle name="Normal 2 8 6" xfId="1316"/>
    <cellStyle name="Normal 2 8 7" xfId="1317"/>
    <cellStyle name="Normal 2 8 8" xfId="1318"/>
    <cellStyle name="Normal 2 8 9" xfId="1319"/>
    <cellStyle name="Normal 2 80" xfId="1320"/>
    <cellStyle name="Normal 2 81" xfId="1321"/>
    <cellStyle name="Normal 2 82" xfId="1322"/>
    <cellStyle name="Normal 2 83" xfId="1323"/>
    <cellStyle name="Normal 2 84" xfId="1324"/>
    <cellStyle name="Normal 2 85" xfId="1325"/>
    <cellStyle name="Normal 2 86" xfId="1326"/>
    <cellStyle name="Normal 2 87" xfId="1327"/>
    <cellStyle name="Normal 2 88" xfId="1328"/>
    <cellStyle name="Normal 2 89" xfId="1329"/>
    <cellStyle name="Normal 2 9" xfId="1330"/>
    <cellStyle name="Normal 2 9 10" xfId="1331"/>
    <cellStyle name="Normal 2 9 11" xfId="1332"/>
    <cellStyle name="Normal 2 9 12" xfId="1333"/>
    <cellStyle name="Normal 2 9 13" xfId="1334"/>
    <cellStyle name="Normal 2 9 14" xfId="1335"/>
    <cellStyle name="Normal 2 9 15" xfId="1336"/>
    <cellStyle name="Normal 2 9 16" xfId="1337"/>
    <cellStyle name="Normal 2 9 17" xfId="1338"/>
    <cellStyle name="Normal 2 9 18" xfId="1339"/>
    <cellStyle name="Normal 2 9 19" xfId="1340"/>
    <cellStyle name="Normal 2 9 2" xfId="1341"/>
    <cellStyle name="Normal 2 9 20" xfId="1342"/>
    <cellStyle name="Normal 2 9 21" xfId="1343"/>
    <cellStyle name="Normal 2 9 22" xfId="1344"/>
    <cellStyle name="Normal 2 9 23" xfId="1345"/>
    <cellStyle name="Normal 2 9 3" xfId="1346"/>
    <cellStyle name="Normal 2 9 4" xfId="1347"/>
    <cellStyle name="Normal 2 9 5" xfId="1348"/>
    <cellStyle name="Normal 2 9 6" xfId="1349"/>
    <cellStyle name="Normal 2 9 7" xfId="1350"/>
    <cellStyle name="Normal 2 9 8" xfId="1351"/>
    <cellStyle name="Normal 2 9 9" xfId="1352"/>
    <cellStyle name="Normal 2 90" xfId="1353"/>
    <cellStyle name="Normal 2 91" xfId="1354"/>
    <cellStyle name="Normal 2 92" xfId="1355"/>
    <cellStyle name="Normal 2 93" xfId="1356"/>
    <cellStyle name="Normal 2_DEER 032008 Cost Summary Delivery - Rev 4 (2)" xfId="1357"/>
    <cellStyle name="Normal 20" xfId="1358"/>
    <cellStyle name="Normal 24" xfId="1359"/>
    <cellStyle name="Normal 3" xfId="1360"/>
    <cellStyle name="Normal 3 10" xfId="1361"/>
    <cellStyle name="Normal 3 10 10" xfId="1362"/>
    <cellStyle name="Normal 3 10 11" xfId="1363"/>
    <cellStyle name="Normal 3 10 12" xfId="1364"/>
    <cellStyle name="Normal 3 10 13" xfId="1365"/>
    <cellStyle name="Normal 3 10 14" xfId="1366"/>
    <cellStyle name="Normal 3 10 15" xfId="1367"/>
    <cellStyle name="Normal 3 10 16" xfId="1368"/>
    <cellStyle name="Normal 3 10 17" xfId="1369"/>
    <cellStyle name="Normal 3 10 18" xfId="1370"/>
    <cellStyle name="Normal 3 10 19" xfId="1371"/>
    <cellStyle name="Normal 3 10 2" xfId="1372"/>
    <cellStyle name="Normal 3 10 20" xfId="1373"/>
    <cellStyle name="Normal 3 10 21" xfId="1374"/>
    <cellStyle name="Normal 3 10 22" xfId="1375"/>
    <cellStyle name="Normal 3 10 23" xfId="1376"/>
    <cellStyle name="Normal 3 10 3" xfId="1377"/>
    <cellStyle name="Normal 3 10 4" xfId="1378"/>
    <cellStyle name="Normal 3 10 5" xfId="1379"/>
    <cellStyle name="Normal 3 10 6" xfId="1380"/>
    <cellStyle name="Normal 3 10 7" xfId="1381"/>
    <cellStyle name="Normal 3 10 8" xfId="1382"/>
    <cellStyle name="Normal 3 10 9" xfId="1383"/>
    <cellStyle name="Normal 3 11" xfId="1384"/>
    <cellStyle name="Normal 3 11 10" xfId="1385"/>
    <cellStyle name="Normal 3 11 11" xfId="1386"/>
    <cellStyle name="Normal 3 11 12" xfId="1387"/>
    <cellStyle name="Normal 3 11 13" xfId="1388"/>
    <cellStyle name="Normal 3 11 14" xfId="1389"/>
    <cellStyle name="Normal 3 11 15" xfId="1390"/>
    <cellStyle name="Normal 3 11 16" xfId="1391"/>
    <cellStyle name="Normal 3 11 17" xfId="1392"/>
    <cellStyle name="Normal 3 11 18" xfId="1393"/>
    <cellStyle name="Normal 3 11 19" xfId="1394"/>
    <cellStyle name="Normal 3 11 2" xfId="1395"/>
    <cellStyle name="Normal 3 11 20" xfId="1396"/>
    <cellStyle name="Normal 3 11 21" xfId="1397"/>
    <cellStyle name="Normal 3 11 22" xfId="1398"/>
    <cellStyle name="Normal 3 11 23" xfId="1399"/>
    <cellStyle name="Normal 3 11 3" xfId="1400"/>
    <cellStyle name="Normal 3 11 4" xfId="1401"/>
    <cellStyle name="Normal 3 11 5" xfId="1402"/>
    <cellStyle name="Normal 3 11 6" xfId="1403"/>
    <cellStyle name="Normal 3 11 7" xfId="1404"/>
    <cellStyle name="Normal 3 11 8" xfId="1405"/>
    <cellStyle name="Normal 3 11 9" xfId="1406"/>
    <cellStyle name="Normal 3 12" xfId="1407"/>
    <cellStyle name="Normal 3 12 10" xfId="1408"/>
    <cellStyle name="Normal 3 12 11" xfId="1409"/>
    <cellStyle name="Normal 3 12 12" xfId="1410"/>
    <cellStyle name="Normal 3 12 13" xfId="1411"/>
    <cellStyle name="Normal 3 12 14" xfId="1412"/>
    <cellStyle name="Normal 3 12 15" xfId="1413"/>
    <cellStyle name="Normal 3 12 16" xfId="1414"/>
    <cellStyle name="Normal 3 12 17" xfId="1415"/>
    <cellStyle name="Normal 3 12 18" xfId="1416"/>
    <cellStyle name="Normal 3 12 19" xfId="1417"/>
    <cellStyle name="Normal 3 12 2" xfId="1418"/>
    <cellStyle name="Normal 3 12 20" xfId="1419"/>
    <cellStyle name="Normal 3 12 21" xfId="1420"/>
    <cellStyle name="Normal 3 12 22" xfId="1421"/>
    <cellStyle name="Normal 3 12 23" xfId="1422"/>
    <cellStyle name="Normal 3 12 3" xfId="1423"/>
    <cellStyle name="Normal 3 12 4" xfId="1424"/>
    <cellStyle name="Normal 3 12 5" xfId="1425"/>
    <cellStyle name="Normal 3 12 6" xfId="1426"/>
    <cellStyle name="Normal 3 12 7" xfId="1427"/>
    <cellStyle name="Normal 3 12 8" xfId="1428"/>
    <cellStyle name="Normal 3 12 9" xfId="1429"/>
    <cellStyle name="Normal 3 13" xfId="1430"/>
    <cellStyle name="Normal 3 13 10" xfId="1431"/>
    <cellStyle name="Normal 3 13 11" xfId="1432"/>
    <cellStyle name="Normal 3 13 12" xfId="1433"/>
    <cellStyle name="Normal 3 13 13" xfId="1434"/>
    <cellStyle name="Normal 3 13 14" xfId="1435"/>
    <cellStyle name="Normal 3 13 15" xfId="1436"/>
    <cellStyle name="Normal 3 13 16" xfId="1437"/>
    <cellStyle name="Normal 3 13 17" xfId="1438"/>
    <cellStyle name="Normal 3 13 18" xfId="1439"/>
    <cellStyle name="Normal 3 13 19" xfId="1440"/>
    <cellStyle name="Normal 3 13 2" xfId="1441"/>
    <cellStyle name="Normal 3 13 20" xfId="1442"/>
    <cellStyle name="Normal 3 13 21" xfId="1443"/>
    <cellStyle name="Normal 3 13 22" xfId="1444"/>
    <cellStyle name="Normal 3 13 23" xfId="1445"/>
    <cellStyle name="Normal 3 13 3" xfId="1446"/>
    <cellStyle name="Normal 3 13 4" xfId="1447"/>
    <cellStyle name="Normal 3 13 5" xfId="1448"/>
    <cellStyle name="Normal 3 13 6" xfId="1449"/>
    <cellStyle name="Normal 3 13 7" xfId="1450"/>
    <cellStyle name="Normal 3 13 8" xfId="1451"/>
    <cellStyle name="Normal 3 13 9" xfId="1452"/>
    <cellStyle name="Normal 3 14" xfId="1453"/>
    <cellStyle name="Normal 3 14 10" xfId="1454"/>
    <cellStyle name="Normal 3 14 11" xfId="1455"/>
    <cellStyle name="Normal 3 14 12" xfId="1456"/>
    <cellStyle name="Normal 3 14 13" xfId="1457"/>
    <cellStyle name="Normal 3 14 14" xfId="1458"/>
    <cellStyle name="Normal 3 14 15" xfId="1459"/>
    <cellStyle name="Normal 3 14 16" xfId="1460"/>
    <cellStyle name="Normal 3 14 17" xfId="1461"/>
    <cellStyle name="Normal 3 14 18" xfId="1462"/>
    <cellStyle name="Normal 3 14 19" xfId="1463"/>
    <cellStyle name="Normal 3 14 2" xfId="1464"/>
    <cellStyle name="Normal 3 14 20" xfId="1465"/>
    <cellStyle name="Normal 3 14 21" xfId="1466"/>
    <cellStyle name="Normal 3 14 22" xfId="1467"/>
    <cellStyle name="Normal 3 14 23" xfId="1468"/>
    <cellStyle name="Normal 3 14 3" xfId="1469"/>
    <cellStyle name="Normal 3 14 4" xfId="1470"/>
    <cellStyle name="Normal 3 14 5" xfId="1471"/>
    <cellStyle name="Normal 3 14 6" xfId="1472"/>
    <cellStyle name="Normal 3 14 7" xfId="1473"/>
    <cellStyle name="Normal 3 14 8" xfId="1474"/>
    <cellStyle name="Normal 3 14 9" xfId="1475"/>
    <cellStyle name="Normal 3 15" xfId="1476"/>
    <cellStyle name="Normal 3 15 10" xfId="1477"/>
    <cellStyle name="Normal 3 15 11" xfId="1478"/>
    <cellStyle name="Normal 3 15 12" xfId="1479"/>
    <cellStyle name="Normal 3 15 13" xfId="1480"/>
    <cellStyle name="Normal 3 15 14" xfId="1481"/>
    <cellStyle name="Normal 3 15 15" xfId="1482"/>
    <cellStyle name="Normal 3 15 16" xfId="1483"/>
    <cellStyle name="Normal 3 15 17" xfId="1484"/>
    <cellStyle name="Normal 3 15 18" xfId="1485"/>
    <cellStyle name="Normal 3 15 19" xfId="1486"/>
    <cellStyle name="Normal 3 15 2" xfId="1487"/>
    <cellStyle name="Normal 3 15 20" xfId="1488"/>
    <cellStyle name="Normal 3 15 21" xfId="1489"/>
    <cellStyle name="Normal 3 15 22" xfId="1490"/>
    <cellStyle name="Normal 3 15 23" xfId="1491"/>
    <cellStyle name="Normal 3 15 3" xfId="1492"/>
    <cellStyle name="Normal 3 15 4" xfId="1493"/>
    <cellStyle name="Normal 3 15 5" xfId="1494"/>
    <cellStyle name="Normal 3 15 6" xfId="1495"/>
    <cellStyle name="Normal 3 15 7" xfId="1496"/>
    <cellStyle name="Normal 3 15 8" xfId="1497"/>
    <cellStyle name="Normal 3 15 9" xfId="1498"/>
    <cellStyle name="Normal 3 16" xfId="1499"/>
    <cellStyle name="Normal 3 16 10" xfId="1500"/>
    <cellStyle name="Normal 3 16 11" xfId="1501"/>
    <cellStyle name="Normal 3 16 12" xfId="1502"/>
    <cellStyle name="Normal 3 16 13" xfId="1503"/>
    <cellStyle name="Normal 3 16 14" xfId="1504"/>
    <cellStyle name="Normal 3 16 15" xfId="1505"/>
    <cellStyle name="Normal 3 16 16" xfId="1506"/>
    <cellStyle name="Normal 3 16 17" xfId="1507"/>
    <cellStyle name="Normal 3 16 18" xfId="1508"/>
    <cellStyle name="Normal 3 16 19" xfId="1509"/>
    <cellStyle name="Normal 3 16 2" xfId="1510"/>
    <cellStyle name="Normal 3 16 20" xfId="1511"/>
    <cellStyle name="Normal 3 16 21" xfId="1512"/>
    <cellStyle name="Normal 3 16 22" xfId="1513"/>
    <cellStyle name="Normal 3 16 23" xfId="1514"/>
    <cellStyle name="Normal 3 16 3" xfId="1515"/>
    <cellStyle name="Normal 3 16 4" xfId="1516"/>
    <cellStyle name="Normal 3 16 5" xfId="1517"/>
    <cellStyle name="Normal 3 16 6" xfId="1518"/>
    <cellStyle name="Normal 3 16 7" xfId="1519"/>
    <cellStyle name="Normal 3 16 8" xfId="1520"/>
    <cellStyle name="Normal 3 16 9" xfId="1521"/>
    <cellStyle name="Normal 3 17" xfId="1522"/>
    <cellStyle name="Normal 3 17 10" xfId="1523"/>
    <cellStyle name="Normal 3 17 11" xfId="1524"/>
    <cellStyle name="Normal 3 17 12" xfId="1525"/>
    <cellStyle name="Normal 3 17 13" xfId="1526"/>
    <cellStyle name="Normal 3 17 14" xfId="1527"/>
    <cellStyle name="Normal 3 17 15" xfId="1528"/>
    <cellStyle name="Normal 3 17 16" xfId="1529"/>
    <cellStyle name="Normal 3 17 17" xfId="1530"/>
    <cellStyle name="Normal 3 17 18" xfId="1531"/>
    <cellStyle name="Normal 3 17 19" xfId="1532"/>
    <cellStyle name="Normal 3 17 2" xfId="1533"/>
    <cellStyle name="Normal 3 17 20" xfId="1534"/>
    <cellStyle name="Normal 3 17 21" xfId="1535"/>
    <cellStyle name="Normal 3 17 22" xfId="1536"/>
    <cellStyle name="Normal 3 17 23" xfId="1537"/>
    <cellStyle name="Normal 3 17 3" xfId="1538"/>
    <cellStyle name="Normal 3 17 4" xfId="1539"/>
    <cellStyle name="Normal 3 17 5" xfId="1540"/>
    <cellStyle name="Normal 3 17 6" xfId="1541"/>
    <cellStyle name="Normal 3 17 7" xfId="1542"/>
    <cellStyle name="Normal 3 17 8" xfId="1543"/>
    <cellStyle name="Normal 3 17 9" xfId="1544"/>
    <cellStyle name="Normal 3 18" xfId="1545"/>
    <cellStyle name="Normal 3 18 10" xfId="1546"/>
    <cellStyle name="Normal 3 18 11" xfId="1547"/>
    <cellStyle name="Normal 3 18 12" xfId="1548"/>
    <cellStyle name="Normal 3 18 13" xfId="1549"/>
    <cellStyle name="Normal 3 18 14" xfId="1550"/>
    <cellStyle name="Normal 3 18 15" xfId="1551"/>
    <cellStyle name="Normal 3 18 16" xfId="1552"/>
    <cellStyle name="Normal 3 18 17" xfId="1553"/>
    <cellStyle name="Normal 3 18 18" xfId="1554"/>
    <cellStyle name="Normal 3 18 19" xfId="1555"/>
    <cellStyle name="Normal 3 18 2" xfId="1556"/>
    <cellStyle name="Normal 3 18 20" xfId="1557"/>
    <cellStyle name="Normal 3 18 21" xfId="1558"/>
    <cellStyle name="Normal 3 18 22" xfId="1559"/>
    <cellStyle name="Normal 3 18 23" xfId="1560"/>
    <cellStyle name="Normal 3 18 3" xfId="1561"/>
    <cellStyle name="Normal 3 18 4" xfId="1562"/>
    <cellStyle name="Normal 3 18 5" xfId="1563"/>
    <cellStyle name="Normal 3 18 6" xfId="1564"/>
    <cellStyle name="Normal 3 18 7" xfId="1565"/>
    <cellStyle name="Normal 3 18 8" xfId="1566"/>
    <cellStyle name="Normal 3 18 9" xfId="1567"/>
    <cellStyle name="Normal 3 19" xfId="1568"/>
    <cellStyle name="Normal 3 19 10" xfId="1569"/>
    <cellStyle name="Normal 3 19 11" xfId="1570"/>
    <cellStyle name="Normal 3 19 12" xfId="1571"/>
    <cellStyle name="Normal 3 19 13" xfId="1572"/>
    <cellStyle name="Normal 3 19 14" xfId="1573"/>
    <cellStyle name="Normal 3 19 15" xfId="1574"/>
    <cellStyle name="Normal 3 19 16" xfId="1575"/>
    <cellStyle name="Normal 3 19 17" xfId="1576"/>
    <cellStyle name="Normal 3 19 18" xfId="1577"/>
    <cellStyle name="Normal 3 19 19" xfId="1578"/>
    <cellStyle name="Normal 3 19 2" xfId="1579"/>
    <cellStyle name="Normal 3 19 20" xfId="1580"/>
    <cellStyle name="Normal 3 19 21" xfId="1581"/>
    <cellStyle name="Normal 3 19 22" xfId="1582"/>
    <cellStyle name="Normal 3 19 23" xfId="1583"/>
    <cellStyle name="Normal 3 19 3" xfId="1584"/>
    <cellStyle name="Normal 3 19 4" xfId="1585"/>
    <cellStyle name="Normal 3 19 5" xfId="1586"/>
    <cellStyle name="Normal 3 19 6" xfId="1587"/>
    <cellStyle name="Normal 3 19 7" xfId="1588"/>
    <cellStyle name="Normal 3 19 8" xfId="1589"/>
    <cellStyle name="Normal 3 19 9" xfId="1590"/>
    <cellStyle name="Normal 3 2" xfId="1591"/>
    <cellStyle name="Normal 3 2 10" xfId="1592"/>
    <cellStyle name="Normal 3 2 11" xfId="1593"/>
    <cellStyle name="Normal 3 2 12" xfId="1594"/>
    <cellStyle name="Normal 3 2 13" xfId="1595"/>
    <cellStyle name="Normal 3 2 14" xfId="1596"/>
    <cellStyle name="Normal 3 2 15" xfId="1597"/>
    <cellStyle name="Normal 3 2 16" xfId="1598"/>
    <cellStyle name="Normal 3 2 17" xfId="1599"/>
    <cellStyle name="Normal 3 2 18" xfId="1600"/>
    <cellStyle name="Normal 3 2 19" xfId="1601"/>
    <cellStyle name="Normal 3 2 2" xfId="1602"/>
    <cellStyle name="Normal 3 2 2 10" xfId="1603"/>
    <cellStyle name="Normal 3 2 2 11" xfId="1604"/>
    <cellStyle name="Normal 3 2 2 12" xfId="1605"/>
    <cellStyle name="Normal 3 2 2 13" xfId="1606"/>
    <cellStyle name="Normal 3 2 2 14" xfId="1607"/>
    <cellStyle name="Normal 3 2 2 15" xfId="1608"/>
    <cellStyle name="Normal 3 2 2 16" xfId="1609"/>
    <cellStyle name="Normal 3 2 2 17" xfId="1610"/>
    <cellStyle name="Normal 3 2 2 18" xfId="1611"/>
    <cellStyle name="Normal 3 2 2 19" xfId="1612"/>
    <cellStyle name="Normal 3 2 2 2" xfId="1613"/>
    <cellStyle name="Normal 3 2 2 20" xfId="1614"/>
    <cellStyle name="Normal 3 2 2 21" xfId="1615"/>
    <cellStyle name="Normal 3 2 2 22" xfId="1616"/>
    <cellStyle name="Normal 3 2 2 23" xfId="1617"/>
    <cellStyle name="Normal 3 2 2 24" xfId="1618"/>
    <cellStyle name="Normal 3 2 2 25" xfId="1619"/>
    <cellStyle name="Normal 3 2 2 26" xfId="1620"/>
    <cellStyle name="Normal 3 2 2 27" xfId="1621"/>
    <cellStyle name="Normal 3 2 2 28" xfId="1622"/>
    <cellStyle name="Normal 3 2 2 29" xfId="1623"/>
    <cellStyle name="Normal 3 2 2 3" xfId="1624"/>
    <cellStyle name="Normal 3 2 2 30" xfId="1625"/>
    <cellStyle name="Normal 3 2 2 31" xfId="1626"/>
    <cellStyle name="Normal 3 2 2 32" xfId="1627"/>
    <cellStyle name="Normal 3 2 2 33" xfId="1628"/>
    <cellStyle name="Normal 3 2 2 4" xfId="1629"/>
    <cellStyle name="Normal 3 2 2 5" xfId="1630"/>
    <cellStyle name="Normal 3 2 2 6" xfId="1631"/>
    <cellStyle name="Normal 3 2 2 7" xfId="1632"/>
    <cellStyle name="Normal 3 2 2 8" xfId="1633"/>
    <cellStyle name="Normal 3 2 2 9" xfId="1634"/>
    <cellStyle name="Normal 3 2 20" xfId="1635"/>
    <cellStyle name="Normal 3 2 21" xfId="1636"/>
    <cellStyle name="Normal 3 2 22" xfId="1637"/>
    <cellStyle name="Normal 3 2 23" xfId="1638"/>
    <cellStyle name="Normal 3 2 24" xfId="1639"/>
    <cellStyle name="Normal 3 2 25" xfId="1640"/>
    <cellStyle name="Normal 3 2 26" xfId="1641"/>
    <cellStyle name="Normal 3 2 27" xfId="1642"/>
    <cellStyle name="Normal 3 2 28" xfId="1643"/>
    <cellStyle name="Normal 3 2 29" xfId="1644"/>
    <cellStyle name="Normal 3 2 3" xfId="1645"/>
    <cellStyle name="Normal 3 2 30" xfId="1646"/>
    <cellStyle name="Normal 3 2 31" xfId="1647"/>
    <cellStyle name="Normal 3 2 32" xfId="1648"/>
    <cellStyle name="Normal 3 2 33" xfId="1649"/>
    <cellStyle name="Normal 3 2 34" xfId="1650"/>
    <cellStyle name="Normal 3 2 35" xfId="1651"/>
    <cellStyle name="Normal 3 2 36" xfId="1652"/>
    <cellStyle name="Normal 3 2 37" xfId="1653"/>
    <cellStyle name="Normal 3 2 38" xfId="1654"/>
    <cellStyle name="Normal 3 2 39" xfId="1655"/>
    <cellStyle name="Normal 3 2 4" xfId="1656"/>
    <cellStyle name="Normal 3 2 40" xfId="1657"/>
    <cellStyle name="Normal 3 2 41" xfId="1658"/>
    <cellStyle name="Normal 3 2 42" xfId="1659"/>
    <cellStyle name="Normal 3 2 43" xfId="1660"/>
    <cellStyle name="Normal 3 2 44" xfId="1661"/>
    <cellStyle name="Normal 3 2 45" xfId="1662"/>
    <cellStyle name="Normal 3 2 46" xfId="1663"/>
    <cellStyle name="Normal 3 2 47" xfId="1664"/>
    <cellStyle name="Normal 3 2 48" xfId="1665"/>
    <cellStyle name="Normal 3 2 49" xfId="1666"/>
    <cellStyle name="Normal 3 2 5" xfId="1667"/>
    <cellStyle name="Normal 3 2 50" xfId="1668"/>
    <cellStyle name="Normal 3 2 51" xfId="1669"/>
    <cellStyle name="Normal 3 2 52" xfId="1670"/>
    <cellStyle name="Normal 3 2 53" xfId="1671"/>
    <cellStyle name="Normal 3 2 54" xfId="1672"/>
    <cellStyle name="Normal 3 2 55" xfId="1673"/>
    <cellStyle name="Normal 3 2 56" xfId="1674"/>
    <cellStyle name="Normal 3 2 6" xfId="1675"/>
    <cellStyle name="Normal 3 2 7" xfId="1676"/>
    <cellStyle name="Normal 3 2 8" xfId="1677"/>
    <cellStyle name="Normal 3 2 9" xfId="1678"/>
    <cellStyle name="Normal 3 20" xfId="1679"/>
    <cellStyle name="Normal 3 20 10" xfId="1680"/>
    <cellStyle name="Normal 3 20 11" xfId="1681"/>
    <cellStyle name="Normal 3 20 12" xfId="1682"/>
    <cellStyle name="Normal 3 20 13" xfId="1683"/>
    <cellStyle name="Normal 3 20 14" xfId="1684"/>
    <cellStyle name="Normal 3 20 15" xfId="1685"/>
    <cellStyle name="Normal 3 20 16" xfId="1686"/>
    <cellStyle name="Normal 3 20 17" xfId="1687"/>
    <cellStyle name="Normal 3 20 18" xfId="1688"/>
    <cellStyle name="Normal 3 20 19" xfId="1689"/>
    <cellStyle name="Normal 3 20 2" xfId="1690"/>
    <cellStyle name="Normal 3 20 20" xfId="1691"/>
    <cellStyle name="Normal 3 20 21" xfId="1692"/>
    <cellStyle name="Normal 3 20 22" xfId="1693"/>
    <cellStyle name="Normal 3 20 23" xfId="1694"/>
    <cellStyle name="Normal 3 20 3" xfId="1695"/>
    <cellStyle name="Normal 3 20 4" xfId="1696"/>
    <cellStyle name="Normal 3 20 5" xfId="1697"/>
    <cellStyle name="Normal 3 20 6" xfId="1698"/>
    <cellStyle name="Normal 3 20 7" xfId="1699"/>
    <cellStyle name="Normal 3 20 8" xfId="1700"/>
    <cellStyle name="Normal 3 20 9" xfId="1701"/>
    <cellStyle name="Normal 3 21" xfId="1702"/>
    <cellStyle name="Normal 3 21 10" xfId="1703"/>
    <cellStyle name="Normal 3 21 11" xfId="1704"/>
    <cellStyle name="Normal 3 21 12" xfId="1705"/>
    <cellStyle name="Normal 3 21 13" xfId="1706"/>
    <cellStyle name="Normal 3 21 14" xfId="1707"/>
    <cellStyle name="Normal 3 21 15" xfId="1708"/>
    <cellStyle name="Normal 3 21 16" xfId="1709"/>
    <cellStyle name="Normal 3 21 17" xfId="1710"/>
    <cellStyle name="Normal 3 21 18" xfId="1711"/>
    <cellStyle name="Normal 3 21 19" xfId="1712"/>
    <cellStyle name="Normal 3 21 2" xfId="1713"/>
    <cellStyle name="Normal 3 21 20" xfId="1714"/>
    <cellStyle name="Normal 3 21 21" xfId="1715"/>
    <cellStyle name="Normal 3 21 22" xfId="1716"/>
    <cellStyle name="Normal 3 21 23" xfId="1717"/>
    <cellStyle name="Normal 3 21 3" xfId="1718"/>
    <cellStyle name="Normal 3 21 4" xfId="1719"/>
    <cellStyle name="Normal 3 21 5" xfId="1720"/>
    <cellStyle name="Normal 3 21 6" xfId="1721"/>
    <cellStyle name="Normal 3 21 7" xfId="1722"/>
    <cellStyle name="Normal 3 21 8" xfId="1723"/>
    <cellStyle name="Normal 3 21 9" xfId="1724"/>
    <cellStyle name="Normal 3 22" xfId="1725"/>
    <cellStyle name="Normal 3 22 10" xfId="1726"/>
    <cellStyle name="Normal 3 22 11" xfId="1727"/>
    <cellStyle name="Normal 3 22 12" xfId="1728"/>
    <cellStyle name="Normal 3 22 13" xfId="1729"/>
    <cellStyle name="Normal 3 22 14" xfId="1730"/>
    <cellStyle name="Normal 3 22 15" xfId="1731"/>
    <cellStyle name="Normal 3 22 16" xfId="1732"/>
    <cellStyle name="Normal 3 22 17" xfId="1733"/>
    <cellStyle name="Normal 3 22 18" xfId="1734"/>
    <cellStyle name="Normal 3 22 19" xfId="1735"/>
    <cellStyle name="Normal 3 22 2" xfId="1736"/>
    <cellStyle name="Normal 3 22 20" xfId="1737"/>
    <cellStyle name="Normal 3 22 21" xfId="1738"/>
    <cellStyle name="Normal 3 22 22" xfId="1739"/>
    <cellStyle name="Normal 3 22 23" xfId="1740"/>
    <cellStyle name="Normal 3 22 3" xfId="1741"/>
    <cellStyle name="Normal 3 22 4" xfId="1742"/>
    <cellStyle name="Normal 3 22 5" xfId="1743"/>
    <cellStyle name="Normal 3 22 6" xfId="1744"/>
    <cellStyle name="Normal 3 22 7" xfId="1745"/>
    <cellStyle name="Normal 3 22 8" xfId="1746"/>
    <cellStyle name="Normal 3 22 9" xfId="1747"/>
    <cellStyle name="Normal 3 23" xfId="1748"/>
    <cellStyle name="Normal 3 23 10" xfId="1749"/>
    <cellStyle name="Normal 3 23 11" xfId="1750"/>
    <cellStyle name="Normal 3 23 12" xfId="1751"/>
    <cellStyle name="Normal 3 23 13" xfId="1752"/>
    <cellStyle name="Normal 3 23 14" xfId="1753"/>
    <cellStyle name="Normal 3 23 15" xfId="1754"/>
    <cellStyle name="Normal 3 23 16" xfId="1755"/>
    <cellStyle name="Normal 3 23 17" xfId="1756"/>
    <cellStyle name="Normal 3 23 18" xfId="1757"/>
    <cellStyle name="Normal 3 23 19" xfId="1758"/>
    <cellStyle name="Normal 3 23 2" xfId="1759"/>
    <cellStyle name="Normal 3 23 20" xfId="1760"/>
    <cellStyle name="Normal 3 23 21" xfId="1761"/>
    <cellStyle name="Normal 3 23 22" xfId="1762"/>
    <cellStyle name="Normal 3 23 23" xfId="1763"/>
    <cellStyle name="Normal 3 23 3" xfId="1764"/>
    <cellStyle name="Normal 3 23 4" xfId="1765"/>
    <cellStyle name="Normal 3 23 5" xfId="1766"/>
    <cellStyle name="Normal 3 23 6" xfId="1767"/>
    <cellStyle name="Normal 3 23 7" xfId="1768"/>
    <cellStyle name="Normal 3 23 8" xfId="1769"/>
    <cellStyle name="Normal 3 23 9" xfId="1770"/>
    <cellStyle name="Normal 3 24" xfId="1771"/>
    <cellStyle name="Normal 3 24 10" xfId="1772"/>
    <cellStyle name="Normal 3 24 11" xfId="1773"/>
    <cellStyle name="Normal 3 24 12" xfId="1774"/>
    <cellStyle name="Normal 3 24 13" xfId="1775"/>
    <cellStyle name="Normal 3 24 14" xfId="1776"/>
    <cellStyle name="Normal 3 24 15" xfId="1777"/>
    <cellStyle name="Normal 3 24 16" xfId="1778"/>
    <cellStyle name="Normal 3 24 17" xfId="1779"/>
    <cellStyle name="Normal 3 24 18" xfId="1780"/>
    <cellStyle name="Normal 3 24 19" xfId="1781"/>
    <cellStyle name="Normal 3 24 2" xfId="1782"/>
    <cellStyle name="Normal 3 24 20" xfId="1783"/>
    <cellStyle name="Normal 3 24 21" xfId="1784"/>
    <cellStyle name="Normal 3 24 22" xfId="1785"/>
    <cellStyle name="Normal 3 24 23" xfId="1786"/>
    <cellStyle name="Normal 3 24 3" xfId="1787"/>
    <cellStyle name="Normal 3 24 4" xfId="1788"/>
    <cellStyle name="Normal 3 24 5" xfId="1789"/>
    <cellStyle name="Normal 3 24 6" xfId="1790"/>
    <cellStyle name="Normal 3 24 7" xfId="1791"/>
    <cellStyle name="Normal 3 24 8" xfId="1792"/>
    <cellStyle name="Normal 3 24 9" xfId="1793"/>
    <cellStyle name="Normal 3 25" xfId="1794"/>
    <cellStyle name="Normal 3 25 10" xfId="1795"/>
    <cellStyle name="Normal 3 25 11" xfId="1796"/>
    <cellStyle name="Normal 3 25 12" xfId="1797"/>
    <cellStyle name="Normal 3 25 13" xfId="1798"/>
    <cellStyle name="Normal 3 25 14" xfId="1799"/>
    <cellStyle name="Normal 3 25 15" xfId="1800"/>
    <cellStyle name="Normal 3 25 16" xfId="1801"/>
    <cellStyle name="Normal 3 25 17" xfId="1802"/>
    <cellStyle name="Normal 3 25 18" xfId="1803"/>
    <cellStyle name="Normal 3 25 19" xfId="1804"/>
    <cellStyle name="Normal 3 25 2" xfId="1805"/>
    <cellStyle name="Normal 3 25 20" xfId="1806"/>
    <cellStyle name="Normal 3 25 21" xfId="1807"/>
    <cellStyle name="Normal 3 25 22" xfId="1808"/>
    <cellStyle name="Normal 3 25 23" xfId="1809"/>
    <cellStyle name="Normal 3 25 3" xfId="1810"/>
    <cellStyle name="Normal 3 25 4" xfId="1811"/>
    <cellStyle name="Normal 3 25 5" xfId="1812"/>
    <cellStyle name="Normal 3 25 6" xfId="1813"/>
    <cellStyle name="Normal 3 25 7" xfId="1814"/>
    <cellStyle name="Normal 3 25 8" xfId="1815"/>
    <cellStyle name="Normal 3 25 9" xfId="1816"/>
    <cellStyle name="Normal 3 26" xfId="1817"/>
    <cellStyle name="Normal 3 26 10" xfId="1818"/>
    <cellStyle name="Normal 3 26 11" xfId="1819"/>
    <cellStyle name="Normal 3 26 12" xfId="1820"/>
    <cellStyle name="Normal 3 26 13" xfId="1821"/>
    <cellStyle name="Normal 3 26 14" xfId="1822"/>
    <cellStyle name="Normal 3 26 15" xfId="1823"/>
    <cellStyle name="Normal 3 26 16" xfId="1824"/>
    <cellStyle name="Normal 3 26 17" xfId="1825"/>
    <cellStyle name="Normal 3 26 18" xfId="1826"/>
    <cellStyle name="Normal 3 26 19" xfId="1827"/>
    <cellStyle name="Normal 3 26 2" xfId="1828"/>
    <cellStyle name="Normal 3 26 20" xfId="1829"/>
    <cellStyle name="Normal 3 26 21" xfId="1830"/>
    <cellStyle name="Normal 3 26 22" xfId="1831"/>
    <cellStyle name="Normal 3 26 23" xfId="1832"/>
    <cellStyle name="Normal 3 26 3" xfId="1833"/>
    <cellStyle name="Normal 3 26 4" xfId="1834"/>
    <cellStyle name="Normal 3 26 5" xfId="1835"/>
    <cellStyle name="Normal 3 26 6" xfId="1836"/>
    <cellStyle name="Normal 3 26 7" xfId="1837"/>
    <cellStyle name="Normal 3 26 8" xfId="1838"/>
    <cellStyle name="Normal 3 26 9" xfId="1839"/>
    <cellStyle name="Normal 3 27" xfId="1840"/>
    <cellStyle name="Normal 3 27 10" xfId="1841"/>
    <cellStyle name="Normal 3 27 11" xfId="1842"/>
    <cellStyle name="Normal 3 27 12" xfId="1843"/>
    <cellStyle name="Normal 3 27 13" xfId="1844"/>
    <cellStyle name="Normal 3 27 14" xfId="1845"/>
    <cellStyle name="Normal 3 27 15" xfId="1846"/>
    <cellStyle name="Normal 3 27 16" xfId="1847"/>
    <cellStyle name="Normal 3 27 17" xfId="1848"/>
    <cellStyle name="Normal 3 27 18" xfId="1849"/>
    <cellStyle name="Normal 3 27 19" xfId="1850"/>
    <cellStyle name="Normal 3 27 2" xfId="1851"/>
    <cellStyle name="Normal 3 27 20" xfId="1852"/>
    <cellStyle name="Normal 3 27 21" xfId="1853"/>
    <cellStyle name="Normal 3 27 22" xfId="1854"/>
    <cellStyle name="Normal 3 27 23" xfId="1855"/>
    <cellStyle name="Normal 3 27 3" xfId="1856"/>
    <cellStyle name="Normal 3 27 4" xfId="1857"/>
    <cellStyle name="Normal 3 27 5" xfId="1858"/>
    <cellStyle name="Normal 3 27 6" xfId="1859"/>
    <cellStyle name="Normal 3 27 7" xfId="1860"/>
    <cellStyle name="Normal 3 27 8" xfId="1861"/>
    <cellStyle name="Normal 3 27 9" xfId="1862"/>
    <cellStyle name="Normal 3 28" xfId="1863"/>
    <cellStyle name="Normal 3 28 10" xfId="1864"/>
    <cellStyle name="Normal 3 28 11" xfId="1865"/>
    <cellStyle name="Normal 3 28 12" xfId="1866"/>
    <cellStyle name="Normal 3 28 13" xfId="1867"/>
    <cellStyle name="Normal 3 28 14" xfId="1868"/>
    <cellStyle name="Normal 3 28 15" xfId="1869"/>
    <cellStyle name="Normal 3 28 16" xfId="1870"/>
    <cellStyle name="Normal 3 28 17" xfId="1871"/>
    <cellStyle name="Normal 3 28 18" xfId="1872"/>
    <cellStyle name="Normal 3 28 19" xfId="1873"/>
    <cellStyle name="Normal 3 28 2" xfId="1874"/>
    <cellStyle name="Normal 3 28 20" xfId="1875"/>
    <cellStyle name="Normal 3 28 21" xfId="1876"/>
    <cellStyle name="Normal 3 28 22" xfId="1877"/>
    <cellStyle name="Normal 3 28 23" xfId="1878"/>
    <cellStyle name="Normal 3 28 3" xfId="1879"/>
    <cellStyle name="Normal 3 28 4" xfId="1880"/>
    <cellStyle name="Normal 3 28 5" xfId="1881"/>
    <cellStyle name="Normal 3 28 6" xfId="1882"/>
    <cellStyle name="Normal 3 28 7" xfId="1883"/>
    <cellStyle name="Normal 3 28 8" xfId="1884"/>
    <cellStyle name="Normal 3 28 9" xfId="1885"/>
    <cellStyle name="Normal 3 29" xfId="1886"/>
    <cellStyle name="Normal 3 29 10" xfId="1887"/>
    <cellStyle name="Normal 3 29 11" xfId="1888"/>
    <cellStyle name="Normal 3 29 12" xfId="1889"/>
    <cellStyle name="Normal 3 29 13" xfId="1890"/>
    <cellStyle name="Normal 3 29 14" xfId="1891"/>
    <cellStyle name="Normal 3 29 15" xfId="1892"/>
    <cellStyle name="Normal 3 29 16" xfId="1893"/>
    <cellStyle name="Normal 3 29 17" xfId="1894"/>
    <cellStyle name="Normal 3 29 18" xfId="1895"/>
    <cellStyle name="Normal 3 29 19" xfId="1896"/>
    <cellStyle name="Normal 3 29 2" xfId="1897"/>
    <cellStyle name="Normal 3 29 20" xfId="1898"/>
    <cellStyle name="Normal 3 29 21" xfId="1899"/>
    <cellStyle name="Normal 3 29 22" xfId="1900"/>
    <cellStyle name="Normal 3 29 23" xfId="1901"/>
    <cellStyle name="Normal 3 29 3" xfId="1902"/>
    <cellStyle name="Normal 3 29 4" xfId="1903"/>
    <cellStyle name="Normal 3 29 5" xfId="1904"/>
    <cellStyle name="Normal 3 29 6" xfId="1905"/>
    <cellStyle name="Normal 3 29 7" xfId="1906"/>
    <cellStyle name="Normal 3 29 8" xfId="1907"/>
    <cellStyle name="Normal 3 29 9" xfId="1908"/>
    <cellStyle name="Normal 3 3" xfId="1909"/>
    <cellStyle name="Normal 3 3 10" xfId="1910"/>
    <cellStyle name="Normal 3 3 11" xfId="1911"/>
    <cellStyle name="Normal 3 3 12" xfId="1912"/>
    <cellStyle name="Normal 3 3 13" xfId="1913"/>
    <cellStyle name="Normal 3 3 14" xfId="1914"/>
    <cellStyle name="Normal 3 3 15" xfId="1915"/>
    <cellStyle name="Normal 3 3 16" xfId="1916"/>
    <cellStyle name="Normal 3 3 17" xfId="1917"/>
    <cellStyle name="Normal 3 3 18" xfId="1918"/>
    <cellStyle name="Normal 3 3 19" xfId="1919"/>
    <cellStyle name="Normal 3 3 2" xfId="1920"/>
    <cellStyle name="Normal 3 3 20" xfId="1921"/>
    <cellStyle name="Normal 3 3 21" xfId="1922"/>
    <cellStyle name="Normal 3 3 22" xfId="1923"/>
    <cellStyle name="Normal 3 3 23" xfId="1924"/>
    <cellStyle name="Normal 3 3 3" xfId="1925"/>
    <cellStyle name="Normal 3 3 4" xfId="1926"/>
    <cellStyle name="Normal 3 3 5" xfId="1927"/>
    <cellStyle name="Normal 3 3 6" xfId="1928"/>
    <cellStyle name="Normal 3 3 7" xfId="1929"/>
    <cellStyle name="Normal 3 3 8" xfId="1930"/>
    <cellStyle name="Normal 3 3 9" xfId="1931"/>
    <cellStyle name="Normal 3 30" xfId="1932"/>
    <cellStyle name="Normal 3 30 10" xfId="1933"/>
    <cellStyle name="Normal 3 30 11" xfId="1934"/>
    <cellStyle name="Normal 3 30 12" xfId="1935"/>
    <cellStyle name="Normal 3 30 13" xfId="1936"/>
    <cellStyle name="Normal 3 30 14" xfId="1937"/>
    <cellStyle name="Normal 3 30 15" xfId="1938"/>
    <cellStyle name="Normal 3 30 16" xfId="1939"/>
    <cellStyle name="Normal 3 30 17" xfId="1940"/>
    <cellStyle name="Normal 3 30 18" xfId="1941"/>
    <cellStyle name="Normal 3 30 19" xfId="1942"/>
    <cellStyle name="Normal 3 30 2" xfId="1943"/>
    <cellStyle name="Normal 3 30 20" xfId="1944"/>
    <cellStyle name="Normal 3 30 21" xfId="1945"/>
    <cellStyle name="Normal 3 30 22" xfId="1946"/>
    <cellStyle name="Normal 3 30 23" xfId="1947"/>
    <cellStyle name="Normal 3 30 3" xfId="1948"/>
    <cellStyle name="Normal 3 30 4" xfId="1949"/>
    <cellStyle name="Normal 3 30 5" xfId="1950"/>
    <cellStyle name="Normal 3 30 6" xfId="1951"/>
    <cellStyle name="Normal 3 30 7" xfId="1952"/>
    <cellStyle name="Normal 3 30 8" xfId="1953"/>
    <cellStyle name="Normal 3 30 9" xfId="1954"/>
    <cellStyle name="Normal 3 31" xfId="1955"/>
    <cellStyle name="Normal 3 31 10" xfId="1956"/>
    <cellStyle name="Normal 3 31 11" xfId="1957"/>
    <cellStyle name="Normal 3 31 12" xfId="1958"/>
    <cellStyle name="Normal 3 31 13" xfId="1959"/>
    <cellStyle name="Normal 3 31 14" xfId="1960"/>
    <cellStyle name="Normal 3 31 15" xfId="1961"/>
    <cellStyle name="Normal 3 31 16" xfId="1962"/>
    <cellStyle name="Normal 3 31 17" xfId="1963"/>
    <cellStyle name="Normal 3 31 18" xfId="1964"/>
    <cellStyle name="Normal 3 31 19" xfId="1965"/>
    <cellStyle name="Normal 3 31 2" xfId="1966"/>
    <cellStyle name="Normal 3 31 20" xfId="1967"/>
    <cellStyle name="Normal 3 31 21" xfId="1968"/>
    <cellStyle name="Normal 3 31 22" xfId="1969"/>
    <cellStyle name="Normal 3 31 23" xfId="1970"/>
    <cellStyle name="Normal 3 31 3" xfId="1971"/>
    <cellStyle name="Normal 3 31 4" xfId="1972"/>
    <cellStyle name="Normal 3 31 5" xfId="1973"/>
    <cellStyle name="Normal 3 31 6" xfId="1974"/>
    <cellStyle name="Normal 3 31 7" xfId="1975"/>
    <cellStyle name="Normal 3 31 8" xfId="1976"/>
    <cellStyle name="Normal 3 31 9" xfId="1977"/>
    <cellStyle name="Normal 3 32" xfId="1978"/>
    <cellStyle name="Normal 3 32 10" xfId="1979"/>
    <cellStyle name="Normal 3 32 11" xfId="1980"/>
    <cellStyle name="Normal 3 32 12" xfId="1981"/>
    <cellStyle name="Normal 3 32 13" xfId="1982"/>
    <cellStyle name="Normal 3 32 14" xfId="1983"/>
    <cellStyle name="Normal 3 32 15" xfId="1984"/>
    <cellStyle name="Normal 3 32 16" xfId="1985"/>
    <cellStyle name="Normal 3 32 17" xfId="1986"/>
    <cellStyle name="Normal 3 32 18" xfId="1987"/>
    <cellStyle name="Normal 3 32 19" xfId="1988"/>
    <cellStyle name="Normal 3 32 2" xfId="1989"/>
    <cellStyle name="Normal 3 32 20" xfId="1990"/>
    <cellStyle name="Normal 3 32 21" xfId="1991"/>
    <cellStyle name="Normal 3 32 22" xfId="1992"/>
    <cellStyle name="Normal 3 32 23" xfId="1993"/>
    <cellStyle name="Normal 3 32 3" xfId="1994"/>
    <cellStyle name="Normal 3 32 4" xfId="1995"/>
    <cellStyle name="Normal 3 32 5" xfId="1996"/>
    <cellStyle name="Normal 3 32 6" xfId="1997"/>
    <cellStyle name="Normal 3 32 7" xfId="1998"/>
    <cellStyle name="Normal 3 32 8" xfId="1999"/>
    <cellStyle name="Normal 3 32 9" xfId="2000"/>
    <cellStyle name="Normal 3 33" xfId="2001"/>
    <cellStyle name="Normal 3 33 10" xfId="2002"/>
    <cellStyle name="Normal 3 33 11" xfId="2003"/>
    <cellStyle name="Normal 3 33 12" xfId="2004"/>
    <cellStyle name="Normal 3 33 13" xfId="2005"/>
    <cellStyle name="Normal 3 33 14" xfId="2006"/>
    <cellStyle name="Normal 3 33 15" xfId="2007"/>
    <cellStyle name="Normal 3 33 16" xfId="2008"/>
    <cellStyle name="Normal 3 33 17" xfId="2009"/>
    <cellStyle name="Normal 3 33 18" xfId="2010"/>
    <cellStyle name="Normal 3 33 19" xfId="2011"/>
    <cellStyle name="Normal 3 33 2" xfId="2012"/>
    <cellStyle name="Normal 3 33 20" xfId="2013"/>
    <cellStyle name="Normal 3 33 21" xfId="2014"/>
    <cellStyle name="Normal 3 33 22" xfId="2015"/>
    <cellStyle name="Normal 3 33 23" xfId="2016"/>
    <cellStyle name="Normal 3 33 3" xfId="2017"/>
    <cellStyle name="Normal 3 33 4" xfId="2018"/>
    <cellStyle name="Normal 3 33 5" xfId="2019"/>
    <cellStyle name="Normal 3 33 6" xfId="2020"/>
    <cellStyle name="Normal 3 33 7" xfId="2021"/>
    <cellStyle name="Normal 3 33 8" xfId="2022"/>
    <cellStyle name="Normal 3 33 9" xfId="2023"/>
    <cellStyle name="Normal 3 34" xfId="2024"/>
    <cellStyle name="Normal 3 35" xfId="2025"/>
    <cellStyle name="Normal 3 36" xfId="2026"/>
    <cellStyle name="Normal 3 37" xfId="2027"/>
    <cellStyle name="Normal 3 38" xfId="2028"/>
    <cellStyle name="Normal 3 39" xfId="2029"/>
    <cellStyle name="Normal 3 4" xfId="2030"/>
    <cellStyle name="Normal 3 4 10" xfId="2031"/>
    <cellStyle name="Normal 3 4 11" xfId="2032"/>
    <cellStyle name="Normal 3 4 12" xfId="2033"/>
    <cellStyle name="Normal 3 4 13" xfId="2034"/>
    <cellStyle name="Normal 3 4 14" xfId="2035"/>
    <cellStyle name="Normal 3 4 15" xfId="2036"/>
    <cellStyle name="Normal 3 4 16" xfId="2037"/>
    <cellStyle name="Normal 3 4 17" xfId="2038"/>
    <cellStyle name="Normal 3 4 18" xfId="2039"/>
    <cellStyle name="Normal 3 4 19" xfId="2040"/>
    <cellStyle name="Normal 3 4 2" xfId="2041"/>
    <cellStyle name="Normal 3 4 20" xfId="2042"/>
    <cellStyle name="Normal 3 4 21" xfId="2043"/>
    <cellStyle name="Normal 3 4 22" xfId="2044"/>
    <cellStyle name="Normal 3 4 23" xfId="2045"/>
    <cellStyle name="Normal 3 4 24" xfId="2046"/>
    <cellStyle name="Normal 3 4 3" xfId="2047"/>
    <cellStyle name="Normal 3 4 4" xfId="2048"/>
    <cellStyle name="Normal 3 4 5" xfId="2049"/>
    <cellStyle name="Normal 3 4 6" xfId="2050"/>
    <cellStyle name="Normal 3 4 7" xfId="2051"/>
    <cellStyle name="Normal 3 4 8" xfId="2052"/>
    <cellStyle name="Normal 3 4 9" xfId="2053"/>
    <cellStyle name="Normal 3 40" xfId="2054"/>
    <cellStyle name="Normal 3 41" xfId="2055"/>
    <cellStyle name="Normal 3 42" xfId="2056"/>
    <cellStyle name="Normal 3 43" xfId="2057"/>
    <cellStyle name="Normal 3 44" xfId="2058"/>
    <cellStyle name="Normal 3 45" xfId="2059"/>
    <cellStyle name="Normal 3 46" xfId="2060"/>
    <cellStyle name="Normal 3 47" xfId="2061"/>
    <cellStyle name="Normal 3 48" xfId="2062"/>
    <cellStyle name="Normal 3 49" xfId="2063"/>
    <cellStyle name="Normal 3 5" xfId="2064"/>
    <cellStyle name="Normal 3 5 10" xfId="2065"/>
    <cellStyle name="Normal 3 5 11" xfId="2066"/>
    <cellStyle name="Normal 3 5 12" xfId="2067"/>
    <cellStyle name="Normal 3 5 13" xfId="2068"/>
    <cellStyle name="Normal 3 5 14" xfId="2069"/>
    <cellStyle name="Normal 3 5 15" xfId="2070"/>
    <cellStyle name="Normal 3 5 16" xfId="2071"/>
    <cellStyle name="Normal 3 5 17" xfId="2072"/>
    <cellStyle name="Normal 3 5 18" xfId="2073"/>
    <cellStyle name="Normal 3 5 19" xfId="2074"/>
    <cellStyle name="Normal 3 5 2" xfId="2075"/>
    <cellStyle name="Normal 3 5 20" xfId="2076"/>
    <cellStyle name="Normal 3 5 21" xfId="2077"/>
    <cellStyle name="Normal 3 5 22" xfId="2078"/>
    <cellStyle name="Normal 3 5 23" xfId="2079"/>
    <cellStyle name="Normal 3 5 24" xfId="2080"/>
    <cellStyle name="Normal 3 5 3" xfId="2081"/>
    <cellStyle name="Normal 3 5 4" xfId="2082"/>
    <cellStyle name="Normal 3 5 5" xfId="2083"/>
    <cellStyle name="Normal 3 5 6" xfId="2084"/>
    <cellStyle name="Normal 3 5 7" xfId="2085"/>
    <cellStyle name="Normal 3 5 8" xfId="2086"/>
    <cellStyle name="Normal 3 5 9" xfId="2087"/>
    <cellStyle name="Normal 3 50" xfId="2088"/>
    <cellStyle name="Normal 3 51" xfId="2089"/>
    <cellStyle name="Normal 3 52" xfId="2090"/>
    <cellStyle name="Normal 3 53" xfId="2091"/>
    <cellStyle name="Normal 3 54" xfId="2092"/>
    <cellStyle name="Normal 3 55" xfId="2093"/>
    <cellStyle name="Normal 3 56" xfId="2094"/>
    <cellStyle name="Normal 3 57" xfId="2095"/>
    <cellStyle name="Normal 3 58" xfId="2096"/>
    <cellStyle name="Normal 3 59" xfId="2097"/>
    <cellStyle name="Normal 3 6" xfId="2098"/>
    <cellStyle name="Normal 3 6 10" xfId="2099"/>
    <cellStyle name="Normal 3 6 11" xfId="2100"/>
    <cellStyle name="Normal 3 6 12" xfId="2101"/>
    <cellStyle name="Normal 3 6 13" xfId="2102"/>
    <cellStyle name="Normal 3 6 14" xfId="2103"/>
    <cellStyle name="Normal 3 6 15" xfId="2104"/>
    <cellStyle name="Normal 3 6 16" xfId="2105"/>
    <cellStyle name="Normal 3 6 17" xfId="2106"/>
    <cellStyle name="Normal 3 6 18" xfId="2107"/>
    <cellStyle name="Normal 3 6 19" xfId="2108"/>
    <cellStyle name="Normal 3 6 2" xfId="2109"/>
    <cellStyle name="Normal 3 6 20" xfId="2110"/>
    <cellStyle name="Normal 3 6 21" xfId="2111"/>
    <cellStyle name="Normal 3 6 22" xfId="2112"/>
    <cellStyle name="Normal 3 6 23" xfId="2113"/>
    <cellStyle name="Normal 3 6 24" xfId="2114"/>
    <cellStyle name="Normal 3 6 3" xfId="2115"/>
    <cellStyle name="Normal 3 6 4" xfId="2116"/>
    <cellStyle name="Normal 3 6 5" xfId="2117"/>
    <cellStyle name="Normal 3 6 6" xfId="2118"/>
    <cellStyle name="Normal 3 6 7" xfId="2119"/>
    <cellStyle name="Normal 3 6 8" xfId="2120"/>
    <cellStyle name="Normal 3 6 9" xfId="2121"/>
    <cellStyle name="Normal 3 60" xfId="2122"/>
    <cellStyle name="Normal 3 61" xfId="2123"/>
    <cellStyle name="Normal 3 62" xfId="2124"/>
    <cellStyle name="Normal 3 63" xfId="2125"/>
    <cellStyle name="Normal 3 64" xfId="2126"/>
    <cellStyle name="Normal 3 65" xfId="2127"/>
    <cellStyle name="Normal 3 66" xfId="2128"/>
    <cellStyle name="Normal 3 67" xfId="2129"/>
    <cellStyle name="Normal 3 68" xfId="2130"/>
    <cellStyle name="Normal 3 7" xfId="2131"/>
    <cellStyle name="Normal 3 7 10" xfId="2132"/>
    <cellStyle name="Normal 3 7 11" xfId="2133"/>
    <cellStyle name="Normal 3 7 12" xfId="2134"/>
    <cellStyle name="Normal 3 7 13" xfId="2135"/>
    <cellStyle name="Normal 3 7 14" xfId="2136"/>
    <cellStyle name="Normal 3 7 15" xfId="2137"/>
    <cellStyle name="Normal 3 7 16" xfId="2138"/>
    <cellStyle name="Normal 3 7 17" xfId="2139"/>
    <cellStyle name="Normal 3 7 18" xfId="2140"/>
    <cellStyle name="Normal 3 7 19" xfId="2141"/>
    <cellStyle name="Normal 3 7 2" xfId="2142"/>
    <cellStyle name="Normal 3 7 20" xfId="2143"/>
    <cellStyle name="Normal 3 7 21" xfId="2144"/>
    <cellStyle name="Normal 3 7 22" xfId="2145"/>
    <cellStyle name="Normal 3 7 23" xfId="2146"/>
    <cellStyle name="Normal 3 7 24" xfId="2147"/>
    <cellStyle name="Normal 3 7 3" xfId="2148"/>
    <cellStyle name="Normal 3 7 4" xfId="2149"/>
    <cellStyle name="Normal 3 7 5" xfId="2150"/>
    <cellStyle name="Normal 3 7 6" xfId="2151"/>
    <cellStyle name="Normal 3 7 7" xfId="2152"/>
    <cellStyle name="Normal 3 7 8" xfId="2153"/>
    <cellStyle name="Normal 3 7 9" xfId="2154"/>
    <cellStyle name="Normal 3 8" xfId="2155"/>
    <cellStyle name="Normal 3 8 10" xfId="2156"/>
    <cellStyle name="Normal 3 8 11" xfId="2157"/>
    <cellStyle name="Normal 3 8 12" xfId="2158"/>
    <cellStyle name="Normal 3 8 13" xfId="2159"/>
    <cellStyle name="Normal 3 8 14" xfId="2160"/>
    <cellStyle name="Normal 3 8 15" xfId="2161"/>
    <cellStyle name="Normal 3 8 16" xfId="2162"/>
    <cellStyle name="Normal 3 8 17" xfId="2163"/>
    <cellStyle name="Normal 3 8 18" xfId="2164"/>
    <cellStyle name="Normal 3 8 19" xfId="2165"/>
    <cellStyle name="Normal 3 8 2" xfId="2166"/>
    <cellStyle name="Normal 3 8 20" xfId="2167"/>
    <cellStyle name="Normal 3 8 21" xfId="2168"/>
    <cellStyle name="Normal 3 8 22" xfId="2169"/>
    <cellStyle name="Normal 3 8 23" xfId="2170"/>
    <cellStyle name="Normal 3 8 3" xfId="2171"/>
    <cellStyle name="Normal 3 8 4" xfId="2172"/>
    <cellStyle name="Normal 3 8 5" xfId="2173"/>
    <cellStyle name="Normal 3 8 6" xfId="2174"/>
    <cellStyle name="Normal 3 8 7" xfId="2175"/>
    <cellStyle name="Normal 3 8 8" xfId="2176"/>
    <cellStyle name="Normal 3 8 9" xfId="2177"/>
    <cellStyle name="Normal 3 9" xfId="2178"/>
    <cellStyle name="Normal 3 9 10" xfId="2179"/>
    <cellStyle name="Normal 3 9 11" xfId="2180"/>
    <cellStyle name="Normal 3 9 12" xfId="2181"/>
    <cellStyle name="Normal 3 9 13" xfId="2182"/>
    <cellStyle name="Normal 3 9 14" xfId="2183"/>
    <cellStyle name="Normal 3 9 15" xfId="2184"/>
    <cellStyle name="Normal 3 9 16" xfId="2185"/>
    <cellStyle name="Normal 3 9 17" xfId="2186"/>
    <cellStyle name="Normal 3 9 18" xfId="2187"/>
    <cellStyle name="Normal 3 9 19" xfId="2188"/>
    <cellStyle name="Normal 3 9 2" xfId="2189"/>
    <cellStyle name="Normal 3 9 20" xfId="2190"/>
    <cellStyle name="Normal 3 9 21" xfId="2191"/>
    <cellStyle name="Normal 3 9 22" xfId="2192"/>
    <cellStyle name="Normal 3 9 23" xfId="2193"/>
    <cellStyle name="Normal 3 9 3" xfId="2194"/>
    <cellStyle name="Normal 3 9 4" xfId="2195"/>
    <cellStyle name="Normal 3 9 5" xfId="2196"/>
    <cellStyle name="Normal 3 9 6" xfId="2197"/>
    <cellStyle name="Normal 3 9 7" xfId="2198"/>
    <cellStyle name="Normal 3 9 8" xfId="2199"/>
    <cellStyle name="Normal 3 9 9" xfId="2200"/>
    <cellStyle name="Normal 4" xfId="2201"/>
    <cellStyle name="Normal 4 2" xfId="2202"/>
    <cellStyle name="Normal 4 3" xfId="2203"/>
    <cellStyle name="Normal 4 4" xfId="2204"/>
    <cellStyle name="Normal 4 5" xfId="2205"/>
    <cellStyle name="Normal 4 6" xfId="2206"/>
    <cellStyle name="Normal 4 7" xfId="2207"/>
    <cellStyle name="Normal 4 8" xfId="2208"/>
    <cellStyle name="Normal 4 9" xfId="2209"/>
    <cellStyle name="Normal 5" xfId="2210"/>
    <cellStyle name="Normal 5 10" xfId="2211"/>
    <cellStyle name="Normal 5 11" xfId="2212"/>
    <cellStyle name="Normal 5 12" xfId="2213"/>
    <cellStyle name="Normal 5 13" xfId="2214"/>
    <cellStyle name="Normal 5 14" xfId="2215"/>
    <cellStyle name="Normal 5 15" xfId="2216"/>
    <cellStyle name="Normal 5 16" xfId="2217"/>
    <cellStyle name="Normal 5 17" xfId="2218"/>
    <cellStyle name="Normal 5 18" xfId="2219"/>
    <cellStyle name="Normal 5 19" xfId="2220"/>
    <cellStyle name="Normal 5 2" xfId="2221"/>
    <cellStyle name="Normal 5 2 10" xfId="2222"/>
    <cellStyle name="Normal 5 2 11" xfId="2223"/>
    <cellStyle name="Normal 5 2 12" xfId="2224"/>
    <cellStyle name="Normal 5 2 13" xfId="2225"/>
    <cellStyle name="Normal 5 2 14" xfId="2226"/>
    <cellStyle name="Normal 5 2 15" xfId="2227"/>
    <cellStyle name="Normal 5 2 16" xfId="2228"/>
    <cellStyle name="Normal 5 2 17" xfId="2229"/>
    <cellStyle name="Normal 5 2 18" xfId="2230"/>
    <cellStyle name="Normal 5 2 19" xfId="2231"/>
    <cellStyle name="Normal 5 2 2" xfId="2232"/>
    <cellStyle name="Normal 5 2 20" xfId="2233"/>
    <cellStyle name="Normal 5 2 21" xfId="2234"/>
    <cellStyle name="Normal 5 2 22" xfId="2235"/>
    <cellStyle name="Normal 5 2 23" xfId="2236"/>
    <cellStyle name="Normal 5 2 3" xfId="2237"/>
    <cellStyle name="Normal 5 2 4" xfId="2238"/>
    <cellStyle name="Normal 5 2 5" xfId="2239"/>
    <cellStyle name="Normal 5 2 6" xfId="2240"/>
    <cellStyle name="Normal 5 2 7" xfId="2241"/>
    <cellStyle name="Normal 5 2 8" xfId="2242"/>
    <cellStyle name="Normal 5 2 9" xfId="2243"/>
    <cellStyle name="Normal 5 20" xfId="2244"/>
    <cellStyle name="Normal 5 21" xfId="2245"/>
    <cellStyle name="Normal 5 22" xfId="2246"/>
    <cellStyle name="Normal 5 23" xfId="2247"/>
    <cellStyle name="Normal 5 24" xfId="2248"/>
    <cellStyle name="Normal 5 25" xfId="2249"/>
    <cellStyle name="Normal 5 25 2" xfId="2250"/>
    <cellStyle name="Normal 5 26" xfId="2251"/>
    <cellStyle name="Normal 5 27" xfId="2252"/>
    <cellStyle name="Normal 5 28" xfId="2253"/>
    <cellStyle name="Normal 5 3" xfId="2254"/>
    <cellStyle name="Normal 5 4" xfId="2255"/>
    <cellStyle name="Normal 5 5" xfId="2256"/>
    <cellStyle name="Normal 5 6" xfId="2257"/>
    <cellStyle name="Normal 5 7" xfId="2258"/>
    <cellStyle name="Normal 5 8" xfId="2259"/>
    <cellStyle name="Normal 5 9" xfId="2260"/>
    <cellStyle name="Normal 6" xfId="2261"/>
    <cellStyle name="Normal 6 2" xfId="2262"/>
    <cellStyle name="Normal 6 3" xfId="2263"/>
    <cellStyle name="Normal 6 38" xfId="2264"/>
    <cellStyle name="Normal 6 4" xfId="2265"/>
    <cellStyle name="Normal 6 5" xfId="2266"/>
    <cellStyle name="Normal 7" xfId="2267"/>
    <cellStyle name="Normal 7 10" xfId="2268"/>
    <cellStyle name="Normal 7 11" xfId="2269"/>
    <cellStyle name="Normal 7 12" xfId="2270"/>
    <cellStyle name="Normal 7 13" xfId="2271"/>
    <cellStyle name="Normal 7 14" xfId="2272"/>
    <cellStyle name="Normal 7 15" xfId="2273"/>
    <cellStyle name="Normal 7 16" xfId="2274"/>
    <cellStyle name="Normal 7 17" xfId="2275"/>
    <cellStyle name="Normal 7 18" xfId="2276"/>
    <cellStyle name="Normal 7 19" xfId="2277"/>
    <cellStyle name="Normal 7 2" xfId="2278"/>
    <cellStyle name="Normal 7 2 10" xfId="2279"/>
    <cellStyle name="Normal 7 2 11" xfId="2280"/>
    <cellStyle name="Normal 7 2 12" xfId="2281"/>
    <cellStyle name="Normal 7 2 13" xfId="2282"/>
    <cellStyle name="Normal 7 2 14" xfId="2283"/>
    <cellStyle name="Normal 7 2 15" xfId="2284"/>
    <cellStyle name="Normal 7 2 16" xfId="2285"/>
    <cellStyle name="Normal 7 2 17" xfId="2286"/>
    <cellStyle name="Normal 7 2 18" xfId="2287"/>
    <cellStyle name="Normal 7 2 19" xfId="2288"/>
    <cellStyle name="Normal 7 2 2" xfId="2289"/>
    <cellStyle name="Normal 7 2 20" xfId="2290"/>
    <cellStyle name="Normal 7 2 21" xfId="2291"/>
    <cellStyle name="Normal 7 2 22" xfId="2292"/>
    <cellStyle name="Normal 7 2 23" xfId="2293"/>
    <cellStyle name="Normal 7 2 3" xfId="2294"/>
    <cellStyle name="Normal 7 2 4" xfId="2295"/>
    <cellStyle name="Normal 7 2 5" xfId="2296"/>
    <cellStyle name="Normal 7 2 6" xfId="2297"/>
    <cellStyle name="Normal 7 2 7" xfId="2298"/>
    <cellStyle name="Normal 7 2 8" xfId="2299"/>
    <cellStyle name="Normal 7 2 9" xfId="2300"/>
    <cellStyle name="Normal 7 20" xfId="2301"/>
    <cellStyle name="Normal 7 21" xfId="2302"/>
    <cellStyle name="Normal 7 22" xfId="2303"/>
    <cellStyle name="Normal 7 23" xfId="2304"/>
    <cellStyle name="Normal 7 24" xfId="2305"/>
    <cellStyle name="Normal 7 25" xfId="2306"/>
    <cellStyle name="Normal 7 26" xfId="2307"/>
    <cellStyle name="Normal 7 3" xfId="2308"/>
    <cellStyle name="Normal 7 4" xfId="2309"/>
    <cellStyle name="Normal 7 5" xfId="2310"/>
    <cellStyle name="Normal 7 6" xfId="2311"/>
    <cellStyle name="Normal 7 7" xfId="2312"/>
    <cellStyle name="Normal 7 8" xfId="2313"/>
    <cellStyle name="Normal 7 9" xfId="2314"/>
    <cellStyle name="Normal 8" xfId="2315"/>
    <cellStyle name="Normal 8 2" xfId="2316"/>
    <cellStyle name="Normal 8 3" xfId="2317"/>
    <cellStyle name="Normal 8 4" xfId="2318"/>
    <cellStyle name="Normal 8 5" xfId="2319"/>
    <cellStyle name="Normal 8 6" xfId="2320"/>
    <cellStyle name="Normal 9" xfId="2321"/>
    <cellStyle name="Normal 9 2" xfId="2322"/>
    <cellStyle name="Note 2" xfId="2323"/>
    <cellStyle name="Note 2 2" xfId="2324"/>
    <cellStyle name="Note 2 3" xfId="2325"/>
    <cellStyle name="Note 3 2" xfId="2326"/>
    <cellStyle name="Note 3 3" xfId="2327"/>
    <cellStyle name="Output 2" xfId="2328"/>
    <cellStyle name="Output 2 2" xfId="2329"/>
    <cellStyle name="Output 2 3" xfId="2330"/>
    <cellStyle name="Output 3 2" xfId="2331"/>
    <cellStyle name="Output 3 3" xfId="2332"/>
    <cellStyle name="OUTPUT AMOUNTS" xfId="2333"/>
    <cellStyle name="OUTPUT COLUMN HEADINGS" xfId="2334"/>
    <cellStyle name="OUTPUT LINE ITEMS" xfId="2335"/>
    <cellStyle name="Output Report Heading" xfId="2336"/>
    <cellStyle name="OUTPUT REPORT TITLE" xfId="2337"/>
    <cellStyle name="pb_page_heading_LS" xfId="2338"/>
    <cellStyle name="Percent" xfId="1" builtinId="5"/>
    <cellStyle name="Percent [2]" xfId="2339"/>
    <cellStyle name="Percent 10" xfId="2340"/>
    <cellStyle name="Percent 10 2" xfId="2341"/>
    <cellStyle name="Percent 11" xfId="2342"/>
    <cellStyle name="Percent 12" xfId="2343"/>
    <cellStyle name="Percent 13" xfId="2344"/>
    <cellStyle name="Percent 2" xfId="7"/>
    <cellStyle name="Percent 2 10" xfId="2345"/>
    <cellStyle name="Percent 2 11" xfId="2346"/>
    <cellStyle name="Percent 2 2" xfId="2347"/>
    <cellStyle name="Percent 2 3" xfId="2348"/>
    <cellStyle name="Percent 2 4" xfId="2349"/>
    <cellStyle name="Percent 2 5" xfId="2350"/>
    <cellStyle name="Percent 2 6" xfId="2351"/>
    <cellStyle name="Percent 2 7" xfId="2352"/>
    <cellStyle name="Percent 2 8" xfId="2353"/>
    <cellStyle name="Percent 2 9" xfId="2354"/>
    <cellStyle name="Percent 3" xfId="2355"/>
    <cellStyle name="Percent 3 2" xfId="2356"/>
    <cellStyle name="Percent 3 3" xfId="2357"/>
    <cellStyle name="Percent 4" xfId="2358"/>
    <cellStyle name="Percent 4 2" xfId="2359"/>
    <cellStyle name="Percent 5" xfId="2360"/>
    <cellStyle name="Percent 6" xfId="2361"/>
    <cellStyle name="Percent 7" xfId="2362"/>
    <cellStyle name="Percent 8" xfId="2363"/>
    <cellStyle name="Percent 9" xfId="2364"/>
    <cellStyle name="Remote" xfId="2365"/>
    <cellStyle name="Revenue" xfId="2366"/>
    <cellStyle name="RevList" xfId="2367"/>
    <cellStyle name="SAPBEXaggData" xfId="2368"/>
    <cellStyle name="SAPBEXaggDataEmph" xfId="2369"/>
    <cellStyle name="SAPBEXaggItem" xfId="2370"/>
    <cellStyle name="SAPBEXaggItemX" xfId="2371"/>
    <cellStyle name="SAPBEXchaText" xfId="2372"/>
    <cellStyle name="SAPBEXexcBad7" xfId="2373"/>
    <cellStyle name="SAPBEXexcBad8" xfId="2374"/>
    <cellStyle name="SAPBEXexcBad9" xfId="2375"/>
    <cellStyle name="SAPBEXexcCritical4" xfId="2376"/>
    <cellStyle name="SAPBEXexcCritical5" xfId="2377"/>
    <cellStyle name="SAPBEXexcCritical6" xfId="2378"/>
    <cellStyle name="SAPBEXexcGood1" xfId="2379"/>
    <cellStyle name="SAPBEXexcGood2" xfId="2380"/>
    <cellStyle name="SAPBEXexcGood3" xfId="2381"/>
    <cellStyle name="SAPBEXfilterDrill" xfId="2382"/>
    <cellStyle name="SAPBEXfilterItem" xfId="2383"/>
    <cellStyle name="SAPBEXfilterText" xfId="2384"/>
    <cellStyle name="SAPBEXformats" xfId="2385"/>
    <cellStyle name="SAPBEXheaderItem" xfId="2386"/>
    <cellStyle name="SAPBEXheaderText" xfId="2387"/>
    <cellStyle name="SAPBEXHLevel0" xfId="2388"/>
    <cellStyle name="SAPBEXHLevel0X" xfId="2389"/>
    <cellStyle name="SAPBEXHLevel1" xfId="2390"/>
    <cellStyle name="SAPBEXHLevel1X" xfId="2391"/>
    <cellStyle name="SAPBEXHLevel2" xfId="2392"/>
    <cellStyle name="SAPBEXHLevel2X" xfId="2393"/>
    <cellStyle name="SAPBEXHLevel3" xfId="2394"/>
    <cellStyle name="SAPBEXHLevel3X" xfId="2395"/>
    <cellStyle name="SAPBEXinputData" xfId="2396"/>
    <cellStyle name="SAPBEXresData" xfId="2397"/>
    <cellStyle name="SAPBEXresDataEmph" xfId="2398"/>
    <cellStyle name="SAPBEXresItem" xfId="2399"/>
    <cellStyle name="SAPBEXresItemX" xfId="2400"/>
    <cellStyle name="SAPBEXstdData" xfId="2401"/>
    <cellStyle name="SAPBEXstdDataEmph" xfId="2402"/>
    <cellStyle name="SAPBEXstdItem" xfId="2403"/>
    <cellStyle name="SAPBEXstdItemX" xfId="2404"/>
    <cellStyle name="SAPBEXtitle" xfId="2405"/>
    <cellStyle name="SAPBEXundefined" xfId="2406"/>
    <cellStyle name="Sheet Title" xfId="2407"/>
    <cellStyle name="Subtotal" xfId="2408"/>
    <cellStyle name="test a style" xfId="2409"/>
    <cellStyle name="Times New Roman" xfId="2410"/>
    <cellStyle name="Title 2" xfId="2411"/>
    <cellStyle name="Title 2 2" xfId="2412"/>
    <cellStyle name="Title 2 3" xfId="2413"/>
    <cellStyle name="Title 3 2" xfId="2414"/>
    <cellStyle name="Title 3 3" xfId="2415"/>
    <cellStyle name="Total 2" xfId="2416"/>
    <cellStyle name="Total 2 2" xfId="2417"/>
    <cellStyle name="Total 2 3" xfId="2418"/>
    <cellStyle name="Total 3 2" xfId="2419"/>
    <cellStyle name="Total 3 3" xfId="2420"/>
    <cellStyle name="Unprot" xfId="2421"/>
    <cellStyle name="Unprot$" xfId="2422"/>
    <cellStyle name="Unprot_Select Measures" xfId="2423"/>
    <cellStyle name="Unprotect" xfId="2424"/>
    <cellStyle name="Value" xfId="2425"/>
    <cellStyle name="Warning Text 2" xfId="2426"/>
    <cellStyle name="Warning Text 2 2" xfId="2427"/>
    <cellStyle name="Warning Text 2 3" xfId="2428"/>
    <cellStyle name="Warning Text 3 2" xfId="2429"/>
    <cellStyle name="Warning Text 3 3" xfId="2430"/>
  </cellStyles>
  <dxfs count="0"/>
  <tableStyles count="0" defaultTableStyle="TableStyleMedium2" defaultPivotStyle="PivotStyleLight16"/>
  <colors>
    <mruColors>
      <color rgb="FFFF6699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TRC Test Impact Due</a:t>
            </a:r>
            <a:r>
              <a:rPr lang="en-US" baseline="0"/>
              <a:t> to NEB Addition (% change)</a:t>
            </a:r>
          </a:p>
        </c:rich>
      </c:tx>
      <c:layout>
        <c:manualLayout>
          <c:xMode val="edge"/>
          <c:yMode val="edge"/>
          <c:x val="0.356437059003430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9136028752855793"/>
          <c:y val="9.846060738728183E-3"/>
          <c:w val="0.7541723688091736"/>
          <c:h val="0.97956280326007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19"/>
              <c:layout>
                <c:manualLayout>
                  <c:x val="1.3484898873050409E-4"/>
                  <c:y val="1.620300324274674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41C-BE54-4238827498B5}"/>
                </c:ext>
              </c:extLst>
            </c:dLbl>
            <c:dLbl>
              <c:idx val="151"/>
              <c:layout>
                <c:manualLayout>
                  <c:x val="-3.85372648325895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41C-BE54-423882749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0" tIns="19050" rIns="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('TRC Figure'!$A$1:$A$151,'TRC Figure'!$A$238)</c:f>
              <c:strCache>
                <c:ptCount val="152"/>
                <c:pt idx="0">
                  <c:v>Residential - Efficient Product Rebates; Room A/C Retirement; RES-HVAC/Shell; RES-SF</c:v>
                </c:pt>
                <c:pt idx="1">
                  <c:v>BNI- Direct Installation; Faucet Aerator; COM-Other; Office</c:v>
                </c:pt>
                <c:pt idx="2">
                  <c:v>BNI- Direct Installation; Faucet Aerator; COM-Other; Other Commercial</c:v>
                </c:pt>
                <c:pt idx="3">
                  <c:v>BNI- Direct Installation; Faucet Aerator; COM-Other; Retail</c:v>
                </c:pt>
                <c:pt idx="4">
                  <c:v>Existing Residential; DHW Pipe Insulation; RES-Water Heat; MURB</c:v>
                </c:pt>
                <c:pt idx="5">
                  <c:v>BNI- Direct Installation; Low Flow Showerheads; COM-Other; Other Commercial</c:v>
                </c:pt>
                <c:pt idx="6">
                  <c:v>BNI- Direct Installation; Ground Source Heat Pump; COM-HVAC; School</c:v>
                </c:pt>
                <c:pt idx="7">
                  <c:v>BNI- Direct Installation; Ground/Water Source Heat Pumps; COM-HVAC; School</c:v>
                </c:pt>
                <c:pt idx="8">
                  <c:v>BNI- Direct Installation; High-Efficiency Air Source Heat Pumps: Electric Baseboards; COM-HVAC; School</c:v>
                </c:pt>
                <c:pt idx="9">
                  <c:v>BNI- Direct Installation; High-Efficiency Air Source Heat Pumps: Air Source Heat Pumps (1-11) Tons, Baseline; COM-HVAC; School</c:v>
                </c:pt>
                <c:pt idx="10">
                  <c:v>BNI- Direct Installation; Ground Source Heat Pump; COM-HVAC; Retail</c:v>
                </c:pt>
                <c:pt idx="11">
                  <c:v>BNI- Direct Installation; Ground/Water Source Heat Pumps; COM-HVAC; Retail</c:v>
                </c:pt>
                <c:pt idx="12">
                  <c:v>BNI- Direct Installation; High-Efficiency Air Source Heat Pumps: Air Source Heat Pumps (1-11) Tons, Baseline; COM-HVAC; Retail</c:v>
                </c:pt>
                <c:pt idx="13">
                  <c:v>BNI- Direct Installation; High-Efficiency Air Source Heat Pumps: Electric Baseboards; COM-HVAC; Retail</c:v>
                </c:pt>
                <c:pt idx="14">
                  <c:v>BNI- Direct Installation; High-Efficiency Air Source Heat Pumps: Air Source Heat Pumps (1-11) Tons, Baseline; COM-HVAC; Other Commercial</c:v>
                </c:pt>
                <c:pt idx="15">
                  <c:v>BNI- Direct Installation; High-Efficiency Air Source Heat Pumps: Electric Baseboards; COM-HVAC; Other Commercial</c:v>
                </c:pt>
                <c:pt idx="16">
                  <c:v>BNI- Direct Installation; Ground/Water Source Heat Pumps; COM-HVAC; Other Commercial</c:v>
                </c:pt>
                <c:pt idx="17">
                  <c:v>BNI- Direct Installation; Ground Source Heat Pump; COM-HVAC; Other Commercial</c:v>
                </c:pt>
                <c:pt idx="18">
                  <c:v>BNI- Direct Installation; Ground Source Heat Pump; COM-HVAC; Office</c:v>
                </c:pt>
                <c:pt idx="19">
                  <c:v>BNI- Direct Installation; Ground/Water Source Heat Pumps; COM-HVAC; Office</c:v>
                </c:pt>
                <c:pt idx="20">
                  <c:v>BNI- Direct Installation; High-Efficiency Air Source Heat Pumps: Air Source Heat Pumps (1-11) Tons, Baseline; COM-HVAC; Office</c:v>
                </c:pt>
                <c:pt idx="21">
                  <c:v>BNI- Direct Installation; High-Efficiency Air Source Heat Pumps: Electric Baseboards; COM-HVAC; Office</c:v>
                </c:pt>
                <c:pt idx="22">
                  <c:v>BNI - Efficient Product Rebates; ENERGY STAR® Self Contained Ice Maker; COM-Refrigeration; Retail</c:v>
                </c:pt>
                <c:pt idx="23">
                  <c:v>BNI- Direct Installation; DHW Tank Wrap; COM-Other; Office</c:v>
                </c:pt>
                <c:pt idx="24">
                  <c:v>BNI- Direct Installation; DHW Tank Wrap; COM-Other; Retail</c:v>
                </c:pt>
                <c:pt idx="25">
                  <c:v>BNI - Efficient Product Rebates; Solid Door Commercial Freezer; COM-Refrigeration; Retail</c:v>
                </c:pt>
                <c:pt idx="26">
                  <c:v>BNI - Efficient Product Rebates; Glass Door Commercial Refrigerator; COM-Refrigeration; Retail</c:v>
                </c:pt>
                <c:pt idx="27">
                  <c:v>BNI - Efficient Product Rebates; Solid Door Commercial Refrigerator; COM-Refrigeration; Retail</c:v>
                </c:pt>
                <c:pt idx="28">
                  <c:v>BNI- Direct Installation; DHW Pipe Insulation; COM-Other; Office</c:v>
                </c:pt>
                <c:pt idx="29">
                  <c:v>BNI- Direct Installation; DHW Pipe Insulation; COM-Other; Retail</c:v>
                </c:pt>
                <c:pt idx="30">
                  <c:v>Existing Residential; DHW Pipe Insulation; RES-Water Heat; RES-SF</c:v>
                </c:pt>
                <c:pt idx="31">
                  <c:v>BNI - Efficient Product Rebates; Single-Tank Door Type Dishwasher (Low Temp); COM-Other; Retail</c:v>
                </c:pt>
                <c:pt idx="32">
                  <c:v>BNI - Efficient Product Rebates; Multi-Tank Conveyor Commercial Dish Washer (Low Temp); COM-Other; Retail</c:v>
                </c:pt>
                <c:pt idx="33">
                  <c:v>Custom Incentives; Custom Efficiency; IND; Industrial </c:v>
                </c:pt>
                <c:pt idx="34">
                  <c:v>BNI - Efficient Product Rebates; Lighting Controls - Occupancy Sensors; IND; Industrial </c:v>
                </c:pt>
                <c:pt idx="35">
                  <c:v>Custom Incentives; Custom Efficiency; COM-Other; COM</c:v>
                </c:pt>
                <c:pt idx="36">
                  <c:v>BNI - Efficient Product Rebates; Daylighting Controls; COM-Lighting; School</c:v>
                </c:pt>
                <c:pt idx="37">
                  <c:v>BNI - Efficient Product Rebates; T8 Dimmable Stairwell Lighting; COM-Lighting; School</c:v>
                </c:pt>
                <c:pt idx="38">
                  <c:v>BNI - Efficient Product Rebates; Lighting Controls - Occupancy Sensors; COM-Lighting; School</c:v>
                </c:pt>
                <c:pt idx="39">
                  <c:v>Residential - Efficient Product Rebates; Hardwired Dimmer Switch; RES-Lighting; RES-SF</c:v>
                </c:pt>
                <c:pt idx="40">
                  <c:v>BNI - Efficient Product Rebates; T8 Dimmable Stairwell Lighting; COM-Lighting; Office</c:v>
                </c:pt>
                <c:pt idx="41">
                  <c:v>BNI - Efficient Product Rebates; Daylighting Controls; COM-Lighting; Office</c:v>
                </c:pt>
                <c:pt idx="42">
                  <c:v>BNI - Efficient Product Rebates; Lighting Controls - Occupancy Sensors; COM-Lighting; Office</c:v>
                </c:pt>
                <c:pt idx="43">
                  <c:v>BNI - Efficient Product Rebates; Daylighting Controls; COM-Lighting; Other Commercial</c:v>
                </c:pt>
                <c:pt idx="44">
                  <c:v>BNI - Efficient Product Rebates; T8 Dimmable Stairwell Lighting; COM-Lighting; Other Commercial</c:v>
                </c:pt>
                <c:pt idx="45">
                  <c:v>BNI - Efficient Product Rebates; Lighting Controls - Occupancy Sensors; COM-Lighting; Other Commercial</c:v>
                </c:pt>
                <c:pt idx="46">
                  <c:v>BNI - Efficient Product Rebates; LED Refrigeration Strip Lighting-End of Life replacement; COM-Lighting; Other Commercial</c:v>
                </c:pt>
                <c:pt idx="47">
                  <c:v>Existing Residential; Low Flow (1.25 GPM) showerhead; RES-Water Heat; MURB</c:v>
                </c:pt>
                <c:pt idx="48">
                  <c:v>BNI - Efficient Product Rebates; Lighting Controls - Occupancy Sensors; COM-Lighting; Retail</c:v>
                </c:pt>
                <c:pt idx="49">
                  <c:v>BNI - Efficient Product Rebates; T8 Dimmable Stairwell Lighting; COM-Lighting; Retail</c:v>
                </c:pt>
                <c:pt idx="50">
                  <c:v>BNI - Efficient Product Rebates; Daylighting Controls; COM-Lighting; Retail</c:v>
                </c:pt>
                <c:pt idx="51">
                  <c:v>BNI - Efficient Product Rebates; LED Refrigeration Strip Lighting-End of Life replacement; COM-Lighting; School</c:v>
                </c:pt>
                <c:pt idx="52">
                  <c:v>BNI - Efficient Product Rebates; LED Refrigeration Strip Lighting-End of Life replacement; COM-Lighting; Retail</c:v>
                </c:pt>
                <c:pt idx="53">
                  <c:v>BNI - Efficient Product Rebates; Photoluminescent Exit Sign; IND; Industrial </c:v>
                </c:pt>
                <c:pt idx="54">
                  <c:v>BNI - Efficient Product Rebates; Photoluminescent Exit Sign; COM-Lighting; Office</c:v>
                </c:pt>
                <c:pt idx="55">
                  <c:v>BNI - Efficient Product Rebates; Photoluminescent Exit Sign; COM-Lighting; Other Commercial</c:v>
                </c:pt>
                <c:pt idx="56">
                  <c:v>BNI - Efficient Product Rebates; Photoluminescent Exit Sign; COM-Lighting; Retail</c:v>
                </c:pt>
                <c:pt idx="57">
                  <c:v>BNI - Efficient Product Rebates; Photoluminescent Exit Sign; COM-Lighting; School</c:v>
                </c:pt>
                <c:pt idx="58">
                  <c:v>BNI - Efficient Product Rebates; LED Exit Sign-End of Life replacement; IND; Industrial </c:v>
                </c:pt>
                <c:pt idx="59">
                  <c:v>BNI - Efficient Product Rebates; LED Exit Sign-End of Life replacement; COM-Lighting; Office</c:v>
                </c:pt>
                <c:pt idx="60">
                  <c:v>BNI - Efficient Product Rebates; LED Exit Sign-End of Life replacement; COM-Lighting; Other Commercial</c:v>
                </c:pt>
                <c:pt idx="61">
                  <c:v>BNI - Efficient Product Rebates; LED Exit Sign-End of Life replacement; COM-Lighting; Retail</c:v>
                </c:pt>
                <c:pt idx="62">
                  <c:v>BNI - Efficient Product Rebates; LED Exit Sign-End of Life replacement; COM-Lighting; School</c:v>
                </c:pt>
                <c:pt idx="63">
                  <c:v>BNI - Efficient Product Rebates; LED Lamps-End of Life; COM-Lighting; Office</c:v>
                </c:pt>
                <c:pt idx="64">
                  <c:v>BNI- Direct Installation; LED Lamps-End of Life-BES; COM-Lighting; Office</c:v>
                </c:pt>
                <c:pt idx="65">
                  <c:v>BNI - Efficient Product Rebates; LED Linear Replacement Lamps; COM-Lighting; Office</c:v>
                </c:pt>
                <c:pt idx="66">
                  <c:v>BNI - Efficient Product Rebates; LED Lamps-Retrofit (dual baseline); COM-Lighting; Office</c:v>
                </c:pt>
                <c:pt idx="67">
                  <c:v>BNI- Direct Installation; LED Lamps-Retrofit (dual baseline)-BES; COM-Lighting; Office</c:v>
                </c:pt>
                <c:pt idx="68">
                  <c:v>BNI - Efficient Product Rebates; Fluorescent T5 and HPT8 Fixtures (4 FT) lamps-Retrofit (dual baseline); COM-Lighting; Other Commercial</c:v>
                </c:pt>
                <c:pt idx="69">
                  <c:v>BNI - Efficient Product Rebates; LED Lamps-End of Life; COM-Lighting; Other Commercial</c:v>
                </c:pt>
                <c:pt idx="70">
                  <c:v>BNI- Direct Installation; LED Lamps-End of Life-BES; COM-Lighting; Other Commercial</c:v>
                </c:pt>
                <c:pt idx="71">
                  <c:v>BNI- Direct Installation; LED Lamps-Retrofit (dual baseline)-BES; COM-Lighting; Other Commercial</c:v>
                </c:pt>
                <c:pt idx="72">
                  <c:v>BNI - Efficient Product Rebates; LED Linear Replacement Lamps; COM-Lighting; Other Commercial</c:v>
                </c:pt>
                <c:pt idx="73">
                  <c:v>BNI - Efficient Product Rebates; LED Lamps-Retrofit (dual baseline); COM-Lighting; Other Commercial</c:v>
                </c:pt>
                <c:pt idx="74">
                  <c:v>BNI - Efficient Product Rebates; LED Linear Replacement Lamps; COM-Lighting; School</c:v>
                </c:pt>
                <c:pt idx="75">
                  <c:v>BNI - Efficient Product Rebates; LED Lamps-Retrofit (dual baseline); COM-Lighting; School</c:v>
                </c:pt>
                <c:pt idx="76">
                  <c:v>BNI - Efficient Product Rebates; LED Lamps-End of Life; COM-Lighting; School</c:v>
                </c:pt>
                <c:pt idx="77">
                  <c:v>BNI - Efficient Product Rebates; LED Lamps-Retrofit (dual baseline); COM-Lighting; Retail</c:v>
                </c:pt>
                <c:pt idx="78">
                  <c:v>BNI- Direct Installation; LED Lamps-End of Life-BES; COM-Lighting; Retail</c:v>
                </c:pt>
                <c:pt idx="79">
                  <c:v>BNI- Direct Installation; LED Lamps-Retrofit (dual baseline)-BES; COM-Lighting; Retail</c:v>
                </c:pt>
                <c:pt idx="80">
                  <c:v>BNI - Efficient Product Rebates; LED Linear Replacement Lamps; COM-Lighting; Retail</c:v>
                </c:pt>
                <c:pt idx="81">
                  <c:v>BNI - Efficient Product Rebates; LED Lamps-End of Life; COM-Lighting; Retail</c:v>
                </c:pt>
                <c:pt idx="82">
                  <c:v>BNI- Direct Installation; Relamp/Reballast-Retrofit (dual baseline)-BES; COM-Lighting; Office</c:v>
                </c:pt>
                <c:pt idx="83">
                  <c:v>BNI - Efficient Product Rebates; Relamp/Reballast-Retrofit (dual baseline); COM-Lighting; Office</c:v>
                </c:pt>
                <c:pt idx="84">
                  <c:v>BNI - Efficient Product Rebates; LED Low Bay Fixture; COM-Lighting; Office</c:v>
                </c:pt>
                <c:pt idx="85">
                  <c:v>BNI - Efficient Product Rebates; LED High Bay Fixture; COM-Lighting; Other Commercial</c:v>
                </c:pt>
                <c:pt idx="86">
                  <c:v>BNI - Efficient Product Rebates; LED Low Bay Fixture; COM-Lighting; Other Commercial</c:v>
                </c:pt>
                <c:pt idx="87">
                  <c:v>BNI- Direct Installation; Relamp/Reballast-Retrofit (dual baseline)-BES; COM-Lighting; Other Commercial</c:v>
                </c:pt>
                <c:pt idx="88">
                  <c:v>BNI - Efficient Product Rebates; Relamp/Reballast-Retrofit (dual baseline); COM-Lighting; Other Commercial</c:v>
                </c:pt>
                <c:pt idx="89">
                  <c:v>BNI - Efficient Product Rebates; LED Low Bay Fixture; COM-Lighting; School</c:v>
                </c:pt>
                <c:pt idx="90">
                  <c:v>BNI - Efficient Product Rebates; Relamp/Reballast-Retrofit (dual baseline); COM-Lighting; School</c:v>
                </c:pt>
                <c:pt idx="91">
                  <c:v>BNI - Efficient Product Rebates; LED High Bay Fixture; COM-Lighting; School</c:v>
                </c:pt>
                <c:pt idx="92">
                  <c:v>BNI - Efficient Product Rebates; LED Low Bay Fixture; COM-Lighting; Retail</c:v>
                </c:pt>
                <c:pt idx="93">
                  <c:v>BNI- Direct Installation; Relamp/Reballast-Retrofit (dual baseline)-BES; COM-Lighting; Retail</c:v>
                </c:pt>
                <c:pt idx="94">
                  <c:v>BNI - Efficient Product Rebates; LED High Bay Fixture; COM-Lighting; Retail</c:v>
                </c:pt>
                <c:pt idx="95">
                  <c:v>BNI - Efficient Product Rebates; Relamp/Reballast-Retrofit (dual baseline); COM-Lighting; Retail</c:v>
                </c:pt>
                <c:pt idx="96">
                  <c:v>BNI - Efficient Product Rebates; LED Linear Replacement Lamps; IND; Industrial </c:v>
                </c:pt>
                <c:pt idx="97">
                  <c:v>BNI - Efficient Product Rebates; LED Lamps-End of Life; IND; Industrial </c:v>
                </c:pt>
                <c:pt idx="98">
                  <c:v>BNI - Efficient Product Rebates; T8 Dimmable Stairwell Lighting; IND; Industrial </c:v>
                </c:pt>
                <c:pt idx="99">
                  <c:v>BNI - Efficient Product Rebates; LED Lamps-Retrofit (dual baseline); IND; Industrial </c:v>
                </c:pt>
                <c:pt idx="100">
                  <c:v>Existing Residential; DHW Tank Wrap; RES-Water Heat; MURB</c:v>
                </c:pt>
                <c:pt idx="101">
                  <c:v>BNI - Efficient Product Rebates; ENERGY STAR® Ice Making Head; COM-Refrigeration; Retail</c:v>
                </c:pt>
                <c:pt idx="102">
                  <c:v>BNI - Efficient Product Rebates; Relamp/Reballast-Retrofit (dual baseline); IND; Industrial </c:v>
                </c:pt>
                <c:pt idx="103">
                  <c:v>BNI - Efficient Product Rebates; LED Low Bay Fixture; IND; Industrial </c:v>
                </c:pt>
                <c:pt idx="104">
                  <c:v>BNI - Efficient Product Rebates; LED High Bay Fixture; IND; Industrial </c:v>
                </c:pt>
                <c:pt idx="105">
                  <c:v>BNI - Efficient Product Rebates; LED Exterior Fixtures-End of Life replacement; COM-Lighting; Office</c:v>
                </c:pt>
                <c:pt idx="106">
                  <c:v>BNI - Efficient Product Rebates; LED Exterior Fixtures-End of Life replacement; COM-Lighting; Other Commercial</c:v>
                </c:pt>
                <c:pt idx="107">
                  <c:v>BNI - Efficient Product Rebates; LED Exterior Fixtures-End of Life replacement; COM-Lighting; Retail</c:v>
                </c:pt>
                <c:pt idx="108">
                  <c:v>BNI - Efficient Product Rebates; LED Exterior Fixtures-End of Life replacement; COM-Lighting; School</c:v>
                </c:pt>
                <c:pt idx="109">
                  <c:v>BNI - Efficient Product Rebates; LED Exterior Fixtures-End of Life replacement; IND; Industrial </c:v>
                </c:pt>
                <c:pt idx="110">
                  <c:v>BNI - Efficient Product Rebates; Single-Tank Conveyor Dishwasher (Low Temp); COM-Other; Retail</c:v>
                </c:pt>
                <c:pt idx="111">
                  <c:v>Existing Residential; Low Flow (1.25 GPM) showerhead; RES-Water Heat; RES-SF</c:v>
                </c:pt>
                <c:pt idx="112">
                  <c:v>Existing Residential; DHW Tank Wrap; RES-Water Heat; RES-SF</c:v>
                </c:pt>
                <c:pt idx="113">
                  <c:v>New Residential; EnerGuide 83 New Home; RES-Package; RES-NC</c:v>
                </c:pt>
                <c:pt idx="114">
                  <c:v>BNI - Efficient Product Rebates; Single Tank Door Dishwasher with Booster (High Temp); COM-Other; Retail</c:v>
                </c:pt>
                <c:pt idx="115">
                  <c:v>Existing Residential; 1W LED Nightlight; RES-Lighting; MURB</c:v>
                </c:pt>
                <c:pt idx="116">
                  <c:v>Existing Residential; 12 W LED: 23 W CFL baseline; RES-Lighting; MURB</c:v>
                </c:pt>
                <c:pt idx="117">
                  <c:v>BNI - Efficient Product Rebates; ENERGY STAR® Remote Condensing Head/Split System Ice Maker; COM-Refrigeration; Retail</c:v>
                </c:pt>
                <c:pt idx="118">
                  <c:v>BNI - Efficient Product Rebates; Multi Tank Conveyor Dishwasher with Booster (High Temp); COM-Other; Retail</c:v>
                </c:pt>
                <c:pt idx="119">
                  <c:v>Existing Residential; 1W LED Nightlight; RES-Lighting; RES-SF</c:v>
                </c:pt>
                <c:pt idx="120">
                  <c:v>New Residential; EnerGuide 85 New Home; RES-Package; RES-NC</c:v>
                </c:pt>
                <c:pt idx="121">
                  <c:v>New Residential; EnerGuide 86 New Home; RES-Package; RES-NC</c:v>
                </c:pt>
                <c:pt idx="122">
                  <c:v>Existing Residential; Building Envelope Retrofits (Insulation, Draft Proofing, EnergyStar Windows and Doors); RES-HVAC/Shell; RES-SF</c:v>
                </c:pt>
                <c:pt idx="123">
                  <c:v>Residential - Efficient Product Rebates; Indoor Motion Sensor; RES-Lighting; RES-SF</c:v>
                </c:pt>
                <c:pt idx="124">
                  <c:v>New Residential; EnerGuide 87 New Home; RES-Package; RES-NC</c:v>
                </c:pt>
                <c:pt idx="125">
                  <c:v>New Residential; EnerGuide 88 New Home; RES-Package; RES-NC</c:v>
                </c:pt>
                <c:pt idx="126">
                  <c:v>New Residential; EnerGuide 88+ New Home; RES-Package; RES-NC</c:v>
                </c:pt>
                <c:pt idx="127">
                  <c:v>Existing Residential; Low Flow Faucet Aerator, 1.5 GPM; RES-Water Heat; MURB</c:v>
                </c:pt>
                <c:pt idx="128">
                  <c:v>BNI - Efficient Product Rebates; Under Counter Commercial Dishwasher (Low Temp); COM-Other; Retail</c:v>
                </c:pt>
                <c:pt idx="129">
                  <c:v>BNI - Efficient Product Rebates; Single Tank Conveyor Dishwasher with Booster (High Temp); COM-Other; Retail</c:v>
                </c:pt>
                <c:pt idx="130">
                  <c:v>BNI - Efficient Product Rebates; Under Counter Dishwasher with Booster (High Temp); COM-Other; Retail</c:v>
                </c:pt>
                <c:pt idx="131">
                  <c:v>Existing Residential; 5W Chandelier LED bulb; RES-Lighting; MURB</c:v>
                </c:pt>
                <c:pt idx="132">
                  <c:v>Residential - Efficient Product Rebates; ENERGY STAR® LED Lamps; RES-Lighting; RES-SF</c:v>
                </c:pt>
                <c:pt idx="133">
                  <c:v>Custom Incentives; Whole Building 40% Over Baseline; COM-Other; New Construction - BNI</c:v>
                </c:pt>
                <c:pt idx="134">
                  <c:v>Custom Incentives; Whole Building 20% Over Baseline; COM-Other; New Construction - BNI</c:v>
                </c:pt>
                <c:pt idx="135">
                  <c:v>Existing Residential; 8 W LED; RES-Lighting; MURB</c:v>
                </c:pt>
                <c:pt idx="136">
                  <c:v>Existing Residential; 10.5 W LED; RES-Lighting; RES-SF</c:v>
                </c:pt>
                <c:pt idx="137">
                  <c:v>Residential - Efficient Product Rebates; Outdoor Motion Sensor; RES-Lighting; RES-SF</c:v>
                </c:pt>
                <c:pt idx="138">
                  <c:v>Existing Residential; Certified Pellet Boiler or Furnace Supplemented by Baseboard Heat (Whole Home); RES-HVAC/Shell; RES-SF</c:v>
                </c:pt>
                <c:pt idx="139">
                  <c:v>Existing Residential; Certified Wood Boiler or Furnace; RES-HVAC/Shell; RES-SF</c:v>
                </c:pt>
                <c:pt idx="140">
                  <c:v>Existing Residential; 12 W LED: Blended 75W and 100W incandescent baseline; RES-Lighting; MURB</c:v>
                </c:pt>
                <c:pt idx="141">
                  <c:v>Existing Residential; Ground Source Heat Pump; RES-HVAC/Shell; RES-SF</c:v>
                </c:pt>
                <c:pt idx="142">
                  <c:v>Existing Residential; ENERGY STAR® Windows (300 ft2) (Replace Double Pane); RES-HVAC/Shell; RES-SF</c:v>
                </c:pt>
                <c:pt idx="143">
                  <c:v>Existing Residential; 11 W LED; RES-Lighting; RES-SF</c:v>
                </c:pt>
                <c:pt idx="144">
                  <c:v>Existing Residential; Solar DHW; RES-Water Heat; RES-SF</c:v>
                </c:pt>
                <c:pt idx="145">
                  <c:v>Residential - Efficient Product Rebates; Heavy Duty Outdoor Timer; RES-Plug Load; RES-SF</c:v>
                </c:pt>
                <c:pt idx="146">
                  <c:v>Existing Residential; ENERGY STAR® Windows (Replace Single Pane); RES-HVAC/Shell; RES-SF</c:v>
                </c:pt>
                <c:pt idx="147">
                  <c:v>Existing Residential; ENERGY STAR® Air Source Heat Pump; RES-HVAC/Shell; RES-SF</c:v>
                </c:pt>
                <c:pt idx="148">
                  <c:v>Existing Residential; Certified Pellet Stove; RES-HVAC/Shell; RES-SF</c:v>
                </c:pt>
                <c:pt idx="149">
                  <c:v>Existing Residential; Low Flow Faucet Aerator, 1.5 GPM; RES-Water Heat; RES-SF</c:v>
                </c:pt>
                <c:pt idx="150">
                  <c:v>Existing Residential; Certified Wood Stove; RES-HVAC/Shell; RES-SF</c:v>
                </c:pt>
                <c:pt idx="151">
                  <c:v>BNI - Efficient Product Rebates; ENERGY STAR®, CEE Tier 2 or CEE Tier 3 Commercial Clothes Washer; COM-Other; Other Commercial</c:v>
                </c:pt>
              </c:strCache>
            </c:strRef>
          </c:cat>
          <c:val>
            <c:numRef>
              <c:f>('TRC Figure'!$D$1:$D$151,'TRC Figure'!$D$238)</c:f>
              <c:numCache>
                <c:formatCode>0.0%</c:formatCode>
                <c:ptCount val="152"/>
                <c:pt idx="0">
                  <c:v>4.5861089251435398</c:v>
                </c:pt>
                <c:pt idx="1">
                  <c:v>3.1866442440433622</c:v>
                </c:pt>
                <c:pt idx="2">
                  <c:v>3.1866442440433622</c:v>
                </c:pt>
                <c:pt idx="3">
                  <c:v>3.1866442440433622</c:v>
                </c:pt>
                <c:pt idx="4">
                  <c:v>2.1801322343954399</c:v>
                </c:pt>
                <c:pt idx="5">
                  <c:v>1.9923918712611461</c:v>
                </c:pt>
                <c:pt idx="6">
                  <c:v>0.99349249527396033</c:v>
                </c:pt>
                <c:pt idx="7">
                  <c:v>0.99349249527396</c:v>
                </c:pt>
                <c:pt idx="8">
                  <c:v>0.99349249527396022</c:v>
                </c:pt>
                <c:pt idx="9">
                  <c:v>0.99349249527396033</c:v>
                </c:pt>
                <c:pt idx="10">
                  <c:v>0.98925624712478111</c:v>
                </c:pt>
                <c:pt idx="11">
                  <c:v>0.98925624712478122</c:v>
                </c:pt>
                <c:pt idx="12">
                  <c:v>0.989256247124781</c:v>
                </c:pt>
                <c:pt idx="13">
                  <c:v>0.98925624712478111</c:v>
                </c:pt>
                <c:pt idx="14">
                  <c:v>0.97219381810605665</c:v>
                </c:pt>
                <c:pt idx="15">
                  <c:v>0.9721938181060561</c:v>
                </c:pt>
                <c:pt idx="16">
                  <c:v>0.97219381810605665</c:v>
                </c:pt>
                <c:pt idx="17">
                  <c:v>0.97219381810605621</c:v>
                </c:pt>
                <c:pt idx="18">
                  <c:v>0.96447811409586492</c:v>
                </c:pt>
                <c:pt idx="19">
                  <c:v>0.96447811409586526</c:v>
                </c:pt>
                <c:pt idx="20">
                  <c:v>0.9644781140958647</c:v>
                </c:pt>
                <c:pt idx="21">
                  <c:v>0.96447811409586515</c:v>
                </c:pt>
                <c:pt idx="22">
                  <c:v>1.2346371080936145</c:v>
                </c:pt>
                <c:pt idx="23">
                  <c:v>0.71277583546523704</c:v>
                </c:pt>
                <c:pt idx="24">
                  <c:v>0.71277583546523704</c:v>
                </c:pt>
                <c:pt idx="25">
                  <c:v>0.64865052878572238</c:v>
                </c:pt>
                <c:pt idx="26">
                  <c:v>0.64865052878572227</c:v>
                </c:pt>
                <c:pt idx="27">
                  <c:v>0.64865052878572249</c:v>
                </c:pt>
                <c:pt idx="28">
                  <c:v>0.58883603022432041</c:v>
                </c:pt>
                <c:pt idx="29">
                  <c:v>0.58883603022432041</c:v>
                </c:pt>
                <c:pt idx="30">
                  <c:v>0.54377424387404449</c:v>
                </c:pt>
                <c:pt idx="31">
                  <c:v>0.49390347884116831</c:v>
                </c:pt>
                <c:pt idx="32">
                  <c:v>0.46581271067122532</c:v>
                </c:pt>
                <c:pt idx="33">
                  <c:v>0.46748103293870785</c:v>
                </c:pt>
                <c:pt idx="34">
                  <c:v>0.47438315329571579</c:v>
                </c:pt>
                <c:pt idx="35">
                  <c:v>0.4539302003158569</c:v>
                </c:pt>
                <c:pt idx="36">
                  <c:v>0.46896505945330452</c:v>
                </c:pt>
                <c:pt idx="37">
                  <c:v>0.46896505945330441</c:v>
                </c:pt>
                <c:pt idx="38">
                  <c:v>0.46896505945330408</c:v>
                </c:pt>
                <c:pt idx="39">
                  <c:v>0.41794367727732951</c:v>
                </c:pt>
                <c:pt idx="40">
                  <c:v>0.40801314487638046</c:v>
                </c:pt>
                <c:pt idx="41">
                  <c:v>0.40801314487638041</c:v>
                </c:pt>
                <c:pt idx="42">
                  <c:v>0.40801314487638052</c:v>
                </c:pt>
                <c:pt idx="43">
                  <c:v>0.40465928299847476</c:v>
                </c:pt>
                <c:pt idx="44">
                  <c:v>0.40465928299847487</c:v>
                </c:pt>
                <c:pt idx="45">
                  <c:v>0.40465928299847481</c:v>
                </c:pt>
                <c:pt idx="46">
                  <c:v>0.43472086730880294</c:v>
                </c:pt>
                <c:pt idx="47">
                  <c:v>0.40049685142281399</c:v>
                </c:pt>
                <c:pt idx="48">
                  <c:v>0.39899565696396988</c:v>
                </c:pt>
                <c:pt idx="49">
                  <c:v>0.39899565696396982</c:v>
                </c:pt>
                <c:pt idx="50">
                  <c:v>0.39899565696396971</c:v>
                </c:pt>
                <c:pt idx="51">
                  <c:v>0.42926791244996948</c:v>
                </c:pt>
                <c:pt idx="52">
                  <c:v>0.42514130330014072</c:v>
                </c:pt>
                <c:pt idx="53">
                  <c:v>0.37917612056812583</c:v>
                </c:pt>
                <c:pt idx="54">
                  <c:v>0.37917612056812583</c:v>
                </c:pt>
                <c:pt idx="55">
                  <c:v>0.37917612056812583</c:v>
                </c:pt>
                <c:pt idx="56">
                  <c:v>0.37917612056812583</c:v>
                </c:pt>
                <c:pt idx="57">
                  <c:v>0.37917612056812583</c:v>
                </c:pt>
                <c:pt idx="58">
                  <c:v>0.37917612056812589</c:v>
                </c:pt>
                <c:pt idx="59">
                  <c:v>0.37917612056812589</c:v>
                </c:pt>
                <c:pt idx="60">
                  <c:v>0.37917612056812589</c:v>
                </c:pt>
                <c:pt idx="61">
                  <c:v>0.37917612056812589</c:v>
                </c:pt>
                <c:pt idx="62">
                  <c:v>0.37917612056812589</c:v>
                </c:pt>
                <c:pt idx="63">
                  <c:v>0.3790891947555704</c:v>
                </c:pt>
                <c:pt idx="64">
                  <c:v>0.37908919475557001</c:v>
                </c:pt>
                <c:pt idx="65">
                  <c:v>0.37908919475557018</c:v>
                </c:pt>
                <c:pt idx="66">
                  <c:v>0.37908919475557046</c:v>
                </c:pt>
                <c:pt idx="67">
                  <c:v>0.37908919475557046</c:v>
                </c:pt>
                <c:pt idx="68">
                  <c:v>0.37451469984598762</c:v>
                </c:pt>
                <c:pt idx="69">
                  <c:v>0.37451469984598751</c:v>
                </c:pt>
                <c:pt idx="70">
                  <c:v>0.37451469984598751</c:v>
                </c:pt>
                <c:pt idx="71">
                  <c:v>0.3745146998459879</c:v>
                </c:pt>
                <c:pt idx="72">
                  <c:v>0.37451469984598773</c:v>
                </c:pt>
                <c:pt idx="73">
                  <c:v>0.37451469984598773</c:v>
                </c:pt>
                <c:pt idx="74">
                  <c:v>0.36959385476060935</c:v>
                </c:pt>
                <c:pt idx="75">
                  <c:v>0.36959385476060941</c:v>
                </c:pt>
                <c:pt idx="76">
                  <c:v>0.36959385476060896</c:v>
                </c:pt>
                <c:pt idx="77">
                  <c:v>0.36587387271206179</c:v>
                </c:pt>
                <c:pt idx="78">
                  <c:v>0.36587387271206179</c:v>
                </c:pt>
                <c:pt idx="79">
                  <c:v>0.36587387271206195</c:v>
                </c:pt>
                <c:pt idx="80">
                  <c:v>0.36587387271206184</c:v>
                </c:pt>
                <c:pt idx="81">
                  <c:v>0.36587387271206173</c:v>
                </c:pt>
                <c:pt idx="82">
                  <c:v>0.34498160624919411</c:v>
                </c:pt>
                <c:pt idx="83">
                  <c:v>0.34498160624919411</c:v>
                </c:pt>
                <c:pt idx="84">
                  <c:v>0.34498160624919411</c:v>
                </c:pt>
                <c:pt idx="85">
                  <c:v>0.34089952813916174</c:v>
                </c:pt>
                <c:pt idx="86">
                  <c:v>0.34089952813916158</c:v>
                </c:pt>
                <c:pt idx="87">
                  <c:v>0.34089952813916169</c:v>
                </c:pt>
                <c:pt idx="88">
                  <c:v>0.34089952813916169</c:v>
                </c:pt>
                <c:pt idx="89">
                  <c:v>0.33650621989511281</c:v>
                </c:pt>
                <c:pt idx="90">
                  <c:v>0.33650621989511242</c:v>
                </c:pt>
                <c:pt idx="91">
                  <c:v>0.33650621989511265</c:v>
                </c:pt>
                <c:pt idx="92">
                  <c:v>0.33318354808967293</c:v>
                </c:pt>
                <c:pt idx="93">
                  <c:v>0.33318354808967315</c:v>
                </c:pt>
                <c:pt idx="94">
                  <c:v>0.33318354808967304</c:v>
                </c:pt>
                <c:pt idx="95">
                  <c:v>0.33318354808967326</c:v>
                </c:pt>
                <c:pt idx="96">
                  <c:v>0.33963532158215359</c:v>
                </c:pt>
                <c:pt idx="97">
                  <c:v>0.33963532158215359</c:v>
                </c:pt>
                <c:pt idx="98">
                  <c:v>0.33963532158215365</c:v>
                </c:pt>
                <c:pt idx="99">
                  <c:v>0.3396353215821537</c:v>
                </c:pt>
                <c:pt idx="100">
                  <c:v>0.32624908804963582</c:v>
                </c:pt>
                <c:pt idx="101">
                  <c:v>0.33577031010181413</c:v>
                </c:pt>
                <c:pt idx="102">
                  <c:v>0.30971091756829955</c:v>
                </c:pt>
                <c:pt idx="103">
                  <c:v>0.30971091756829949</c:v>
                </c:pt>
                <c:pt idx="104">
                  <c:v>0.30971091756829938</c:v>
                </c:pt>
                <c:pt idx="105">
                  <c:v>0.31614264138282328</c:v>
                </c:pt>
                <c:pt idx="106">
                  <c:v>0.31614264138282328</c:v>
                </c:pt>
                <c:pt idx="107">
                  <c:v>0.31614264138282328</c:v>
                </c:pt>
                <c:pt idx="108">
                  <c:v>0.31614264138282328</c:v>
                </c:pt>
                <c:pt idx="109">
                  <c:v>0.3153617667311443</c:v>
                </c:pt>
                <c:pt idx="110">
                  <c:v>0.29323668571160399</c:v>
                </c:pt>
                <c:pt idx="111">
                  <c:v>0.28584445690691135</c:v>
                </c:pt>
                <c:pt idx="112">
                  <c:v>0.27622983266289336</c:v>
                </c:pt>
                <c:pt idx="113">
                  <c:v>0.19904153399547286</c:v>
                </c:pt>
                <c:pt idx="114">
                  <c:v>0.23208747887355</c:v>
                </c:pt>
                <c:pt idx="115">
                  <c:v>0.23633290944561505</c:v>
                </c:pt>
                <c:pt idx="116">
                  <c:v>0.23291172218002998</c:v>
                </c:pt>
                <c:pt idx="117">
                  <c:v>0.22652429799630475</c:v>
                </c:pt>
                <c:pt idx="118">
                  <c:v>0.20485172617018638</c:v>
                </c:pt>
                <c:pt idx="119">
                  <c:v>0.19126154200463513</c:v>
                </c:pt>
                <c:pt idx="120">
                  <c:v>0.14217252428248059</c:v>
                </c:pt>
                <c:pt idx="121">
                  <c:v>0.12440095874717043</c:v>
                </c:pt>
                <c:pt idx="122">
                  <c:v>0.12301762236463226</c:v>
                </c:pt>
                <c:pt idx="123">
                  <c:v>0.15467706004248297</c:v>
                </c:pt>
                <c:pt idx="124">
                  <c:v>0.11056470146366472</c:v>
                </c:pt>
                <c:pt idx="125">
                  <c:v>9.952076699773614E-2</c:v>
                </c:pt>
                <c:pt idx="126">
                  <c:v>9.0473424543396491E-2</c:v>
                </c:pt>
                <c:pt idx="127">
                  <c:v>0.10730163737185326</c:v>
                </c:pt>
                <c:pt idx="128">
                  <c:v>9.6474676151997077E-2</c:v>
                </c:pt>
                <c:pt idx="129">
                  <c:v>9.5865839559562807E-2</c:v>
                </c:pt>
                <c:pt idx="130">
                  <c:v>7.4357847662596663E-2</c:v>
                </c:pt>
                <c:pt idx="131">
                  <c:v>7.3200826970866495E-2</c:v>
                </c:pt>
                <c:pt idx="132">
                  <c:v>6.8000879783409213E-2</c:v>
                </c:pt>
                <c:pt idx="133">
                  <c:v>6.3799989437185761E-2</c:v>
                </c:pt>
                <c:pt idx="134">
                  <c:v>6.3799989437185803E-2</c:v>
                </c:pt>
                <c:pt idx="135">
                  <c:v>5.9123744861084231E-2</c:v>
                </c:pt>
                <c:pt idx="136">
                  <c:v>5.1838968588585985E-2</c:v>
                </c:pt>
                <c:pt idx="137">
                  <c:v>4.8778054921906532E-2</c:v>
                </c:pt>
                <c:pt idx="138">
                  <c:v>3.2701162666104303E-2</c:v>
                </c:pt>
                <c:pt idx="139">
                  <c:v>3.2608773116410111E-2</c:v>
                </c:pt>
                <c:pt idx="140">
                  <c:v>4.2663058664002079E-2</c:v>
                </c:pt>
                <c:pt idx="141">
                  <c:v>3.015139560366142E-2</c:v>
                </c:pt>
                <c:pt idx="142">
                  <c:v>2.8904395293413827E-2</c:v>
                </c:pt>
                <c:pt idx="143">
                  <c:v>3.2372358888143091E-2</c:v>
                </c:pt>
                <c:pt idx="144">
                  <c:v>7.080857420137367E-3</c:v>
                </c:pt>
                <c:pt idx="145">
                  <c:v>2.0197163391363428E-2</c:v>
                </c:pt>
                <c:pt idx="146">
                  <c:v>8.9728657144949962E-3</c:v>
                </c:pt>
                <c:pt idx="147">
                  <c:v>6.649206277767189E-3</c:v>
                </c:pt>
                <c:pt idx="148">
                  <c:v>5.2075400040133384E-3</c:v>
                </c:pt>
                <c:pt idx="149">
                  <c:v>6.7882553982817166E-3</c:v>
                </c:pt>
                <c:pt idx="150">
                  <c:v>4.4675237858809594E-3</c:v>
                </c:pt>
                <c:pt idx="151">
                  <c:v>-9.5829051758464165E-2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D-441C-BE54-4238827498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40855632"/>
        <c:axId val="240856024"/>
      </c:barChart>
      <c:catAx>
        <c:axId val="240855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56024"/>
        <c:crosses val="autoZero"/>
        <c:auto val="0"/>
        <c:lblAlgn val="ctr"/>
        <c:lblOffset val="100"/>
        <c:noMultiLvlLbl val="0"/>
      </c:catAx>
      <c:valAx>
        <c:axId val="240856024"/>
        <c:scaling>
          <c:orientation val="minMax"/>
          <c:max val="3.2"/>
          <c:min val="-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w="lg" len="lg"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5563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39-4F57-9153-C6507E8860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39-4F57-9153-C6507E88600C}"/>
              </c:ext>
            </c:extLst>
          </c:dPt>
          <c:dLbls>
            <c:dLbl>
              <c:idx val="0"/>
              <c:layout>
                <c:manualLayout>
                  <c:x val="8.5470123817270607E-2"/>
                  <c:y val="-7.0512856103803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39-4F57-9153-C6507E88600C}"/>
                </c:ext>
              </c:extLst>
            </c:dLbl>
            <c:dLbl>
              <c:idx val="1"/>
              <c:layout>
                <c:manualLayout>
                  <c:x val="-7.4074107308301301E-2"/>
                  <c:y val="8.3333375395404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39-4F57-9153-C6507E886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'TRC Figure'!$V$3:$V$4</c:f>
              <c:strCache>
                <c:ptCount val="2"/>
                <c:pt idx="0">
                  <c:v>No change to TRC</c:v>
                </c:pt>
                <c:pt idx="1">
                  <c:v>Total measures</c:v>
                </c:pt>
              </c:strCache>
            </c:strRef>
          </c:cat>
          <c:val>
            <c:numRef>
              <c:f>'TRC Figure'!$W$3:$W$4</c:f>
              <c:numCache>
                <c:formatCode>General</c:formatCode>
                <c:ptCount val="2"/>
                <c:pt idx="0">
                  <c:v>85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39-4F57-9153-C6507E886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TRC Test Impact Due</a:t>
            </a:r>
            <a:r>
              <a:rPr lang="en-US" baseline="0"/>
              <a:t> to NEB Addition (% change)</a:t>
            </a:r>
          </a:p>
        </c:rich>
      </c:tx>
      <c:layout>
        <c:manualLayout>
          <c:xMode val="edge"/>
          <c:yMode val="edge"/>
          <c:x val="0.356437059003430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9371445362936411"/>
          <c:y val="1.3618768178585572E-2"/>
          <c:w val="0.7541723688091736"/>
          <c:h val="0.97956280326007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19"/>
              <c:layout>
                <c:manualLayout>
                  <c:x val="1.3484898873050409E-4"/>
                  <c:y val="1.620300324274674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1-4E78-B35A-C94A1097C79F}"/>
                </c:ext>
              </c:extLst>
            </c:dLbl>
            <c:dLbl>
              <c:idx val="237"/>
              <c:layout>
                <c:manualLayout>
                  <c:x val="-4.142221966677081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1-4E78-B35A-C94A1097C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0" tIns="19050" rIns="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'TRC Figure'!$A$1:$A$238</c:f>
              <c:strCache>
                <c:ptCount val="238"/>
                <c:pt idx="0">
                  <c:v>Residential - Efficient Product Rebates; Room A/C Retirement; RES-HVAC/Shell; RES-SF</c:v>
                </c:pt>
                <c:pt idx="1">
                  <c:v>BNI- Direct Installation; Faucet Aerator; COM-Other; Office</c:v>
                </c:pt>
                <c:pt idx="2">
                  <c:v>BNI- Direct Installation; Faucet Aerator; COM-Other; Other Commercial</c:v>
                </c:pt>
                <c:pt idx="3">
                  <c:v>BNI- Direct Installation; Faucet Aerator; COM-Other; Retail</c:v>
                </c:pt>
                <c:pt idx="4">
                  <c:v>Existing Residential; DHW Pipe Insulation; RES-Water Heat; MURB</c:v>
                </c:pt>
                <c:pt idx="5">
                  <c:v>BNI- Direct Installation; Low Flow Showerheads; COM-Other; Other Commercial</c:v>
                </c:pt>
                <c:pt idx="6">
                  <c:v>BNI- Direct Installation; Ground Source Heat Pump; COM-HVAC; School</c:v>
                </c:pt>
                <c:pt idx="7">
                  <c:v>BNI- Direct Installation; Ground/Water Source Heat Pumps; COM-HVAC; School</c:v>
                </c:pt>
                <c:pt idx="8">
                  <c:v>BNI- Direct Installation; High-Efficiency Air Source Heat Pumps: Electric Baseboards; COM-HVAC; School</c:v>
                </c:pt>
                <c:pt idx="9">
                  <c:v>BNI- Direct Installation; High-Efficiency Air Source Heat Pumps: Air Source Heat Pumps (1-11) Tons, Baseline; COM-HVAC; School</c:v>
                </c:pt>
                <c:pt idx="10">
                  <c:v>BNI- Direct Installation; Ground Source Heat Pump; COM-HVAC; Retail</c:v>
                </c:pt>
                <c:pt idx="11">
                  <c:v>BNI- Direct Installation; Ground/Water Source Heat Pumps; COM-HVAC; Retail</c:v>
                </c:pt>
                <c:pt idx="12">
                  <c:v>BNI- Direct Installation; High-Efficiency Air Source Heat Pumps: Air Source Heat Pumps (1-11) Tons, Baseline; COM-HVAC; Retail</c:v>
                </c:pt>
                <c:pt idx="13">
                  <c:v>BNI- Direct Installation; High-Efficiency Air Source Heat Pumps: Electric Baseboards; COM-HVAC; Retail</c:v>
                </c:pt>
                <c:pt idx="14">
                  <c:v>BNI- Direct Installation; High-Efficiency Air Source Heat Pumps: Air Source Heat Pumps (1-11) Tons, Baseline; COM-HVAC; Other Commercial</c:v>
                </c:pt>
                <c:pt idx="15">
                  <c:v>BNI- Direct Installation; High-Efficiency Air Source Heat Pumps: Electric Baseboards; COM-HVAC; Other Commercial</c:v>
                </c:pt>
                <c:pt idx="16">
                  <c:v>BNI- Direct Installation; Ground/Water Source Heat Pumps; COM-HVAC; Other Commercial</c:v>
                </c:pt>
                <c:pt idx="17">
                  <c:v>BNI- Direct Installation; Ground Source Heat Pump; COM-HVAC; Other Commercial</c:v>
                </c:pt>
                <c:pt idx="18">
                  <c:v>BNI- Direct Installation; Ground Source Heat Pump; COM-HVAC; Office</c:v>
                </c:pt>
                <c:pt idx="19">
                  <c:v>BNI- Direct Installation; Ground/Water Source Heat Pumps; COM-HVAC; Office</c:v>
                </c:pt>
                <c:pt idx="20">
                  <c:v>BNI- Direct Installation; High-Efficiency Air Source Heat Pumps: Air Source Heat Pumps (1-11) Tons, Baseline; COM-HVAC; Office</c:v>
                </c:pt>
                <c:pt idx="21">
                  <c:v>BNI- Direct Installation; High-Efficiency Air Source Heat Pumps: Electric Baseboards; COM-HVAC; Office</c:v>
                </c:pt>
                <c:pt idx="22">
                  <c:v>BNI - Efficient Product Rebates; ENERGY STAR® Self Contained Ice Maker; COM-Refrigeration; Retail</c:v>
                </c:pt>
                <c:pt idx="23">
                  <c:v>BNI- Direct Installation; DHW Tank Wrap; COM-Other; Office</c:v>
                </c:pt>
                <c:pt idx="24">
                  <c:v>BNI- Direct Installation; DHW Tank Wrap; COM-Other; Retail</c:v>
                </c:pt>
                <c:pt idx="25">
                  <c:v>BNI - Efficient Product Rebates; Solid Door Commercial Freezer; COM-Refrigeration; Retail</c:v>
                </c:pt>
                <c:pt idx="26">
                  <c:v>BNI - Efficient Product Rebates; Glass Door Commercial Refrigerator; COM-Refrigeration; Retail</c:v>
                </c:pt>
                <c:pt idx="27">
                  <c:v>BNI - Efficient Product Rebates; Solid Door Commercial Refrigerator; COM-Refrigeration; Retail</c:v>
                </c:pt>
                <c:pt idx="28">
                  <c:v>BNI- Direct Installation; DHW Pipe Insulation; COM-Other; Office</c:v>
                </c:pt>
                <c:pt idx="29">
                  <c:v>BNI- Direct Installation; DHW Pipe Insulation; COM-Other; Retail</c:v>
                </c:pt>
                <c:pt idx="30">
                  <c:v>Existing Residential; DHW Pipe Insulation; RES-Water Heat; RES-SF</c:v>
                </c:pt>
                <c:pt idx="31">
                  <c:v>BNI - Efficient Product Rebates; Single-Tank Door Type Dishwasher (Low Temp); COM-Other; Retail</c:v>
                </c:pt>
                <c:pt idx="32">
                  <c:v>BNI - Efficient Product Rebates; Multi-Tank Conveyor Commercial Dish Washer (Low Temp); COM-Other; Retail</c:v>
                </c:pt>
                <c:pt idx="33">
                  <c:v>Custom Incentives; Custom Efficiency; IND; Industrial </c:v>
                </c:pt>
                <c:pt idx="34">
                  <c:v>BNI - Efficient Product Rebates; Lighting Controls - Occupancy Sensors; IND; Industrial </c:v>
                </c:pt>
                <c:pt idx="35">
                  <c:v>Custom Incentives; Custom Efficiency; COM-Other; COM</c:v>
                </c:pt>
                <c:pt idx="36">
                  <c:v>BNI - Efficient Product Rebates; Daylighting Controls; COM-Lighting; School</c:v>
                </c:pt>
                <c:pt idx="37">
                  <c:v>BNI - Efficient Product Rebates; T8 Dimmable Stairwell Lighting; COM-Lighting; School</c:v>
                </c:pt>
                <c:pt idx="38">
                  <c:v>BNI - Efficient Product Rebates; Lighting Controls - Occupancy Sensors; COM-Lighting; School</c:v>
                </c:pt>
                <c:pt idx="39">
                  <c:v>Residential - Efficient Product Rebates; Hardwired Dimmer Switch; RES-Lighting; RES-SF</c:v>
                </c:pt>
                <c:pt idx="40">
                  <c:v>BNI - Efficient Product Rebates; T8 Dimmable Stairwell Lighting; COM-Lighting; Office</c:v>
                </c:pt>
                <c:pt idx="41">
                  <c:v>BNI - Efficient Product Rebates; Daylighting Controls; COM-Lighting; Office</c:v>
                </c:pt>
                <c:pt idx="42">
                  <c:v>BNI - Efficient Product Rebates; Lighting Controls - Occupancy Sensors; COM-Lighting; Office</c:v>
                </c:pt>
                <c:pt idx="43">
                  <c:v>BNI - Efficient Product Rebates; Daylighting Controls; COM-Lighting; Other Commercial</c:v>
                </c:pt>
                <c:pt idx="44">
                  <c:v>BNI - Efficient Product Rebates; T8 Dimmable Stairwell Lighting; COM-Lighting; Other Commercial</c:v>
                </c:pt>
                <c:pt idx="45">
                  <c:v>BNI - Efficient Product Rebates; Lighting Controls - Occupancy Sensors; COM-Lighting; Other Commercial</c:v>
                </c:pt>
                <c:pt idx="46">
                  <c:v>BNI - Efficient Product Rebates; LED Refrigeration Strip Lighting-End of Life replacement; COM-Lighting; Other Commercial</c:v>
                </c:pt>
                <c:pt idx="47">
                  <c:v>Existing Residential; Low Flow (1.25 GPM) showerhead; RES-Water Heat; MURB</c:v>
                </c:pt>
                <c:pt idx="48">
                  <c:v>BNI - Efficient Product Rebates; Lighting Controls - Occupancy Sensors; COM-Lighting; Retail</c:v>
                </c:pt>
                <c:pt idx="49">
                  <c:v>BNI - Efficient Product Rebates; T8 Dimmable Stairwell Lighting; COM-Lighting; Retail</c:v>
                </c:pt>
                <c:pt idx="50">
                  <c:v>BNI - Efficient Product Rebates; Daylighting Controls; COM-Lighting; Retail</c:v>
                </c:pt>
                <c:pt idx="51">
                  <c:v>BNI - Efficient Product Rebates; LED Refrigeration Strip Lighting-End of Life replacement; COM-Lighting; School</c:v>
                </c:pt>
                <c:pt idx="52">
                  <c:v>BNI - Efficient Product Rebates; LED Refrigeration Strip Lighting-End of Life replacement; COM-Lighting; Retail</c:v>
                </c:pt>
                <c:pt idx="53">
                  <c:v>BNI - Efficient Product Rebates; Photoluminescent Exit Sign; IND; Industrial </c:v>
                </c:pt>
                <c:pt idx="54">
                  <c:v>BNI - Efficient Product Rebates; Photoluminescent Exit Sign; COM-Lighting; Office</c:v>
                </c:pt>
                <c:pt idx="55">
                  <c:v>BNI - Efficient Product Rebates; Photoluminescent Exit Sign; COM-Lighting; Other Commercial</c:v>
                </c:pt>
                <c:pt idx="56">
                  <c:v>BNI - Efficient Product Rebates; Photoluminescent Exit Sign; COM-Lighting; Retail</c:v>
                </c:pt>
                <c:pt idx="57">
                  <c:v>BNI - Efficient Product Rebates; Photoluminescent Exit Sign; COM-Lighting; School</c:v>
                </c:pt>
                <c:pt idx="58">
                  <c:v>BNI - Efficient Product Rebates; LED Exit Sign-End of Life replacement; IND; Industrial </c:v>
                </c:pt>
                <c:pt idx="59">
                  <c:v>BNI - Efficient Product Rebates; LED Exit Sign-End of Life replacement; COM-Lighting; Office</c:v>
                </c:pt>
                <c:pt idx="60">
                  <c:v>BNI - Efficient Product Rebates; LED Exit Sign-End of Life replacement; COM-Lighting; Other Commercial</c:v>
                </c:pt>
                <c:pt idx="61">
                  <c:v>BNI - Efficient Product Rebates; LED Exit Sign-End of Life replacement; COM-Lighting; Retail</c:v>
                </c:pt>
                <c:pt idx="62">
                  <c:v>BNI - Efficient Product Rebates; LED Exit Sign-End of Life replacement; COM-Lighting; School</c:v>
                </c:pt>
                <c:pt idx="63">
                  <c:v>BNI - Efficient Product Rebates; LED Lamps-End of Life; COM-Lighting; Office</c:v>
                </c:pt>
                <c:pt idx="64">
                  <c:v>BNI- Direct Installation; LED Lamps-End of Life-BES; COM-Lighting; Office</c:v>
                </c:pt>
                <c:pt idx="65">
                  <c:v>BNI - Efficient Product Rebates; LED Linear Replacement Lamps; COM-Lighting; Office</c:v>
                </c:pt>
                <c:pt idx="66">
                  <c:v>BNI - Efficient Product Rebates; LED Lamps-Retrofit (dual baseline); COM-Lighting; Office</c:v>
                </c:pt>
                <c:pt idx="67">
                  <c:v>BNI- Direct Installation; LED Lamps-Retrofit (dual baseline)-BES; COM-Lighting; Office</c:v>
                </c:pt>
                <c:pt idx="68">
                  <c:v>BNI - Efficient Product Rebates; Fluorescent T5 and HPT8 Fixtures (4 FT) lamps-Retrofit (dual baseline); COM-Lighting; Other Commercial</c:v>
                </c:pt>
                <c:pt idx="69">
                  <c:v>BNI - Efficient Product Rebates; LED Lamps-End of Life; COM-Lighting; Other Commercial</c:v>
                </c:pt>
                <c:pt idx="70">
                  <c:v>BNI- Direct Installation; LED Lamps-End of Life-BES; COM-Lighting; Other Commercial</c:v>
                </c:pt>
                <c:pt idx="71">
                  <c:v>BNI- Direct Installation; LED Lamps-Retrofit (dual baseline)-BES; COM-Lighting; Other Commercial</c:v>
                </c:pt>
                <c:pt idx="72">
                  <c:v>BNI - Efficient Product Rebates; LED Linear Replacement Lamps; COM-Lighting; Other Commercial</c:v>
                </c:pt>
                <c:pt idx="73">
                  <c:v>BNI - Efficient Product Rebates; LED Lamps-Retrofit (dual baseline); COM-Lighting; Other Commercial</c:v>
                </c:pt>
                <c:pt idx="74">
                  <c:v>BNI - Efficient Product Rebates; LED Linear Replacement Lamps; COM-Lighting; School</c:v>
                </c:pt>
                <c:pt idx="75">
                  <c:v>BNI - Efficient Product Rebates; LED Lamps-Retrofit (dual baseline); COM-Lighting; School</c:v>
                </c:pt>
                <c:pt idx="76">
                  <c:v>BNI - Efficient Product Rebates; LED Lamps-End of Life; COM-Lighting; School</c:v>
                </c:pt>
                <c:pt idx="77">
                  <c:v>BNI - Efficient Product Rebates; LED Lamps-Retrofit (dual baseline); COM-Lighting; Retail</c:v>
                </c:pt>
                <c:pt idx="78">
                  <c:v>BNI- Direct Installation; LED Lamps-End of Life-BES; COM-Lighting; Retail</c:v>
                </c:pt>
                <c:pt idx="79">
                  <c:v>BNI- Direct Installation; LED Lamps-Retrofit (dual baseline)-BES; COM-Lighting; Retail</c:v>
                </c:pt>
                <c:pt idx="80">
                  <c:v>BNI - Efficient Product Rebates; LED Linear Replacement Lamps; COM-Lighting; Retail</c:v>
                </c:pt>
                <c:pt idx="81">
                  <c:v>BNI - Efficient Product Rebates; LED Lamps-End of Life; COM-Lighting; Retail</c:v>
                </c:pt>
                <c:pt idx="82">
                  <c:v>BNI- Direct Installation; Relamp/Reballast-Retrofit (dual baseline)-BES; COM-Lighting; Office</c:v>
                </c:pt>
                <c:pt idx="83">
                  <c:v>BNI - Efficient Product Rebates; Relamp/Reballast-Retrofit (dual baseline); COM-Lighting; Office</c:v>
                </c:pt>
                <c:pt idx="84">
                  <c:v>BNI - Efficient Product Rebates; LED Low Bay Fixture; COM-Lighting; Office</c:v>
                </c:pt>
                <c:pt idx="85">
                  <c:v>BNI - Efficient Product Rebates; LED High Bay Fixture; COM-Lighting; Other Commercial</c:v>
                </c:pt>
                <c:pt idx="86">
                  <c:v>BNI - Efficient Product Rebates; LED Low Bay Fixture; COM-Lighting; Other Commercial</c:v>
                </c:pt>
                <c:pt idx="87">
                  <c:v>BNI- Direct Installation; Relamp/Reballast-Retrofit (dual baseline)-BES; COM-Lighting; Other Commercial</c:v>
                </c:pt>
                <c:pt idx="88">
                  <c:v>BNI - Efficient Product Rebates; Relamp/Reballast-Retrofit (dual baseline); COM-Lighting; Other Commercial</c:v>
                </c:pt>
                <c:pt idx="89">
                  <c:v>BNI - Efficient Product Rebates; LED Low Bay Fixture; COM-Lighting; School</c:v>
                </c:pt>
                <c:pt idx="90">
                  <c:v>BNI - Efficient Product Rebates; Relamp/Reballast-Retrofit (dual baseline); COM-Lighting; School</c:v>
                </c:pt>
                <c:pt idx="91">
                  <c:v>BNI - Efficient Product Rebates; LED High Bay Fixture; COM-Lighting; School</c:v>
                </c:pt>
                <c:pt idx="92">
                  <c:v>BNI - Efficient Product Rebates; LED Low Bay Fixture; COM-Lighting; Retail</c:v>
                </c:pt>
                <c:pt idx="93">
                  <c:v>BNI- Direct Installation; Relamp/Reballast-Retrofit (dual baseline)-BES; COM-Lighting; Retail</c:v>
                </c:pt>
                <c:pt idx="94">
                  <c:v>BNI - Efficient Product Rebates; LED High Bay Fixture; COM-Lighting; Retail</c:v>
                </c:pt>
                <c:pt idx="95">
                  <c:v>BNI - Efficient Product Rebates; Relamp/Reballast-Retrofit (dual baseline); COM-Lighting; Retail</c:v>
                </c:pt>
                <c:pt idx="96">
                  <c:v>BNI - Efficient Product Rebates; LED Linear Replacement Lamps; IND; Industrial </c:v>
                </c:pt>
                <c:pt idx="97">
                  <c:v>BNI - Efficient Product Rebates; LED Lamps-End of Life; IND; Industrial </c:v>
                </c:pt>
                <c:pt idx="98">
                  <c:v>BNI - Efficient Product Rebates; T8 Dimmable Stairwell Lighting; IND; Industrial </c:v>
                </c:pt>
                <c:pt idx="99">
                  <c:v>BNI - Efficient Product Rebates; LED Lamps-Retrofit (dual baseline); IND; Industrial </c:v>
                </c:pt>
                <c:pt idx="100">
                  <c:v>Existing Residential; DHW Tank Wrap; RES-Water Heat; MURB</c:v>
                </c:pt>
                <c:pt idx="101">
                  <c:v>BNI - Efficient Product Rebates; ENERGY STAR® Ice Making Head; COM-Refrigeration; Retail</c:v>
                </c:pt>
                <c:pt idx="102">
                  <c:v>BNI - Efficient Product Rebates; Relamp/Reballast-Retrofit (dual baseline); IND; Industrial </c:v>
                </c:pt>
                <c:pt idx="103">
                  <c:v>BNI - Efficient Product Rebates; LED Low Bay Fixture; IND; Industrial </c:v>
                </c:pt>
                <c:pt idx="104">
                  <c:v>BNI - Efficient Product Rebates; LED High Bay Fixture; IND; Industrial </c:v>
                </c:pt>
                <c:pt idx="105">
                  <c:v>BNI - Efficient Product Rebates; LED Exterior Fixtures-End of Life replacement; COM-Lighting; Office</c:v>
                </c:pt>
                <c:pt idx="106">
                  <c:v>BNI - Efficient Product Rebates; LED Exterior Fixtures-End of Life replacement; COM-Lighting; Other Commercial</c:v>
                </c:pt>
                <c:pt idx="107">
                  <c:v>BNI - Efficient Product Rebates; LED Exterior Fixtures-End of Life replacement; COM-Lighting; Retail</c:v>
                </c:pt>
                <c:pt idx="108">
                  <c:v>BNI - Efficient Product Rebates; LED Exterior Fixtures-End of Life replacement; COM-Lighting; School</c:v>
                </c:pt>
                <c:pt idx="109">
                  <c:v>BNI - Efficient Product Rebates; LED Exterior Fixtures-End of Life replacement; IND; Industrial </c:v>
                </c:pt>
                <c:pt idx="110">
                  <c:v>BNI - Efficient Product Rebates; Single-Tank Conveyor Dishwasher (Low Temp); COM-Other; Retail</c:v>
                </c:pt>
                <c:pt idx="111">
                  <c:v>Existing Residential; Low Flow (1.25 GPM) showerhead; RES-Water Heat; RES-SF</c:v>
                </c:pt>
                <c:pt idx="112">
                  <c:v>Existing Residential; DHW Tank Wrap; RES-Water Heat; RES-SF</c:v>
                </c:pt>
                <c:pt idx="113">
                  <c:v>New Residential; EnerGuide 83 New Home; RES-Package; RES-NC</c:v>
                </c:pt>
                <c:pt idx="114">
                  <c:v>BNI - Efficient Product Rebates; Single Tank Door Dishwasher with Booster (High Temp); COM-Other; Retail</c:v>
                </c:pt>
                <c:pt idx="115">
                  <c:v>Existing Residential; 1W LED Nightlight; RES-Lighting; MURB</c:v>
                </c:pt>
                <c:pt idx="116">
                  <c:v>Existing Residential; 12 W LED: 23 W CFL baseline; RES-Lighting; MURB</c:v>
                </c:pt>
                <c:pt idx="117">
                  <c:v>BNI - Efficient Product Rebates; ENERGY STAR® Remote Condensing Head/Split System Ice Maker; COM-Refrigeration; Retail</c:v>
                </c:pt>
                <c:pt idx="118">
                  <c:v>BNI - Efficient Product Rebates; Multi Tank Conveyor Dishwasher with Booster (High Temp); COM-Other; Retail</c:v>
                </c:pt>
                <c:pt idx="119">
                  <c:v>Existing Residential; 1W LED Nightlight; RES-Lighting; RES-SF</c:v>
                </c:pt>
                <c:pt idx="120">
                  <c:v>New Residential; EnerGuide 85 New Home; RES-Package; RES-NC</c:v>
                </c:pt>
                <c:pt idx="121">
                  <c:v>New Residential; EnerGuide 86 New Home; RES-Package; RES-NC</c:v>
                </c:pt>
                <c:pt idx="122">
                  <c:v>Existing Residential; Building Envelope Retrofits (Insulation, Draft Proofing, EnergyStar Windows and Doors); RES-HVAC/Shell; RES-SF</c:v>
                </c:pt>
                <c:pt idx="123">
                  <c:v>Residential - Efficient Product Rebates; Indoor Motion Sensor; RES-Lighting; RES-SF</c:v>
                </c:pt>
                <c:pt idx="124">
                  <c:v>New Residential; EnerGuide 87 New Home; RES-Package; RES-NC</c:v>
                </c:pt>
                <c:pt idx="125">
                  <c:v>New Residential; EnerGuide 88 New Home; RES-Package; RES-NC</c:v>
                </c:pt>
                <c:pt idx="126">
                  <c:v>New Residential; EnerGuide 88+ New Home; RES-Package; RES-NC</c:v>
                </c:pt>
                <c:pt idx="127">
                  <c:v>Existing Residential; Low Flow Faucet Aerator, 1.5 GPM; RES-Water Heat; MURB</c:v>
                </c:pt>
                <c:pt idx="128">
                  <c:v>BNI - Efficient Product Rebates; Under Counter Commercial Dishwasher (Low Temp); COM-Other; Retail</c:v>
                </c:pt>
                <c:pt idx="129">
                  <c:v>BNI - Efficient Product Rebates; Single Tank Conveyor Dishwasher with Booster (High Temp); COM-Other; Retail</c:v>
                </c:pt>
                <c:pt idx="130">
                  <c:v>BNI - Efficient Product Rebates; Under Counter Dishwasher with Booster (High Temp); COM-Other; Retail</c:v>
                </c:pt>
                <c:pt idx="131">
                  <c:v>Existing Residential; 5W Chandelier LED bulb; RES-Lighting; MURB</c:v>
                </c:pt>
                <c:pt idx="132">
                  <c:v>Residential - Efficient Product Rebates; ENERGY STAR® LED Lamps; RES-Lighting; RES-SF</c:v>
                </c:pt>
                <c:pt idx="133">
                  <c:v>Custom Incentives; Whole Building 40% Over Baseline; COM-Other; New Construction - BNI</c:v>
                </c:pt>
                <c:pt idx="134">
                  <c:v>Custom Incentives; Whole Building 20% Over Baseline; COM-Other; New Construction - BNI</c:v>
                </c:pt>
                <c:pt idx="135">
                  <c:v>Existing Residential; 8 W LED; RES-Lighting; MURB</c:v>
                </c:pt>
                <c:pt idx="136">
                  <c:v>Existing Residential; 10.5 W LED; RES-Lighting; RES-SF</c:v>
                </c:pt>
                <c:pt idx="137">
                  <c:v>Residential - Efficient Product Rebates; Outdoor Motion Sensor; RES-Lighting; RES-SF</c:v>
                </c:pt>
                <c:pt idx="138">
                  <c:v>Existing Residential; Certified Pellet Boiler or Furnace Supplemented by Baseboard Heat (Whole Home); RES-HVAC/Shell; RES-SF</c:v>
                </c:pt>
                <c:pt idx="139">
                  <c:v>Existing Residential; Certified Wood Boiler or Furnace; RES-HVAC/Shell; RES-SF</c:v>
                </c:pt>
                <c:pt idx="140">
                  <c:v>Existing Residential; 12 W LED: Blended 75W and 100W incandescent baseline; RES-Lighting; MURB</c:v>
                </c:pt>
                <c:pt idx="141">
                  <c:v>Existing Residential; Ground Source Heat Pump; RES-HVAC/Shell; RES-SF</c:v>
                </c:pt>
                <c:pt idx="142">
                  <c:v>Existing Residential; ENERGY STAR® Windows (300 ft2) (Replace Double Pane); RES-HVAC/Shell; RES-SF</c:v>
                </c:pt>
                <c:pt idx="143">
                  <c:v>Existing Residential; 11 W LED; RES-Lighting; RES-SF</c:v>
                </c:pt>
                <c:pt idx="144">
                  <c:v>Existing Residential; Solar DHW; RES-Water Heat; RES-SF</c:v>
                </c:pt>
                <c:pt idx="145">
                  <c:v>Residential - Efficient Product Rebates; Heavy Duty Outdoor Timer; RES-Plug Load; RES-SF</c:v>
                </c:pt>
                <c:pt idx="146">
                  <c:v>Existing Residential; ENERGY STAR® Windows (Replace Single Pane); RES-HVAC/Shell; RES-SF</c:v>
                </c:pt>
                <c:pt idx="147">
                  <c:v>Existing Residential; ENERGY STAR® Air Source Heat Pump; RES-HVAC/Shell; RES-SF</c:v>
                </c:pt>
                <c:pt idx="148">
                  <c:v>Existing Residential; Certified Pellet Stove; RES-HVAC/Shell; RES-SF</c:v>
                </c:pt>
                <c:pt idx="149">
                  <c:v>Existing Residential; Low Flow Faucet Aerator, 1.5 GPM; RES-Water Heat; RES-SF</c:v>
                </c:pt>
                <c:pt idx="150">
                  <c:v>Existing Residential; Certified Wood Stove; RES-HVAC/Shell; RES-SF</c:v>
                </c:pt>
                <c:pt idx="151">
                  <c:v>Residential - Efficient Product Rebates; Freezer Retirement; RES-Appliance; RES-SF</c:v>
                </c:pt>
                <c:pt idx="152">
                  <c:v>Residential - Efficient Product Rebates; Refrigerator Retirement; RES-Appliance; RES-SF</c:v>
                </c:pt>
                <c:pt idx="153">
                  <c:v>Existing Residential; Advanced Automatic Pellet Combo Boiler; RES-HVAC/Shell; RES-SF</c:v>
                </c:pt>
                <c:pt idx="154">
                  <c:v>Existing Residential; ENERGY STAR® Refrigerator (Replacement); RES-Appliance; MURB</c:v>
                </c:pt>
                <c:pt idx="155">
                  <c:v>New Residential; Solar DHW; RES-Water Heat; RES-NC</c:v>
                </c:pt>
                <c:pt idx="156">
                  <c:v>Existing Residential; Solar Space and Water Heat (Supplement Electricity); RES-Package; RES-SF</c:v>
                </c:pt>
                <c:pt idx="157">
                  <c:v>Existing Residential; ENERGY STAR® Door; RES-HVAC/Shell; RES-SF</c:v>
                </c:pt>
                <c:pt idx="158">
                  <c:v>New Residential; Solar Space and Water Heat (Supplement Electricity); RES-Package; RES-NC</c:v>
                </c:pt>
                <c:pt idx="159">
                  <c:v>New Residential; Solar Space Heating (Displacing Electricity); RES-HVAC/Shell; RES-NC</c:v>
                </c:pt>
                <c:pt idx="160">
                  <c:v>Residential - Efficient Product Rebates; Smartstrip; RES-Plug Load; RES-SF</c:v>
                </c:pt>
                <c:pt idx="161">
                  <c:v>BNI- Direct Installation; Night Covers for 3' Refrigerated Display Cases-BES; COM-Refrigeration; Retail</c:v>
                </c:pt>
                <c:pt idx="162">
                  <c:v>BNI - Efficient Product Rebates; Dairy Scroll Compressor; COM-Other; Other Commercial</c:v>
                </c:pt>
                <c:pt idx="163">
                  <c:v>BNI - Efficient Product Rebates; Night Covers for 3' Refrigerated Display Cases; COM-Refrigeration; Retail</c:v>
                </c:pt>
                <c:pt idx="164">
                  <c:v>BNI- Direct Installation; Night Covers for 3' Refrigerated Display Cases-BES; COM-Refrigeration; Other Commercial</c:v>
                </c:pt>
                <c:pt idx="165">
                  <c:v>BNI - Efficient Product Rebates; Variable Speed Drive Screw Compressors (10 - 40 hp); COM-Process; School</c:v>
                </c:pt>
                <c:pt idx="166">
                  <c:v>BNI - Efficient Product Rebates; Air Tanks for Load / No-Load Screw Compressors (10 – 40 hp); COM-Process; School</c:v>
                </c:pt>
                <c:pt idx="167">
                  <c:v>BNI - Efficient Product Rebates; Integrated Dual Enthalpy Economizer Controls; COM-HVAC; School</c:v>
                </c:pt>
                <c:pt idx="168">
                  <c:v>BNI - Efficient Product Rebates; Variable Speed Drive for Kitchen exhaust fans (Demand Controlled Ventilation) ; COM-Motors; Retail</c:v>
                </c:pt>
                <c:pt idx="169">
                  <c:v>BNI - Efficient Product Rebates; Integrated Dual Enthalpy Economizer Controls; COM-HVAC; Retail</c:v>
                </c:pt>
                <c:pt idx="170">
                  <c:v>BNI - Efficient Product Rebates; Half Size Commercial Hot Food Holding Cabinet; COM-Other; Retail</c:v>
                </c:pt>
                <c:pt idx="171">
                  <c:v>BNI - Efficient Product Rebates; Night Covers for 3' Refrigerated Display Cases; COM-Refrigeration; Other Commercial</c:v>
                </c:pt>
                <c:pt idx="172">
                  <c:v>Residential - Efficient Product Rebates; Power bar with integrated timer; RES-Plug Load; RES-SF</c:v>
                </c:pt>
                <c:pt idx="173">
                  <c:v>BNI - Efficient Product Rebates; Zero Energy Doors for Reach-In Coolers and Freezers; COM-Refrigeration; School</c:v>
                </c:pt>
                <c:pt idx="174">
                  <c:v>BNI - Efficient Product Rebates; Zero Energy Doors for Reach-In Coolers and Freezers; COM-Refrigeration; Other Commercial</c:v>
                </c:pt>
                <c:pt idx="175">
                  <c:v>BNI - Efficient Product Rebates; Zero Energy Doors for Reach-In Coolers and Freezers; COM-Refrigeration; Retail</c:v>
                </c:pt>
                <c:pt idx="176">
                  <c:v>BNI - Efficient Product Rebates; Night Covers for 3' Refrigerated Display Cases; COM-Refrigeration; School</c:v>
                </c:pt>
                <c:pt idx="177">
                  <c:v>BNI- Direct Installation; Electronically Commutated (Brushless) DC Motors for Refrigeration Applications-BES; COM-Refrigeration; Other Commercial</c:v>
                </c:pt>
                <c:pt idx="178">
                  <c:v>BNI- Direct Installation; Electronically Commutated (Brushless) DC Motors for Refrigeration Applications-BES; COM-Refrigeration; Retail</c:v>
                </c:pt>
                <c:pt idx="179">
                  <c:v>BNI - Efficient Product Rebates; Three Quarter Size Commercial Hot Food Holding Cabinet; COM-Other; Retail</c:v>
                </c:pt>
                <c:pt idx="180">
                  <c:v>Existing Residential; Solar Space Heating (Displacing Electricity); RES-HVAC/Shell; RES-SF</c:v>
                </c:pt>
                <c:pt idx="181">
                  <c:v>BNI - Efficient Product Rebates; Variable Speed Drive for Kitchen exhaust fans (Demand Controlled Ventilation) ; COM-Motors; Other Commercial</c:v>
                </c:pt>
                <c:pt idx="182">
                  <c:v>BNI - Efficient Product Rebates; Standard Capacity Commercial Electric Fryers; COM-Other; Retail</c:v>
                </c:pt>
                <c:pt idx="183">
                  <c:v>BNI - Efficient Product Rebates; HVAC Hotel Occupancy Sensor; COM-HVAC; Other Commercial</c:v>
                </c:pt>
                <c:pt idx="184">
                  <c:v>BNI- Direct Installation; Evaporator Fan Motor Controls for Walk-In Freezers and Coolers-BES; COM-Refrigeration; Other Commercial</c:v>
                </c:pt>
                <c:pt idx="185">
                  <c:v>BNI- Direct Installation; Evaporator Fan Motor Controls for Walk-In Freezers and Coolers-BES; COM-Refrigeration; Retail</c:v>
                </c:pt>
                <c:pt idx="186">
                  <c:v>BNI - Efficient Product Rebates; Electronically Commutated (Brushless) DC Motors for Refrigeration Applications; COM-Refrigeration; School</c:v>
                </c:pt>
                <c:pt idx="187">
                  <c:v>BNI - Efficient Product Rebates; Electronically Commutated (Brushless) DC Motors for Refrigeration Applications; COM-Refrigeration; Other Commercial</c:v>
                </c:pt>
                <c:pt idx="188">
                  <c:v>BNI - Efficient Product Rebates; Electronically Commutated (Brushless) DC Motors for Refrigeration Applications; COM-Refrigeration; Retail</c:v>
                </c:pt>
                <c:pt idx="189">
                  <c:v>BNI - Efficient Product Rebates; Evaporator Fan Motor Controls for Walk-In Freezers and Coolers; COM-Refrigeration; School</c:v>
                </c:pt>
                <c:pt idx="190">
                  <c:v>BNI - Efficient Product Rebates; Electronically Commutated (Brushless) DC Motors for Refrigeration Applications; IND; Industrial </c:v>
                </c:pt>
                <c:pt idx="191">
                  <c:v>BNI - Efficient Product Rebates; Evaporator Fan Motor Controls for Walk-In Freezers and Coolers; COM-Refrigeration; Other Commercial</c:v>
                </c:pt>
                <c:pt idx="192">
                  <c:v>BNI - Efficient Product Rebates; Evaporator Fan Motor Controls for Walk-In Freezers and Coolers; COM-Refrigeration; Retail</c:v>
                </c:pt>
                <c:pt idx="193">
                  <c:v>BNI - Efficient Product Rebates; Cycling Refrigerated Air Dryers (≤ 300 CFM capacity); COM-Process; School</c:v>
                </c:pt>
                <c:pt idx="194">
                  <c:v>Residential - Efficient Product Rebates; Advanced Power Strip (load sensing or remote control/wireless APS); RES-Plug Load; RES-SF</c:v>
                </c:pt>
                <c:pt idx="195">
                  <c:v>BNI - Efficient Product Rebates; Strip Curtains for 3' Open Refrigerated Display Cases; COM-Refrigeration; School</c:v>
                </c:pt>
                <c:pt idx="196">
                  <c:v>BNI - Efficient Product Rebates; Strip Curtains for 3' Open Refrigerated Display Cases; COM-Refrigeration; Other Commercial</c:v>
                </c:pt>
                <c:pt idx="197">
                  <c:v>BNI - Efficient Product Rebates; Strip Curtains for 3' Open Refrigerated Display Cases; COM-Refrigeration; Retail</c:v>
                </c:pt>
                <c:pt idx="198">
                  <c:v>BNI - Efficient Product Rebates; Integrated Dual Enthalpy Economizer Controls; COM-HVAC; Office</c:v>
                </c:pt>
                <c:pt idx="199">
                  <c:v>BNI - Efficient Product Rebates; Integrated Dual Enthalpy Economizer Controls; COM-HVAC; Other Commercial</c:v>
                </c:pt>
                <c:pt idx="200">
                  <c:v>BNI - Efficient Product Rebates; Variable Speed Drive Screw Compressors (10 - 40 hp); IND; Industrial </c:v>
                </c:pt>
                <c:pt idx="201">
                  <c:v>BNI - Efficient Product Rebates; Air Tanks for Load / No-Load Screw Compressors (10 – 40 hp); IND; Industrial </c:v>
                </c:pt>
                <c:pt idx="202">
                  <c:v>BNI - Efficient Product Rebates; ENERGY STAR® Commercial Electric Convection Oven; COM-Other; Retail</c:v>
                </c:pt>
                <c:pt idx="203">
                  <c:v>BNI - Efficient Product Rebates; Intelligent (Electronic) Defrost Control For Freezer Display Cases; COM-Refrigeration; School</c:v>
                </c:pt>
                <c:pt idx="204">
                  <c:v>BNI - Efficient Product Rebates; Commercial Electric Griddle; COM-Other; Retail</c:v>
                </c:pt>
                <c:pt idx="205">
                  <c:v>BNI - Efficient Product Rebates; Intelligent (Electronic) Defrost Control For Freezer Display Cases; COM-Refrigeration; Other Commercial</c:v>
                </c:pt>
                <c:pt idx="206">
                  <c:v>BNI - Efficient Product Rebates; Intelligent (Electronic) Defrost Control For Freezer Display Cases; COM-Refrigeration; Retail</c:v>
                </c:pt>
                <c:pt idx="207">
                  <c:v>BNI - Efficient Product Rebates; Refrigerated Vending Machine Controller; COM-Refrigeration; Office</c:v>
                </c:pt>
                <c:pt idx="208">
                  <c:v>BNI - Efficient Product Rebates; Refrigerated Vending Machine Controller; COM-Refrigeration; Other Commercial</c:v>
                </c:pt>
                <c:pt idx="209">
                  <c:v>BNI - Efficient Product Rebates; Refrigerated Vending Machine Controller; COM-Refrigeration; Retail</c:v>
                </c:pt>
                <c:pt idx="210">
                  <c:v>BNI - Efficient Product Rebates; Intelligent (Electronic) Defrost Control For Walk-In Freezers; COM-Refrigeration; School</c:v>
                </c:pt>
                <c:pt idx="211">
                  <c:v>BNI - Efficient Product Rebates; Intelligent (Electronic) Defrost Control For Walk-In Freezers; COM-Refrigeration; Other Commercial</c:v>
                </c:pt>
                <c:pt idx="212">
                  <c:v>BNI - Efficient Product Rebates; Intelligent (Electronic) Defrost Control For Walk-In Freezers; COM-Refrigeration; Retail</c:v>
                </c:pt>
                <c:pt idx="213">
                  <c:v>BNI - Efficient Product Rebates; Heat Reclaimer Unit; COM-Other; Other Commercial</c:v>
                </c:pt>
                <c:pt idx="214">
                  <c:v>BNI- Direct Installation; Humidity-Based Door Heater Controls for Reach-In Coolers and Freezers-BES; COM-Refrigeration; Other Commercial</c:v>
                </c:pt>
                <c:pt idx="215">
                  <c:v>BNI- Direct Installation; Humidity-Based Door Heater Controls for Reach-In Coolers and Freezers-BES; COM-Refrigeration; Retail</c:v>
                </c:pt>
                <c:pt idx="216">
                  <c:v>BNI - Efficient Product Rebates; Double Heat Pad; COM-Other; Other Commercial</c:v>
                </c:pt>
                <c:pt idx="217">
                  <c:v>BNI - Efficient Product Rebates; Variable Frequency Drives; COM-Motors; Retail</c:v>
                </c:pt>
                <c:pt idx="218">
                  <c:v>BNI - Efficient Product Rebates; Variable Speed Drive Screw Compressors (10 - 40 hp); COM-Process; Other Commercial</c:v>
                </c:pt>
                <c:pt idx="219">
                  <c:v>BNI - Efficient Product Rebates; Variable Frequency Drives; COM-Motors; School</c:v>
                </c:pt>
                <c:pt idx="220">
                  <c:v>BNI - Efficient Product Rebates; Zero-Energy Livestock Waterers; COM-Other; Other Commercial</c:v>
                </c:pt>
                <c:pt idx="221">
                  <c:v>BNI - Efficient Product Rebates; Air Tanks for Load / No-Load Screw Compressors (10 – 40 hp); COM-Process; Other Commercial</c:v>
                </c:pt>
                <c:pt idx="222">
                  <c:v>BNI - Efficient Product Rebates; Variable Frequency Drives; COM-Motors; Office</c:v>
                </c:pt>
                <c:pt idx="223">
                  <c:v>BNI - Efficient Product Rebates; Air-Entraining Air Nozzles (up to 14CFM at 100 psi); COM-Process; School</c:v>
                </c:pt>
                <c:pt idx="224">
                  <c:v>BNI - Efficient Product Rebates; Variable Frequency Drives; COM-Motors; Other Commercial</c:v>
                </c:pt>
                <c:pt idx="225">
                  <c:v>BNI - Efficient Product Rebates; No-Loss Drains (Timed drains are not eligible); COM-Process; School</c:v>
                </c:pt>
                <c:pt idx="226">
                  <c:v>Existing Residential; Advanced Power Strip (load sensing or remote control/wireless APS); RES-Plug Load; MURB</c:v>
                </c:pt>
                <c:pt idx="227">
                  <c:v>BNI - Efficient Product Rebates; Full Size Commercial Hot Food Holding Cabinet; COM-Other; Retail</c:v>
                </c:pt>
                <c:pt idx="228">
                  <c:v>BNI - Efficient Product Rebates; Cycling Refrigerated Air Dryers (≤ 300 CFM capacity); IND; Industrial </c:v>
                </c:pt>
                <c:pt idx="229">
                  <c:v>Existing Residential; Embertec Power Strip; RES-Plug Load; RES-SF</c:v>
                </c:pt>
                <c:pt idx="230">
                  <c:v>Residential - Efficient Product Rebates; Dehumidifier (Retirement); RES-Appliance; RES-SF</c:v>
                </c:pt>
                <c:pt idx="231">
                  <c:v>BNI - Efficient Product Rebates; Single Heat Pad; COM-Other; Other Commercial</c:v>
                </c:pt>
                <c:pt idx="232">
                  <c:v>BNI - Efficient Product Rebates; Humidity-Based Door Heater Controls for Reach-In Coolers and Freezers; COM-Refrigeration; School</c:v>
                </c:pt>
                <c:pt idx="233">
                  <c:v>BNI - Efficient Product Rebates; Humidity-Based Door Heater Controls for Reach-In Coolers and Freezers; COM-Refrigeration; Other Commercial</c:v>
                </c:pt>
                <c:pt idx="234">
                  <c:v>BNI - Efficient Product Rebates; Humidity-Based Door Heater Controls for Reach-In Coolers and Freezers; COM-Refrigeration; Retail</c:v>
                </c:pt>
                <c:pt idx="235">
                  <c:v>BNI - Efficient Product Rebates; Cycling Refrigerated Air Dryers (≤ 300 CFM capacity); COM-Process; Other Commercial</c:v>
                </c:pt>
                <c:pt idx="236">
                  <c:v>BNI - Efficient Product Rebates; VSD for Milk Vacuum Pump; COM-Other; Other Commercial</c:v>
                </c:pt>
                <c:pt idx="237">
                  <c:v>BNI - Efficient Product Rebates; ENERGY STAR®, CEE Tier 2 or CEE Tier 3 Commercial Clothes Washer; COM-Other; Other Commercial</c:v>
                </c:pt>
              </c:strCache>
            </c:strRef>
          </c:cat>
          <c:val>
            <c:numRef>
              <c:f>'TRC Figure'!$D$1:$D$238</c:f>
              <c:numCache>
                <c:formatCode>0.0%</c:formatCode>
                <c:ptCount val="238"/>
                <c:pt idx="0">
                  <c:v>4.5861089251435398</c:v>
                </c:pt>
                <c:pt idx="1">
                  <c:v>3.1866442440433622</c:v>
                </c:pt>
                <c:pt idx="2">
                  <c:v>3.1866442440433622</c:v>
                </c:pt>
                <c:pt idx="3">
                  <c:v>3.1866442440433622</c:v>
                </c:pt>
                <c:pt idx="4">
                  <c:v>2.1801322343954399</c:v>
                </c:pt>
                <c:pt idx="5">
                  <c:v>1.9923918712611461</c:v>
                </c:pt>
                <c:pt idx="6">
                  <c:v>0.99349249527396033</c:v>
                </c:pt>
                <c:pt idx="7">
                  <c:v>0.99349249527396</c:v>
                </c:pt>
                <c:pt idx="8">
                  <c:v>0.99349249527396022</c:v>
                </c:pt>
                <c:pt idx="9">
                  <c:v>0.99349249527396033</c:v>
                </c:pt>
                <c:pt idx="10">
                  <c:v>0.98925624712478111</c:v>
                </c:pt>
                <c:pt idx="11">
                  <c:v>0.98925624712478122</c:v>
                </c:pt>
                <c:pt idx="12">
                  <c:v>0.989256247124781</c:v>
                </c:pt>
                <c:pt idx="13">
                  <c:v>0.98925624712478111</c:v>
                </c:pt>
                <c:pt idx="14">
                  <c:v>0.97219381810605665</c:v>
                </c:pt>
                <c:pt idx="15">
                  <c:v>0.9721938181060561</c:v>
                </c:pt>
                <c:pt idx="16">
                  <c:v>0.97219381810605665</c:v>
                </c:pt>
                <c:pt idx="17">
                  <c:v>0.97219381810605621</c:v>
                </c:pt>
                <c:pt idx="18">
                  <c:v>0.96447811409586492</c:v>
                </c:pt>
                <c:pt idx="19">
                  <c:v>0.96447811409586526</c:v>
                </c:pt>
                <c:pt idx="20">
                  <c:v>0.9644781140958647</c:v>
                </c:pt>
                <c:pt idx="21">
                  <c:v>0.96447811409586515</c:v>
                </c:pt>
                <c:pt idx="22">
                  <c:v>1.2346371080936145</c:v>
                </c:pt>
                <c:pt idx="23">
                  <c:v>0.71277583546523704</c:v>
                </c:pt>
                <c:pt idx="24">
                  <c:v>0.71277583546523704</c:v>
                </c:pt>
                <c:pt idx="25">
                  <c:v>0.64865052878572238</c:v>
                </c:pt>
                <c:pt idx="26">
                  <c:v>0.64865052878572227</c:v>
                </c:pt>
                <c:pt idx="27">
                  <c:v>0.64865052878572249</c:v>
                </c:pt>
                <c:pt idx="28">
                  <c:v>0.58883603022432041</c:v>
                </c:pt>
                <c:pt idx="29">
                  <c:v>0.58883603022432041</c:v>
                </c:pt>
                <c:pt idx="30">
                  <c:v>0.54377424387404449</c:v>
                </c:pt>
                <c:pt idx="31">
                  <c:v>0.49390347884116831</c:v>
                </c:pt>
                <c:pt idx="32">
                  <c:v>0.46581271067122532</c:v>
                </c:pt>
                <c:pt idx="33">
                  <c:v>0.46748103293870785</c:v>
                </c:pt>
                <c:pt idx="34">
                  <c:v>0.47438315329571579</c:v>
                </c:pt>
                <c:pt idx="35">
                  <c:v>0.4539302003158569</c:v>
                </c:pt>
                <c:pt idx="36">
                  <c:v>0.46896505945330452</c:v>
                </c:pt>
                <c:pt idx="37">
                  <c:v>0.46896505945330441</c:v>
                </c:pt>
                <c:pt idx="38">
                  <c:v>0.46896505945330408</c:v>
                </c:pt>
                <c:pt idx="39">
                  <c:v>0.41794367727732951</c:v>
                </c:pt>
                <c:pt idx="40">
                  <c:v>0.40801314487638046</c:v>
                </c:pt>
                <c:pt idx="41">
                  <c:v>0.40801314487638041</c:v>
                </c:pt>
                <c:pt idx="42">
                  <c:v>0.40801314487638052</c:v>
                </c:pt>
                <c:pt idx="43">
                  <c:v>0.40465928299847476</c:v>
                </c:pt>
                <c:pt idx="44">
                  <c:v>0.40465928299847487</c:v>
                </c:pt>
                <c:pt idx="45">
                  <c:v>0.40465928299847481</c:v>
                </c:pt>
                <c:pt idx="46">
                  <c:v>0.43472086730880294</c:v>
                </c:pt>
                <c:pt idx="47">
                  <c:v>0.40049685142281399</c:v>
                </c:pt>
                <c:pt idx="48">
                  <c:v>0.39899565696396988</c:v>
                </c:pt>
                <c:pt idx="49">
                  <c:v>0.39899565696396982</c:v>
                </c:pt>
                <c:pt idx="50">
                  <c:v>0.39899565696396971</c:v>
                </c:pt>
                <c:pt idx="51">
                  <c:v>0.42926791244996948</c:v>
                </c:pt>
                <c:pt idx="52">
                  <c:v>0.42514130330014072</c:v>
                </c:pt>
                <c:pt idx="53">
                  <c:v>0.37917612056812583</c:v>
                </c:pt>
                <c:pt idx="54">
                  <c:v>0.37917612056812583</c:v>
                </c:pt>
                <c:pt idx="55">
                  <c:v>0.37917612056812583</c:v>
                </c:pt>
                <c:pt idx="56">
                  <c:v>0.37917612056812583</c:v>
                </c:pt>
                <c:pt idx="57">
                  <c:v>0.37917612056812583</c:v>
                </c:pt>
                <c:pt idx="58">
                  <c:v>0.37917612056812589</c:v>
                </c:pt>
                <c:pt idx="59">
                  <c:v>0.37917612056812589</c:v>
                </c:pt>
                <c:pt idx="60">
                  <c:v>0.37917612056812589</c:v>
                </c:pt>
                <c:pt idx="61">
                  <c:v>0.37917612056812589</c:v>
                </c:pt>
                <c:pt idx="62">
                  <c:v>0.37917612056812589</c:v>
                </c:pt>
                <c:pt idx="63">
                  <c:v>0.3790891947555704</c:v>
                </c:pt>
                <c:pt idx="64">
                  <c:v>0.37908919475557001</c:v>
                </c:pt>
                <c:pt idx="65">
                  <c:v>0.37908919475557018</c:v>
                </c:pt>
                <c:pt idx="66">
                  <c:v>0.37908919475557046</c:v>
                </c:pt>
                <c:pt idx="67">
                  <c:v>0.37908919475557046</c:v>
                </c:pt>
                <c:pt idx="68">
                  <c:v>0.37451469984598762</c:v>
                </c:pt>
                <c:pt idx="69">
                  <c:v>0.37451469984598751</c:v>
                </c:pt>
                <c:pt idx="70">
                  <c:v>0.37451469984598751</c:v>
                </c:pt>
                <c:pt idx="71">
                  <c:v>0.3745146998459879</c:v>
                </c:pt>
                <c:pt idx="72">
                  <c:v>0.37451469984598773</c:v>
                </c:pt>
                <c:pt idx="73">
                  <c:v>0.37451469984598773</c:v>
                </c:pt>
                <c:pt idx="74">
                  <c:v>0.36959385476060935</c:v>
                </c:pt>
                <c:pt idx="75">
                  <c:v>0.36959385476060941</c:v>
                </c:pt>
                <c:pt idx="76">
                  <c:v>0.36959385476060896</c:v>
                </c:pt>
                <c:pt idx="77">
                  <c:v>0.36587387271206179</c:v>
                </c:pt>
                <c:pt idx="78">
                  <c:v>0.36587387271206179</c:v>
                </c:pt>
                <c:pt idx="79">
                  <c:v>0.36587387271206195</c:v>
                </c:pt>
                <c:pt idx="80">
                  <c:v>0.36587387271206184</c:v>
                </c:pt>
                <c:pt idx="81">
                  <c:v>0.36587387271206173</c:v>
                </c:pt>
                <c:pt idx="82">
                  <c:v>0.34498160624919411</c:v>
                </c:pt>
                <c:pt idx="83">
                  <c:v>0.34498160624919411</c:v>
                </c:pt>
                <c:pt idx="84">
                  <c:v>0.34498160624919411</c:v>
                </c:pt>
                <c:pt idx="85">
                  <c:v>0.34089952813916174</c:v>
                </c:pt>
                <c:pt idx="86">
                  <c:v>0.34089952813916158</c:v>
                </c:pt>
                <c:pt idx="87">
                  <c:v>0.34089952813916169</c:v>
                </c:pt>
                <c:pt idx="88">
                  <c:v>0.34089952813916169</c:v>
                </c:pt>
                <c:pt idx="89">
                  <c:v>0.33650621989511281</c:v>
                </c:pt>
                <c:pt idx="90">
                  <c:v>0.33650621989511242</c:v>
                </c:pt>
                <c:pt idx="91">
                  <c:v>0.33650621989511265</c:v>
                </c:pt>
                <c:pt idx="92">
                  <c:v>0.33318354808967293</c:v>
                </c:pt>
                <c:pt idx="93">
                  <c:v>0.33318354808967315</c:v>
                </c:pt>
                <c:pt idx="94">
                  <c:v>0.33318354808967304</c:v>
                </c:pt>
                <c:pt idx="95">
                  <c:v>0.33318354808967326</c:v>
                </c:pt>
                <c:pt idx="96">
                  <c:v>0.33963532158215359</c:v>
                </c:pt>
                <c:pt idx="97">
                  <c:v>0.33963532158215359</c:v>
                </c:pt>
                <c:pt idx="98">
                  <c:v>0.33963532158215365</c:v>
                </c:pt>
                <c:pt idx="99">
                  <c:v>0.3396353215821537</c:v>
                </c:pt>
                <c:pt idx="100">
                  <c:v>0.32624908804963582</c:v>
                </c:pt>
                <c:pt idx="101">
                  <c:v>0.33577031010181413</c:v>
                </c:pt>
                <c:pt idx="102">
                  <c:v>0.30971091756829955</c:v>
                </c:pt>
                <c:pt idx="103">
                  <c:v>0.30971091756829949</c:v>
                </c:pt>
                <c:pt idx="104">
                  <c:v>0.30971091756829938</c:v>
                </c:pt>
                <c:pt idx="105">
                  <c:v>0.31614264138282328</c:v>
                </c:pt>
                <c:pt idx="106">
                  <c:v>0.31614264138282328</c:v>
                </c:pt>
                <c:pt idx="107">
                  <c:v>0.31614264138282328</c:v>
                </c:pt>
                <c:pt idx="108">
                  <c:v>0.31614264138282328</c:v>
                </c:pt>
                <c:pt idx="109">
                  <c:v>0.3153617667311443</c:v>
                </c:pt>
                <c:pt idx="110">
                  <c:v>0.29323668571160399</c:v>
                </c:pt>
                <c:pt idx="111">
                  <c:v>0.28584445690691135</c:v>
                </c:pt>
                <c:pt idx="112">
                  <c:v>0.27622983266289336</c:v>
                </c:pt>
                <c:pt idx="113">
                  <c:v>0.19904153399547286</c:v>
                </c:pt>
                <c:pt idx="114">
                  <c:v>0.23208747887355</c:v>
                </c:pt>
                <c:pt idx="115">
                  <c:v>0.23633290944561505</c:v>
                </c:pt>
                <c:pt idx="116">
                  <c:v>0.23291172218002998</c:v>
                </c:pt>
                <c:pt idx="117">
                  <c:v>0.22652429799630475</c:v>
                </c:pt>
                <c:pt idx="118">
                  <c:v>0.20485172617018638</c:v>
                </c:pt>
                <c:pt idx="119">
                  <c:v>0.19126154200463513</c:v>
                </c:pt>
                <c:pt idx="120">
                  <c:v>0.14217252428248059</c:v>
                </c:pt>
                <c:pt idx="121">
                  <c:v>0.12440095874717043</c:v>
                </c:pt>
                <c:pt idx="122">
                  <c:v>0.12301762236463226</c:v>
                </c:pt>
                <c:pt idx="123">
                  <c:v>0.15467706004248297</c:v>
                </c:pt>
                <c:pt idx="124">
                  <c:v>0.11056470146366472</c:v>
                </c:pt>
                <c:pt idx="125">
                  <c:v>9.952076699773614E-2</c:v>
                </c:pt>
                <c:pt idx="126">
                  <c:v>9.0473424543396491E-2</c:v>
                </c:pt>
                <c:pt idx="127">
                  <c:v>0.10730163737185326</c:v>
                </c:pt>
                <c:pt idx="128">
                  <c:v>9.6474676151997077E-2</c:v>
                </c:pt>
                <c:pt idx="129">
                  <c:v>9.5865839559562807E-2</c:v>
                </c:pt>
                <c:pt idx="130">
                  <c:v>7.4357847662596663E-2</c:v>
                </c:pt>
                <c:pt idx="131">
                  <c:v>7.3200826970866495E-2</c:v>
                </c:pt>
                <c:pt idx="132">
                  <c:v>6.8000879783409213E-2</c:v>
                </c:pt>
                <c:pt idx="133">
                  <c:v>6.3799989437185761E-2</c:v>
                </c:pt>
                <c:pt idx="134">
                  <c:v>6.3799989437185803E-2</c:v>
                </c:pt>
                <c:pt idx="135">
                  <c:v>5.9123744861084231E-2</c:v>
                </c:pt>
                <c:pt idx="136">
                  <c:v>5.1838968588585985E-2</c:v>
                </c:pt>
                <c:pt idx="137">
                  <c:v>4.8778054921906532E-2</c:v>
                </c:pt>
                <c:pt idx="138">
                  <c:v>3.2701162666104303E-2</c:v>
                </c:pt>
                <c:pt idx="139">
                  <c:v>3.2608773116410111E-2</c:v>
                </c:pt>
                <c:pt idx="140">
                  <c:v>4.2663058664002079E-2</c:v>
                </c:pt>
                <c:pt idx="141">
                  <c:v>3.015139560366142E-2</c:v>
                </c:pt>
                <c:pt idx="142">
                  <c:v>2.8904395293413827E-2</c:v>
                </c:pt>
                <c:pt idx="143">
                  <c:v>3.2372358888143091E-2</c:v>
                </c:pt>
                <c:pt idx="144">
                  <c:v>7.080857420137367E-3</c:v>
                </c:pt>
                <c:pt idx="145">
                  <c:v>2.0197163391363428E-2</c:v>
                </c:pt>
                <c:pt idx="146">
                  <c:v>8.9728657144949962E-3</c:v>
                </c:pt>
                <c:pt idx="147">
                  <c:v>6.649206277767189E-3</c:v>
                </c:pt>
                <c:pt idx="148">
                  <c:v>5.2075400040133384E-3</c:v>
                </c:pt>
                <c:pt idx="149">
                  <c:v>6.7882553982817166E-3</c:v>
                </c:pt>
                <c:pt idx="150">
                  <c:v>4.4675237858809594E-3</c:v>
                </c:pt>
                <c:pt idx="151">
                  <c:v>0</c:v>
                </c:pt>
                <c:pt idx="152">
                  <c:v>0</c:v>
                </c:pt>
                <c:pt idx="153">
                  <c:v>1.1210760206447714E-3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-9.5829051758464165E-2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1-4E78-B35A-C94A1097C7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42325928"/>
        <c:axId val="242326320"/>
      </c:barChart>
      <c:catAx>
        <c:axId val="242325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326320"/>
        <c:crosses val="autoZero"/>
        <c:auto val="0"/>
        <c:lblAlgn val="ctr"/>
        <c:lblOffset val="100"/>
        <c:noMultiLvlLbl val="0"/>
      </c:catAx>
      <c:valAx>
        <c:axId val="242326320"/>
        <c:scaling>
          <c:orientation val="minMax"/>
          <c:max val="3.2"/>
          <c:min val="-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w="lg" len="lg"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325928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65-4BD3-B63E-0B2D3AC900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65-4BD3-B63E-0B2D3AC90098}"/>
              </c:ext>
            </c:extLst>
          </c:dPt>
          <c:dLbls>
            <c:dLbl>
              <c:idx val="0"/>
              <c:layout>
                <c:manualLayout>
                  <c:x val="8.5470123817270607E-2"/>
                  <c:y val="-7.0512856103803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65-4BD3-B63E-0B2D3AC90098}"/>
                </c:ext>
              </c:extLst>
            </c:dLbl>
            <c:dLbl>
              <c:idx val="1"/>
              <c:layout>
                <c:manualLayout>
                  <c:x val="-7.4074107308301301E-2"/>
                  <c:y val="8.3333375395404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65-4BD3-B63E-0B2D3AC90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'TRC Figure'!$V$3:$V$4</c:f>
              <c:strCache>
                <c:ptCount val="2"/>
                <c:pt idx="0">
                  <c:v>No change to TRC</c:v>
                </c:pt>
                <c:pt idx="1">
                  <c:v>Total measures</c:v>
                </c:pt>
              </c:strCache>
            </c:strRef>
          </c:cat>
          <c:val>
            <c:numRef>
              <c:f>'TRC Figure'!$W$3:$W$4</c:f>
              <c:numCache>
                <c:formatCode>General</c:formatCode>
                <c:ptCount val="2"/>
                <c:pt idx="0">
                  <c:v>85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65-4BD3-B63E-0B2D3AC90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Total</a:t>
            </a:r>
            <a:r>
              <a:rPr lang="en-US" i="1" baseline="0"/>
              <a:t> count of  TRC change occurances summarized by  categorized magnitude of change 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'TRC Figure'!$BC$3:$BC$14</c:f>
              <c:strCache>
                <c:ptCount val="12"/>
                <c:pt idx="0">
                  <c:v>&gt; -10% and &lt; 0%</c:v>
                </c:pt>
                <c:pt idx="1">
                  <c:v>0%</c:v>
                </c:pt>
                <c:pt idx="2">
                  <c:v>&gt; 0% and 10%</c:v>
                </c:pt>
                <c:pt idx="3">
                  <c:v>&gt; 10% and 20%</c:v>
                </c:pt>
                <c:pt idx="4">
                  <c:v>&gt; 20% and 30%</c:v>
                </c:pt>
                <c:pt idx="5">
                  <c:v>&gt; 30% and 40%</c:v>
                </c:pt>
                <c:pt idx="6">
                  <c:v>&gt; 40% and 50%</c:v>
                </c:pt>
                <c:pt idx="7">
                  <c:v>&gt; 50% and 60%</c:v>
                </c:pt>
                <c:pt idx="8">
                  <c:v>&gt; 60% and 75%</c:v>
                </c:pt>
                <c:pt idx="9">
                  <c:v>&gt; 115% and 125%</c:v>
                </c:pt>
                <c:pt idx="10">
                  <c:v>&gt; 175% and 230%</c:v>
                </c:pt>
                <c:pt idx="11">
                  <c:v>&gt; 275%</c:v>
                </c:pt>
              </c:strCache>
            </c:strRef>
          </c:cat>
          <c:val>
            <c:numRef>
              <c:f>'TRC Figure'!$BD$3:$BD$14</c:f>
              <c:numCache>
                <c:formatCode>General</c:formatCode>
                <c:ptCount val="12"/>
                <c:pt idx="0">
                  <c:v>1</c:v>
                </c:pt>
                <c:pt idx="1">
                  <c:v>82</c:v>
                </c:pt>
                <c:pt idx="2">
                  <c:v>27</c:v>
                </c:pt>
                <c:pt idx="3">
                  <c:v>9</c:v>
                </c:pt>
                <c:pt idx="4">
                  <c:v>9</c:v>
                </c:pt>
                <c:pt idx="5">
                  <c:v>62</c:v>
                </c:pt>
                <c:pt idx="6">
                  <c:v>17</c:v>
                </c:pt>
                <c:pt idx="7">
                  <c:v>3</c:v>
                </c:pt>
                <c:pt idx="8">
                  <c:v>5</c:v>
                </c:pt>
                <c:pt idx="9">
                  <c:v>17</c:v>
                </c:pt>
                <c:pt idx="10">
                  <c:v>2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E-4D89-A9DA-EBB28773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2468208"/>
        <c:axId val="242468600"/>
      </c:barChart>
      <c:catAx>
        <c:axId val="24246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468600"/>
        <c:crosses val="autoZero"/>
        <c:auto val="1"/>
        <c:lblAlgn val="ctr"/>
        <c:lblOffset val="100"/>
        <c:noMultiLvlLbl val="0"/>
      </c:catAx>
      <c:valAx>
        <c:axId val="242468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46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A6-4427-AC9E-02BBEBB2FC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A6-4427-AC9E-02BBEBB2FC8C}"/>
              </c:ext>
            </c:extLst>
          </c:dPt>
          <c:dLbls>
            <c:dLbl>
              <c:idx val="0"/>
              <c:layout>
                <c:manualLayout>
                  <c:x val="8.5470123817270607E-2"/>
                  <c:y val="-7.0512856103803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6-4427-AC9E-02BBEBB2FC8C}"/>
                </c:ext>
              </c:extLst>
            </c:dLbl>
            <c:dLbl>
              <c:idx val="1"/>
              <c:layout>
                <c:manualLayout>
                  <c:x val="-7.4074107308301301E-2"/>
                  <c:y val="8.3333375395404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6-4427-AC9E-02BBEBB2F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'TRC Figure'!$V$3:$V$4</c:f>
              <c:strCache>
                <c:ptCount val="2"/>
                <c:pt idx="0">
                  <c:v>No change to TRC</c:v>
                </c:pt>
                <c:pt idx="1">
                  <c:v>Total measures</c:v>
                </c:pt>
              </c:strCache>
            </c:strRef>
          </c:cat>
          <c:val>
            <c:numRef>
              <c:f>'TRC Figure'!$W$3:$W$4</c:f>
              <c:numCache>
                <c:formatCode>General</c:formatCode>
                <c:ptCount val="2"/>
                <c:pt idx="0">
                  <c:v>85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A6-4427-AC9E-02BBEBB2F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TRC Test Impact Due</a:t>
            </a:r>
            <a:r>
              <a:rPr lang="en-US" baseline="0"/>
              <a:t> to NEB Addition (% change)</a:t>
            </a:r>
          </a:p>
        </c:rich>
      </c:tx>
      <c:layout>
        <c:manualLayout>
          <c:xMode val="edge"/>
          <c:yMode val="edge"/>
          <c:x val="0.356437059003430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9371445362936411"/>
          <c:y val="1.3618768178585572E-2"/>
          <c:w val="0.7541723688091736"/>
          <c:h val="0.97956280326007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19"/>
              <c:layout>
                <c:manualLayout>
                  <c:x val="1.3484898873050409E-4"/>
                  <c:y val="1.620300324274674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79-4C82-810F-7475552A21E2}"/>
                </c:ext>
              </c:extLst>
            </c:dLbl>
            <c:dLbl>
              <c:idx val="237"/>
              <c:layout>
                <c:manualLayout>
                  <c:x val="-4.142221966677081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9-4C82-810F-7475552A2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0" tIns="19050" rIns="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'TRC Figure'!$A$1:$A$238</c:f>
              <c:strCache>
                <c:ptCount val="238"/>
                <c:pt idx="0">
                  <c:v>Residential - Efficient Product Rebates; Room A/C Retirement; RES-HVAC/Shell; RES-SF</c:v>
                </c:pt>
                <c:pt idx="1">
                  <c:v>BNI- Direct Installation; Faucet Aerator; COM-Other; Office</c:v>
                </c:pt>
                <c:pt idx="2">
                  <c:v>BNI- Direct Installation; Faucet Aerator; COM-Other; Other Commercial</c:v>
                </c:pt>
                <c:pt idx="3">
                  <c:v>BNI- Direct Installation; Faucet Aerator; COM-Other; Retail</c:v>
                </c:pt>
                <c:pt idx="4">
                  <c:v>Existing Residential; DHW Pipe Insulation; RES-Water Heat; MURB</c:v>
                </c:pt>
                <c:pt idx="5">
                  <c:v>BNI- Direct Installation; Low Flow Showerheads; COM-Other; Other Commercial</c:v>
                </c:pt>
                <c:pt idx="6">
                  <c:v>BNI- Direct Installation; Ground Source Heat Pump; COM-HVAC; School</c:v>
                </c:pt>
                <c:pt idx="7">
                  <c:v>BNI- Direct Installation; Ground/Water Source Heat Pumps; COM-HVAC; School</c:v>
                </c:pt>
                <c:pt idx="8">
                  <c:v>BNI- Direct Installation; High-Efficiency Air Source Heat Pumps: Electric Baseboards; COM-HVAC; School</c:v>
                </c:pt>
                <c:pt idx="9">
                  <c:v>BNI- Direct Installation; High-Efficiency Air Source Heat Pumps: Air Source Heat Pumps (1-11) Tons, Baseline; COM-HVAC; School</c:v>
                </c:pt>
                <c:pt idx="10">
                  <c:v>BNI- Direct Installation; Ground Source Heat Pump; COM-HVAC; Retail</c:v>
                </c:pt>
                <c:pt idx="11">
                  <c:v>BNI- Direct Installation; Ground/Water Source Heat Pumps; COM-HVAC; Retail</c:v>
                </c:pt>
                <c:pt idx="12">
                  <c:v>BNI- Direct Installation; High-Efficiency Air Source Heat Pumps: Air Source Heat Pumps (1-11) Tons, Baseline; COM-HVAC; Retail</c:v>
                </c:pt>
                <c:pt idx="13">
                  <c:v>BNI- Direct Installation; High-Efficiency Air Source Heat Pumps: Electric Baseboards; COM-HVAC; Retail</c:v>
                </c:pt>
                <c:pt idx="14">
                  <c:v>BNI- Direct Installation; High-Efficiency Air Source Heat Pumps: Air Source Heat Pumps (1-11) Tons, Baseline; COM-HVAC; Other Commercial</c:v>
                </c:pt>
                <c:pt idx="15">
                  <c:v>BNI- Direct Installation; High-Efficiency Air Source Heat Pumps: Electric Baseboards; COM-HVAC; Other Commercial</c:v>
                </c:pt>
                <c:pt idx="16">
                  <c:v>BNI- Direct Installation; Ground/Water Source Heat Pumps; COM-HVAC; Other Commercial</c:v>
                </c:pt>
                <c:pt idx="17">
                  <c:v>BNI- Direct Installation; Ground Source Heat Pump; COM-HVAC; Other Commercial</c:v>
                </c:pt>
                <c:pt idx="18">
                  <c:v>BNI- Direct Installation; Ground Source Heat Pump; COM-HVAC; Office</c:v>
                </c:pt>
                <c:pt idx="19">
                  <c:v>BNI- Direct Installation; Ground/Water Source Heat Pumps; COM-HVAC; Office</c:v>
                </c:pt>
                <c:pt idx="20">
                  <c:v>BNI- Direct Installation; High-Efficiency Air Source Heat Pumps: Air Source Heat Pumps (1-11) Tons, Baseline; COM-HVAC; Office</c:v>
                </c:pt>
                <c:pt idx="21">
                  <c:v>BNI- Direct Installation; High-Efficiency Air Source Heat Pumps: Electric Baseboards; COM-HVAC; Office</c:v>
                </c:pt>
                <c:pt idx="22">
                  <c:v>BNI - Efficient Product Rebates; ENERGY STAR® Self Contained Ice Maker; COM-Refrigeration; Retail</c:v>
                </c:pt>
                <c:pt idx="23">
                  <c:v>BNI- Direct Installation; DHW Tank Wrap; COM-Other; Office</c:v>
                </c:pt>
                <c:pt idx="24">
                  <c:v>BNI- Direct Installation; DHW Tank Wrap; COM-Other; Retail</c:v>
                </c:pt>
                <c:pt idx="25">
                  <c:v>BNI - Efficient Product Rebates; Solid Door Commercial Freezer; COM-Refrigeration; Retail</c:v>
                </c:pt>
                <c:pt idx="26">
                  <c:v>BNI - Efficient Product Rebates; Glass Door Commercial Refrigerator; COM-Refrigeration; Retail</c:v>
                </c:pt>
                <c:pt idx="27">
                  <c:v>BNI - Efficient Product Rebates; Solid Door Commercial Refrigerator; COM-Refrigeration; Retail</c:v>
                </c:pt>
                <c:pt idx="28">
                  <c:v>BNI- Direct Installation; DHW Pipe Insulation; COM-Other; Office</c:v>
                </c:pt>
                <c:pt idx="29">
                  <c:v>BNI- Direct Installation; DHW Pipe Insulation; COM-Other; Retail</c:v>
                </c:pt>
                <c:pt idx="30">
                  <c:v>Existing Residential; DHW Pipe Insulation; RES-Water Heat; RES-SF</c:v>
                </c:pt>
                <c:pt idx="31">
                  <c:v>BNI - Efficient Product Rebates; Single-Tank Door Type Dishwasher (Low Temp); COM-Other; Retail</c:v>
                </c:pt>
                <c:pt idx="32">
                  <c:v>BNI - Efficient Product Rebates; Multi-Tank Conveyor Commercial Dish Washer (Low Temp); COM-Other; Retail</c:v>
                </c:pt>
                <c:pt idx="33">
                  <c:v>Custom Incentives; Custom Efficiency; IND; Industrial </c:v>
                </c:pt>
                <c:pt idx="34">
                  <c:v>BNI - Efficient Product Rebates; Lighting Controls - Occupancy Sensors; IND; Industrial </c:v>
                </c:pt>
                <c:pt idx="35">
                  <c:v>Custom Incentives; Custom Efficiency; COM-Other; COM</c:v>
                </c:pt>
                <c:pt idx="36">
                  <c:v>BNI - Efficient Product Rebates; Daylighting Controls; COM-Lighting; School</c:v>
                </c:pt>
                <c:pt idx="37">
                  <c:v>BNI - Efficient Product Rebates; T8 Dimmable Stairwell Lighting; COM-Lighting; School</c:v>
                </c:pt>
                <c:pt idx="38">
                  <c:v>BNI - Efficient Product Rebates; Lighting Controls - Occupancy Sensors; COM-Lighting; School</c:v>
                </c:pt>
                <c:pt idx="39">
                  <c:v>Residential - Efficient Product Rebates; Hardwired Dimmer Switch; RES-Lighting; RES-SF</c:v>
                </c:pt>
                <c:pt idx="40">
                  <c:v>BNI - Efficient Product Rebates; T8 Dimmable Stairwell Lighting; COM-Lighting; Office</c:v>
                </c:pt>
                <c:pt idx="41">
                  <c:v>BNI - Efficient Product Rebates; Daylighting Controls; COM-Lighting; Office</c:v>
                </c:pt>
                <c:pt idx="42">
                  <c:v>BNI - Efficient Product Rebates; Lighting Controls - Occupancy Sensors; COM-Lighting; Office</c:v>
                </c:pt>
                <c:pt idx="43">
                  <c:v>BNI - Efficient Product Rebates; Daylighting Controls; COM-Lighting; Other Commercial</c:v>
                </c:pt>
                <c:pt idx="44">
                  <c:v>BNI - Efficient Product Rebates; T8 Dimmable Stairwell Lighting; COM-Lighting; Other Commercial</c:v>
                </c:pt>
                <c:pt idx="45">
                  <c:v>BNI - Efficient Product Rebates; Lighting Controls - Occupancy Sensors; COM-Lighting; Other Commercial</c:v>
                </c:pt>
                <c:pt idx="46">
                  <c:v>BNI - Efficient Product Rebates; LED Refrigeration Strip Lighting-End of Life replacement; COM-Lighting; Other Commercial</c:v>
                </c:pt>
                <c:pt idx="47">
                  <c:v>Existing Residential; Low Flow (1.25 GPM) showerhead; RES-Water Heat; MURB</c:v>
                </c:pt>
                <c:pt idx="48">
                  <c:v>BNI - Efficient Product Rebates; Lighting Controls - Occupancy Sensors; COM-Lighting; Retail</c:v>
                </c:pt>
                <c:pt idx="49">
                  <c:v>BNI - Efficient Product Rebates; T8 Dimmable Stairwell Lighting; COM-Lighting; Retail</c:v>
                </c:pt>
                <c:pt idx="50">
                  <c:v>BNI - Efficient Product Rebates; Daylighting Controls; COM-Lighting; Retail</c:v>
                </c:pt>
                <c:pt idx="51">
                  <c:v>BNI - Efficient Product Rebates; LED Refrigeration Strip Lighting-End of Life replacement; COM-Lighting; School</c:v>
                </c:pt>
                <c:pt idx="52">
                  <c:v>BNI - Efficient Product Rebates; LED Refrigeration Strip Lighting-End of Life replacement; COM-Lighting; Retail</c:v>
                </c:pt>
                <c:pt idx="53">
                  <c:v>BNI - Efficient Product Rebates; Photoluminescent Exit Sign; IND; Industrial </c:v>
                </c:pt>
                <c:pt idx="54">
                  <c:v>BNI - Efficient Product Rebates; Photoluminescent Exit Sign; COM-Lighting; Office</c:v>
                </c:pt>
                <c:pt idx="55">
                  <c:v>BNI - Efficient Product Rebates; Photoluminescent Exit Sign; COM-Lighting; Other Commercial</c:v>
                </c:pt>
                <c:pt idx="56">
                  <c:v>BNI - Efficient Product Rebates; Photoluminescent Exit Sign; COM-Lighting; Retail</c:v>
                </c:pt>
                <c:pt idx="57">
                  <c:v>BNI - Efficient Product Rebates; Photoluminescent Exit Sign; COM-Lighting; School</c:v>
                </c:pt>
                <c:pt idx="58">
                  <c:v>BNI - Efficient Product Rebates; LED Exit Sign-End of Life replacement; IND; Industrial </c:v>
                </c:pt>
                <c:pt idx="59">
                  <c:v>BNI - Efficient Product Rebates; LED Exit Sign-End of Life replacement; COM-Lighting; Office</c:v>
                </c:pt>
                <c:pt idx="60">
                  <c:v>BNI - Efficient Product Rebates; LED Exit Sign-End of Life replacement; COM-Lighting; Other Commercial</c:v>
                </c:pt>
                <c:pt idx="61">
                  <c:v>BNI - Efficient Product Rebates; LED Exit Sign-End of Life replacement; COM-Lighting; Retail</c:v>
                </c:pt>
                <c:pt idx="62">
                  <c:v>BNI - Efficient Product Rebates; LED Exit Sign-End of Life replacement; COM-Lighting; School</c:v>
                </c:pt>
                <c:pt idx="63">
                  <c:v>BNI - Efficient Product Rebates; LED Lamps-End of Life; COM-Lighting; Office</c:v>
                </c:pt>
                <c:pt idx="64">
                  <c:v>BNI- Direct Installation; LED Lamps-End of Life-BES; COM-Lighting; Office</c:v>
                </c:pt>
                <c:pt idx="65">
                  <c:v>BNI - Efficient Product Rebates; LED Linear Replacement Lamps; COM-Lighting; Office</c:v>
                </c:pt>
                <c:pt idx="66">
                  <c:v>BNI - Efficient Product Rebates; LED Lamps-Retrofit (dual baseline); COM-Lighting; Office</c:v>
                </c:pt>
                <c:pt idx="67">
                  <c:v>BNI- Direct Installation; LED Lamps-Retrofit (dual baseline)-BES; COM-Lighting; Office</c:v>
                </c:pt>
                <c:pt idx="68">
                  <c:v>BNI - Efficient Product Rebates; Fluorescent T5 and HPT8 Fixtures (4 FT) lamps-Retrofit (dual baseline); COM-Lighting; Other Commercial</c:v>
                </c:pt>
                <c:pt idx="69">
                  <c:v>BNI - Efficient Product Rebates; LED Lamps-End of Life; COM-Lighting; Other Commercial</c:v>
                </c:pt>
                <c:pt idx="70">
                  <c:v>BNI- Direct Installation; LED Lamps-End of Life-BES; COM-Lighting; Other Commercial</c:v>
                </c:pt>
                <c:pt idx="71">
                  <c:v>BNI- Direct Installation; LED Lamps-Retrofit (dual baseline)-BES; COM-Lighting; Other Commercial</c:v>
                </c:pt>
                <c:pt idx="72">
                  <c:v>BNI - Efficient Product Rebates; LED Linear Replacement Lamps; COM-Lighting; Other Commercial</c:v>
                </c:pt>
                <c:pt idx="73">
                  <c:v>BNI - Efficient Product Rebates; LED Lamps-Retrofit (dual baseline); COM-Lighting; Other Commercial</c:v>
                </c:pt>
                <c:pt idx="74">
                  <c:v>BNI - Efficient Product Rebates; LED Linear Replacement Lamps; COM-Lighting; School</c:v>
                </c:pt>
                <c:pt idx="75">
                  <c:v>BNI - Efficient Product Rebates; LED Lamps-Retrofit (dual baseline); COM-Lighting; School</c:v>
                </c:pt>
                <c:pt idx="76">
                  <c:v>BNI - Efficient Product Rebates; LED Lamps-End of Life; COM-Lighting; School</c:v>
                </c:pt>
                <c:pt idx="77">
                  <c:v>BNI - Efficient Product Rebates; LED Lamps-Retrofit (dual baseline); COM-Lighting; Retail</c:v>
                </c:pt>
                <c:pt idx="78">
                  <c:v>BNI- Direct Installation; LED Lamps-End of Life-BES; COM-Lighting; Retail</c:v>
                </c:pt>
                <c:pt idx="79">
                  <c:v>BNI- Direct Installation; LED Lamps-Retrofit (dual baseline)-BES; COM-Lighting; Retail</c:v>
                </c:pt>
                <c:pt idx="80">
                  <c:v>BNI - Efficient Product Rebates; LED Linear Replacement Lamps; COM-Lighting; Retail</c:v>
                </c:pt>
                <c:pt idx="81">
                  <c:v>BNI - Efficient Product Rebates; LED Lamps-End of Life; COM-Lighting; Retail</c:v>
                </c:pt>
                <c:pt idx="82">
                  <c:v>BNI- Direct Installation; Relamp/Reballast-Retrofit (dual baseline)-BES; COM-Lighting; Office</c:v>
                </c:pt>
                <c:pt idx="83">
                  <c:v>BNI - Efficient Product Rebates; Relamp/Reballast-Retrofit (dual baseline); COM-Lighting; Office</c:v>
                </c:pt>
                <c:pt idx="84">
                  <c:v>BNI - Efficient Product Rebates; LED Low Bay Fixture; COM-Lighting; Office</c:v>
                </c:pt>
                <c:pt idx="85">
                  <c:v>BNI - Efficient Product Rebates; LED High Bay Fixture; COM-Lighting; Other Commercial</c:v>
                </c:pt>
                <c:pt idx="86">
                  <c:v>BNI - Efficient Product Rebates; LED Low Bay Fixture; COM-Lighting; Other Commercial</c:v>
                </c:pt>
                <c:pt idx="87">
                  <c:v>BNI- Direct Installation; Relamp/Reballast-Retrofit (dual baseline)-BES; COM-Lighting; Other Commercial</c:v>
                </c:pt>
                <c:pt idx="88">
                  <c:v>BNI - Efficient Product Rebates; Relamp/Reballast-Retrofit (dual baseline); COM-Lighting; Other Commercial</c:v>
                </c:pt>
                <c:pt idx="89">
                  <c:v>BNI - Efficient Product Rebates; LED Low Bay Fixture; COM-Lighting; School</c:v>
                </c:pt>
                <c:pt idx="90">
                  <c:v>BNI - Efficient Product Rebates; Relamp/Reballast-Retrofit (dual baseline); COM-Lighting; School</c:v>
                </c:pt>
                <c:pt idx="91">
                  <c:v>BNI - Efficient Product Rebates; LED High Bay Fixture; COM-Lighting; School</c:v>
                </c:pt>
                <c:pt idx="92">
                  <c:v>BNI - Efficient Product Rebates; LED Low Bay Fixture; COM-Lighting; Retail</c:v>
                </c:pt>
                <c:pt idx="93">
                  <c:v>BNI- Direct Installation; Relamp/Reballast-Retrofit (dual baseline)-BES; COM-Lighting; Retail</c:v>
                </c:pt>
                <c:pt idx="94">
                  <c:v>BNI - Efficient Product Rebates; LED High Bay Fixture; COM-Lighting; Retail</c:v>
                </c:pt>
                <c:pt idx="95">
                  <c:v>BNI - Efficient Product Rebates; Relamp/Reballast-Retrofit (dual baseline); COM-Lighting; Retail</c:v>
                </c:pt>
                <c:pt idx="96">
                  <c:v>BNI - Efficient Product Rebates; LED Linear Replacement Lamps; IND; Industrial </c:v>
                </c:pt>
                <c:pt idx="97">
                  <c:v>BNI - Efficient Product Rebates; LED Lamps-End of Life; IND; Industrial </c:v>
                </c:pt>
                <c:pt idx="98">
                  <c:v>BNI - Efficient Product Rebates; T8 Dimmable Stairwell Lighting; IND; Industrial </c:v>
                </c:pt>
                <c:pt idx="99">
                  <c:v>BNI - Efficient Product Rebates; LED Lamps-Retrofit (dual baseline); IND; Industrial </c:v>
                </c:pt>
                <c:pt idx="100">
                  <c:v>Existing Residential; DHW Tank Wrap; RES-Water Heat; MURB</c:v>
                </c:pt>
                <c:pt idx="101">
                  <c:v>BNI - Efficient Product Rebates; ENERGY STAR® Ice Making Head; COM-Refrigeration; Retail</c:v>
                </c:pt>
                <c:pt idx="102">
                  <c:v>BNI - Efficient Product Rebates; Relamp/Reballast-Retrofit (dual baseline); IND; Industrial </c:v>
                </c:pt>
                <c:pt idx="103">
                  <c:v>BNI - Efficient Product Rebates; LED Low Bay Fixture; IND; Industrial </c:v>
                </c:pt>
                <c:pt idx="104">
                  <c:v>BNI - Efficient Product Rebates; LED High Bay Fixture; IND; Industrial </c:v>
                </c:pt>
                <c:pt idx="105">
                  <c:v>BNI - Efficient Product Rebates; LED Exterior Fixtures-End of Life replacement; COM-Lighting; Office</c:v>
                </c:pt>
                <c:pt idx="106">
                  <c:v>BNI - Efficient Product Rebates; LED Exterior Fixtures-End of Life replacement; COM-Lighting; Other Commercial</c:v>
                </c:pt>
                <c:pt idx="107">
                  <c:v>BNI - Efficient Product Rebates; LED Exterior Fixtures-End of Life replacement; COM-Lighting; Retail</c:v>
                </c:pt>
                <c:pt idx="108">
                  <c:v>BNI - Efficient Product Rebates; LED Exterior Fixtures-End of Life replacement; COM-Lighting; School</c:v>
                </c:pt>
                <c:pt idx="109">
                  <c:v>BNI - Efficient Product Rebates; LED Exterior Fixtures-End of Life replacement; IND; Industrial </c:v>
                </c:pt>
                <c:pt idx="110">
                  <c:v>BNI - Efficient Product Rebates; Single-Tank Conveyor Dishwasher (Low Temp); COM-Other; Retail</c:v>
                </c:pt>
                <c:pt idx="111">
                  <c:v>Existing Residential; Low Flow (1.25 GPM) showerhead; RES-Water Heat; RES-SF</c:v>
                </c:pt>
                <c:pt idx="112">
                  <c:v>Existing Residential; DHW Tank Wrap; RES-Water Heat; RES-SF</c:v>
                </c:pt>
                <c:pt idx="113">
                  <c:v>New Residential; EnerGuide 83 New Home; RES-Package; RES-NC</c:v>
                </c:pt>
                <c:pt idx="114">
                  <c:v>BNI - Efficient Product Rebates; Single Tank Door Dishwasher with Booster (High Temp); COM-Other; Retail</c:v>
                </c:pt>
                <c:pt idx="115">
                  <c:v>Existing Residential; 1W LED Nightlight; RES-Lighting; MURB</c:v>
                </c:pt>
                <c:pt idx="116">
                  <c:v>Existing Residential; 12 W LED: 23 W CFL baseline; RES-Lighting; MURB</c:v>
                </c:pt>
                <c:pt idx="117">
                  <c:v>BNI - Efficient Product Rebates; ENERGY STAR® Remote Condensing Head/Split System Ice Maker; COM-Refrigeration; Retail</c:v>
                </c:pt>
                <c:pt idx="118">
                  <c:v>BNI - Efficient Product Rebates; Multi Tank Conveyor Dishwasher with Booster (High Temp); COM-Other; Retail</c:v>
                </c:pt>
                <c:pt idx="119">
                  <c:v>Existing Residential; 1W LED Nightlight; RES-Lighting; RES-SF</c:v>
                </c:pt>
                <c:pt idx="120">
                  <c:v>New Residential; EnerGuide 85 New Home; RES-Package; RES-NC</c:v>
                </c:pt>
                <c:pt idx="121">
                  <c:v>New Residential; EnerGuide 86 New Home; RES-Package; RES-NC</c:v>
                </c:pt>
                <c:pt idx="122">
                  <c:v>Existing Residential; Building Envelope Retrofits (Insulation, Draft Proofing, EnergyStar Windows and Doors); RES-HVAC/Shell; RES-SF</c:v>
                </c:pt>
                <c:pt idx="123">
                  <c:v>Residential - Efficient Product Rebates; Indoor Motion Sensor; RES-Lighting; RES-SF</c:v>
                </c:pt>
                <c:pt idx="124">
                  <c:v>New Residential; EnerGuide 87 New Home; RES-Package; RES-NC</c:v>
                </c:pt>
                <c:pt idx="125">
                  <c:v>New Residential; EnerGuide 88 New Home; RES-Package; RES-NC</c:v>
                </c:pt>
                <c:pt idx="126">
                  <c:v>New Residential; EnerGuide 88+ New Home; RES-Package; RES-NC</c:v>
                </c:pt>
                <c:pt idx="127">
                  <c:v>Existing Residential; Low Flow Faucet Aerator, 1.5 GPM; RES-Water Heat; MURB</c:v>
                </c:pt>
                <c:pt idx="128">
                  <c:v>BNI - Efficient Product Rebates; Under Counter Commercial Dishwasher (Low Temp); COM-Other; Retail</c:v>
                </c:pt>
                <c:pt idx="129">
                  <c:v>BNI - Efficient Product Rebates; Single Tank Conveyor Dishwasher with Booster (High Temp); COM-Other; Retail</c:v>
                </c:pt>
                <c:pt idx="130">
                  <c:v>BNI - Efficient Product Rebates; Under Counter Dishwasher with Booster (High Temp); COM-Other; Retail</c:v>
                </c:pt>
                <c:pt idx="131">
                  <c:v>Existing Residential; 5W Chandelier LED bulb; RES-Lighting; MURB</c:v>
                </c:pt>
                <c:pt idx="132">
                  <c:v>Residential - Efficient Product Rebates; ENERGY STAR® LED Lamps; RES-Lighting; RES-SF</c:v>
                </c:pt>
                <c:pt idx="133">
                  <c:v>Custom Incentives; Whole Building 40% Over Baseline; COM-Other; New Construction - BNI</c:v>
                </c:pt>
                <c:pt idx="134">
                  <c:v>Custom Incentives; Whole Building 20% Over Baseline; COM-Other; New Construction - BNI</c:v>
                </c:pt>
                <c:pt idx="135">
                  <c:v>Existing Residential; 8 W LED; RES-Lighting; MURB</c:v>
                </c:pt>
                <c:pt idx="136">
                  <c:v>Existing Residential; 10.5 W LED; RES-Lighting; RES-SF</c:v>
                </c:pt>
                <c:pt idx="137">
                  <c:v>Residential - Efficient Product Rebates; Outdoor Motion Sensor; RES-Lighting; RES-SF</c:v>
                </c:pt>
                <c:pt idx="138">
                  <c:v>Existing Residential; Certified Pellet Boiler or Furnace Supplemented by Baseboard Heat (Whole Home); RES-HVAC/Shell; RES-SF</c:v>
                </c:pt>
                <c:pt idx="139">
                  <c:v>Existing Residential; Certified Wood Boiler or Furnace; RES-HVAC/Shell; RES-SF</c:v>
                </c:pt>
                <c:pt idx="140">
                  <c:v>Existing Residential; 12 W LED: Blended 75W and 100W incandescent baseline; RES-Lighting; MURB</c:v>
                </c:pt>
                <c:pt idx="141">
                  <c:v>Existing Residential; Ground Source Heat Pump; RES-HVAC/Shell; RES-SF</c:v>
                </c:pt>
                <c:pt idx="142">
                  <c:v>Existing Residential; ENERGY STAR® Windows (300 ft2) (Replace Double Pane); RES-HVAC/Shell; RES-SF</c:v>
                </c:pt>
                <c:pt idx="143">
                  <c:v>Existing Residential; 11 W LED; RES-Lighting; RES-SF</c:v>
                </c:pt>
                <c:pt idx="144">
                  <c:v>Existing Residential; Solar DHW; RES-Water Heat; RES-SF</c:v>
                </c:pt>
                <c:pt idx="145">
                  <c:v>Residential - Efficient Product Rebates; Heavy Duty Outdoor Timer; RES-Plug Load; RES-SF</c:v>
                </c:pt>
                <c:pt idx="146">
                  <c:v>Existing Residential; ENERGY STAR® Windows (Replace Single Pane); RES-HVAC/Shell; RES-SF</c:v>
                </c:pt>
                <c:pt idx="147">
                  <c:v>Existing Residential; ENERGY STAR® Air Source Heat Pump; RES-HVAC/Shell; RES-SF</c:v>
                </c:pt>
                <c:pt idx="148">
                  <c:v>Existing Residential; Certified Pellet Stove; RES-HVAC/Shell; RES-SF</c:v>
                </c:pt>
                <c:pt idx="149">
                  <c:v>Existing Residential; Low Flow Faucet Aerator, 1.5 GPM; RES-Water Heat; RES-SF</c:v>
                </c:pt>
                <c:pt idx="150">
                  <c:v>Existing Residential; Certified Wood Stove; RES-HVAC/Shell; RES-SF</c:v>
                </c:pt>
                <c:pt idx="151">
                  <c:v>Residential - Efficient Product Rebates; Freezer Retirement; RES-Appliance; RES-SF</c:v>
                </c:pt>
                <c:pt idx="152">
                  <c:v>Residential - Efficient Product Rebates; Refrigerator Retirement; RES-Appliance; RES-SF</c:v>
                </c:pt>
                <c:pt idx="153">
                  <c:v>Existing Residential; Advanced Automatic Pellet Combo Boiler; RES-HVAC/Shell; RES-SF</c:v>
                </c:pt>
                <c:pt idx="154">
                  <c:v>Existing Residential; ENERGY STAR® Refrigerator (Replacement); RES-Appliance; MURB</c:v>
                </c:pt>
                <c:pt idx="155">
                  <c:v>New Residential; Solar DHW; RES-Water Heat; RES-NC</c:v>
                </c:pt>
                <c:pt idx="156">
                  <c:v>Existing Residential; Solar Space and Water Heat (Supplement Electricity); RES-Package; RES-SF</c:v>
                </c:pt>
                <c:pt idx="157">
                  <c:v>Existing Residential; ENERGY STAR® Door; RES-HVAC/Shell; RES-SF</c:v>
                </c:pt>
                <c:pt idx="158">
                  <c:v>New Residential; Solar Space and Water Heat (Supplement Electricity); RES-Package; RES-NC</c:v>
                </c:pt>
                <c:pt idx="159">
                  <c:v>New Residential; Solar Space Heating (Displacing Electricity); RES-HVAC/Shell; RES-NC</c:v>
                </c:pt>
                <c:pt idx="160">
                  <c:v>Residential - Efficient Product Rebates; Smartstrip; RES-Plug Load; RES-SF</c:v>
                </c:pt>
                <c:pt idx="161">
                  <c:v>BNI- Direct Installation; Night Covers for 3' Refrigerated Display Cases-BES; COM-Refrigeration; Retail</c:v>
                </c:pt>
                <c:pt idx="162">
                  <c:v>BNI - Efficient Product Rebates; Dairy Scroll Compressor; COM-Other; Other Commercial</c:v>
                </c:pt>
                <c:pt idx="163">
                  <c:v>BNI - Efficient Product Rebates; Night Covers for 3' Refrigerated Display Cases; COM-Refrigeration; Retail</c:v>
                </c:pt>
                <c:pt idx="164">
                  <c:v>BNI- Direct Installation; Night Covers for 3' Refrigerated Display Cases-BES; COM-Refrigeration; Other Commercial</c:v>
                </c:pt>
                <c:pt idx="165">
                  <c:v>BNI - Efficient Product Rebates; Variable Speed Drive Screw Compressors (10 - 40 hp); COM-Process; School</c:v>
                </c:pt>
                <c:pt idx="166">
                  <c:v>BNI - Efficient Product Rebates; Air Tanks for Load / No-Load Screw Compressors (10 – 40 hp); COM-Process; School</c:v>
                </c:pt>
                <c:pt idx="167">
                  <c:v>BNI - Efficient Product Rebates; Integrated Dual Enthalpy Economizer Controls; COM-HVAC; School</c:v>
                </c:pt>
                <c:pt idx="168">
                  <c:v>BNI - Efficient Product Rebates; Variable Speed Drive for Kitchen exhaust fans (Demand Controlled Ventilation) ; COM-Motors; Retail</c:v>
                </c:pt>
                <c:pt idx="169">
                  <c:v>BNI - Efficient Product Rebates; Integrated Dual Enthalpy Economizer Controls; COM-HVAC; Retail</c:v>
                </c:pt>
                <c:pt idx="170">
                  <c:v>BNI - Efficient Product Rebates; Half Size Commercial Hot Food Holding Cabinet; COM-Other; Retail</c:v>
                </c:pt>
                <c:pt idx="171">
                  <c:v>BNI - Efficient Product Rebates; Night Covers for 3' Refrigerated Display Cases; COM-Refrigeration; Other Commercial</c:v>
                </c:pt>
                <c:pt idx="172">
                  <c:v>Residential - Efficient Product Rebates; Power bar with integrated timer; RES-Plug Load; RES-SF</c:v>
                </c:pt>
                <c:pt idx="173">
                  <c:v>BNI - Efficient Product Rebates; Zero Energy Doors for Reach-In Coolers and Freezers; COM-Refrigeration; School</c:v>
                </c:pt>
                <c:pt idx="174">
                  <c:v>BNI - Efficient Product Rebates; Zero Energy Doors for Reach-In Coolers and Freezers; COM-Refrigeration; Other Commercial</c:v>
                </c:pt>
                <c:pt idx="175">
                  <c:v>BNI - Efficient Product Rebates; Zero Energy Doors for Reach-In Coolers and Freezers; COM-Refrigeration; Retail</c:v>
                </c:pt>
                <c:pt idx="176">
                  <c:v>BNI - Efficient Product Rebates; Night Covers for 3' Refrigerated Display Cases; COM-Refrigeration; School</c:v>
                </c:pt>
                <c:pt idx="177">
                  <c:v>BNI- Direct Installation; Electronically Commutated (Brushless) DC Motors for Refrigeration Applications-BES; COM-Refrigeration; Other Commercial</c:v>
                </c:pt>
                <c:pt idx="178">
                  <c:v>BNI- Direct Installation; Electronically Commutated (Brushless) DC Motors for Refrigeration Applications-BES; COM-Refrigeration; Retail</c:v>
                </c:pt>
                <c:pt idx="179">
                  <c:v>BNI - Efficient Product Rebates; Three Quarter Size Commercial Hot Food Holding Cabinet; COM-Other; Retail</c:v>
                </c:pt>
                <c:pt idx="180">
                  <c:v>Existing Residential; Solar Space Heating (Displacing Electricity); RES-HVAC/Shell; RES-SF</c:v>
                </c:pt>
                <c:pt idx="181">
                  <c:v>BNI - Efficient Product Rebates; Variable Speed Drive for Kitchen exhaust fans (Demand Controlled Ventilation) ; COM-Motors; Other Commercial</c:v>
                </c:pt>
                <c:pt idx="182">
                  <c:v>BNI - Efficient Product Rebates; Standard Capacity Commercial Electric Fryers; COM-Other; Retail</c:v>
                </c:pt>
                <c:pt idx="183">
                  <c:v>BNI - Efficient Product Rebates; HVAC Hotel Occupancy Sensor; COM-HVAC; Other Commercial</c:v>
                </c:pt>
                <c:pt idx="184">
                  <c:v>BNI- Direct Installation; Evaporator Fan Motor Controls for Walk-In Freezers and Coolers-BES; COM-Refrigeration; Other Commercial</c:v>
                </c:pt>
                <c:pt idx="185">
                  <c:v>BNI- Direct Installation; Evaporator Fan Motor Controls for Walk-In Freezers and Coolers-BES; COM-Refrigeration; Retail</c:v>
                </c:pt>
                <c:pt idx="186">
                  <c:v>BNI - Efficient Product Rebates; Electronically Commutated (Brushless) DC Motors for Refrigeration Applications; COM-Refrigeration; School</c:v>
                </c:pt>
                <c:pt idx="187">
                  <c:v>BNI - Efficient Product Rebates; Electronically Commutated (Brushless) DC Motors for Refrigeration Applications; COM-Refrigeration; Other Commercial</c:v>
                </c:pt>
                <c:pt idx="188">
                  <c:v>BNI - Efficient Product Rebates; Electronically Commutated (Brushless) DC Motors for Refrigeration Applications; COM-Refrigeration; Retail</c:v>
                </c:pt>
                <c:pt idx="189">
                  <c:v>BNI - Efficient Product Rebates; Evaporator Fan Motor Controls for Walk-In Freezers and Coolers; COM-Refrigeration; School</c:v>
                </c:pt>
                <c:pt idx="190">
                  <c:v>BNI - Efficient Product Rebates; Electronically Commutated (Brushless) DC Motors for Refrigeration Applications; IND; Industrial </c:v>
                </c:pt>
                <c:pt idx="191">
                  <c:v>BNI - Efficient Product Rebates; Evaporator Fan Motor Controls for Walk-In Freezers and Coolers; COM-Refrigeration; Other Commercial</c:v>
                </c:pt>
                <c:pt idx="192">
                  <c:v>BNI - Efficient Product Rebates; Evaporator Fan Motor Controls for Walk-In Freezers and Coolers; COM-Refrigeration; Retail</c:v>
                </c:pt>
                <c:pt idx="193">
                  <c:v>BNI - Efficient Product Rebates; Cycling Refrigerated Air Dryers (≤ 300 CFM capacity); COM-Process; School</c:v>
                </c:pt>
                <c:pt idx="194">
                  <c:v>Residential - Efficient Product Rebates; Advanced Power Strip (load sensing or remote control/wireless APS); RES-Plug Load; RES-SF</c:v>
                </c:pt>
                <c:pt idx="195">
                  <c:v>BNI - Efficient Product Rebates; Strip Curtains for 3' Open Refrigerated Display Cases; COM-Refrigeration; School</c:v>
                </c:pt>
                <c:pt idx="196">
                  <c:v>BNI - Efficient Product Rebates; Strip Curtains for 3' Open Refrigerated Display Cases; COM-Refrigeration; Other Commercial</c:v>
                </c:pt>
                <c:pt idx="197">
                  <c:v>BNI - Efficient Product Rebates; Strip Curtains for 3' Open Refrigerated Display Cases; COM-Refrigeration; Retail</c:v>
                </c:pt>
                <c:pt idx="198">
                  <c:v>BNI - Efficient Product Rebates; Integrated Dual Enthalpy Economizer Controls; COM-HVAC; Office</c:v>
                </c:pt>
                <c:pt idx="199">
                  <c:v>BNI - Efficient Product Rebates; Integrated Dual Enthalpy Economizer Controls; COM-HVAC; Other Commercial</c:v>
                </c:pt>
                <c:pt idx="200">
                  <c:v>BNI - Efficient Product Rebates; Variable Speed Drive Screw Compressors (10 - 40 hp); IND; Industrial </c:v>
                </c:pt>
                <c:pt idx="201">
                  <c:v>BNI - Efficient Product Rebates; Air Tanks for Load / No-Load Screw Compressors (10 – 40 hp); IND; Industrial </c:v>
                </c:pt>
                <c:pt idx="202">
                  <c:v>BNI - Efficient Product Rebates; ENERGY STAR® Commercial Electric Convection Oven; COM-Other; Retail</c:v>
                </c:pt>
                <c:pt idx="203">
                  <c:v>BNI - Efficient Product Rebates; Intelligent (Electronic) Defrost Control For Freezer Display Cases; COM-Refrigeration; School</c:v>
                </c:pt>
                <c:pt idx="204">
                  <c:v>BNI - Efficient Product Rebates; Commercial Electric Griddle; COM-Other; Retail</c:v>
                </c:pt>
                <c:pt idx="205">
                  <c:v>BNI - Efficient Product Rebates; Intelligent (Electronic) Defrost Control For Freezer Display Cases; COM-Refrigeration; Other Commercial</c:v>
                </c:pt>
                <c:pt idx="206">
                  <c:v>BNI - Efficient Product Rebates; Intelligent (Electronic) Defrost Control For Freezer Display Cases; COM-Refrigeration; Retail</c:v>
                </c:pt>
                <c:pt idx="207">
                  <c:v>BNI - Efficient Product Rebates; Refrigerated Vending Machine Controller; COM-Refrigeration; Office</c:v>
                </c:pt>
                <c:pt idx="208">
                  <c:v>BNI - Efficient Product Rebates; Refrigerated Vending Machine Controller; COM-Refrigeration; Other Commercial</c:v>
                </c:pt>
                <c:pt idx="209">
                  <c:v>BNI - Efficient Product Rebates; Refrigerated Vending Machine Controller; COM-Refrigeration; Retail</c:v>
                </c:pt>
                <c:pt idx="210">
                  <c:v>BNI - Efficient Product Rebates; Intelligent (Electronic) Defrost Control For Walk-In Freezers; COM-Refrigeration; School</c:v>
                </c:pt>
                <c:pt idx="211">
                  <c:v>BNI - Efficient Product Rebates; Intelligent (Electronic) Defrost Control For Walk-In Freezers; COM-Refrigeration; Other Commercial</c:v>
                </c:pt>
                <c:pt idx="212">
                  <c:v>BNI - Efficient Product Rebates; Intelligent (Electronic) Defrost Control For Walk-In Freezers; COM-Refrigeration; Retail</c:v>
                </c:pt>
                <c:pt idx="213">
                  <c:v>BNI - Efficient Product Rebates; Heat Reclaimer Unit; COM-Other; Other Commercial</c:v>
                </c:pt>
                <c:pt idx="214">
                  <c:v>BNI- Direct Installation; Humidity-Based Door Heater Controls for Reach-In Coolers and Freezers-BES; COM-Refrigeration; Other Commercial</c:v>
                </c:pt>
                <c:pt idx="215">
                  <c:v>BNI- Direct Installation; Humidity-Based Door Heater Controls for Reach-In Coolers and Freezers-BES; COM-Refrigeration; Retail</c:v>
                </c:pt>
                <c:pt idx="216">
                  <c:v>BNI - Efficient Product Rebates; Double Heat Pad; COM-Other; Other Commercial</c:v>
                </c:pt>
                <c:pt idx="217">
                  <c:v>BNI - Efficient Product Rebates; Variable Frequency Drives; COM-Motors; Retail</c:v>
                </c:pt>
                <c:pt idx="218">
                  <c:v>BNI - Efficient Product Rebates; Variable Speed Drive Screw Compressors (10 - 40 hp); COM-Process; Other Commercial</c:v>
                </c:pt>
                <c:pt idx="219">
                  <c:v>BNI - Efficient Product Rebates; Variable Frequency Drives; COM-Motors; School</c:v>
                </c:pt>
                <c:pt idx="220">
                  <c:v>BNI - Efficient Product Rebates; Zero-Energy Livestock Waterers; COM-Other; Other Commercial</c:v>
                </c:pt>
                <c:pt idx="221">
                  <c:v>BNI - Efficient Product Rebates; Air Tanks for Load / No-Load Screw Compressors (10 – 40 hp); COM-Process; Other Commercial</c:v>
                </c:pt>
                <c:pt idx="222">
                  <c:v>BNI - Efficient Product Rebates; Variable Frequency Drives; COM-Motors; Office</c:v>
                </c:pt>
                <c:pt idx="223">
                  <c:v>BNI - Efficient Product Rebates; Air-Entraining Air Nozzles (up to 14CFM at 100 psi); COM-Process; School</c:v>
                </c:pt>
                <c:pt idx="224">
                  <c:v>BNI - Efficient Product Rebates; Variable Frequency Drives; COM-Motors; Other Commercial</c:v>
                </c:pt>
                <c:pt idx="225">
                  <c:v>BNI - Efficient Product Rebates; No-Loss Drains (Timed drains are not eligible); COM-Process; School</c:v>
                </c:pt>
                <c:pt idx="226">
                  <c:v>Existing Residential; Advanced Power Strip (load sensing or remote control/wireless APS); RES-Plug Load; MURB</c:v>
                </c:pt>
                <c:pt idx="227">
                  <c:v>BNI - Efficient Product Rebates; Full Size Commercial Hot Food Holding Cabinet; COM-Other; Retail</c:v>
                </c:pt>
                <c:pt idx="228">
                  <c:v>BNI - Efficient Product Rebates; Cycling Refrigerated Air Dryers (≤ 300 CFM capacity); IND; Industrial </c:v>
                </c:pt>
                <c:pt idx="229">
                  <c:v>Existing Residential; Embertec Power Strip; RES-Plug Load; RES-SF</c:v>
                </c:pt>
                <c:pt idx="230">
                  <c:v>Residential - Efficient Product Rebates; Dehumidifier (Retirement); RES-Appliance; RES-SF</c:v>
                </c:pt>
                <c:pt idx="231">
                  <c:v>BNI - Efficient Product Rebates; Single Heat Pad; COM-Other; Other Commercial</c:v>
                </c:pt>
                <c:pt idx="232">
                  <c:v>BNI - Efficient Product Rebates; Humidity-Based Door Heater Controls for Reach-In Coolers and Freezers; COM-Refrigeration; School</c:v>
                </c:pt>
                <c:pt idx="233">
                  <c:v>BNI - Efficient Product Rebates; Humidity-Based Door Heater Controls for Reach-In Coolers and Freezers; COM-Refrigeration; Other Commercial</c:v>
                </c:pt>
                <c:pt idx="234">
                  <c:v>BNI - Efficient Product Rebates; Humidity-Based Door Heater Controls for Reach-In Coolers and Freezers; COM-Refrigeration; Retail</c:v>
                </c:pt>
                <c:pt idx="235">
                  <c:v>BNI - Efficient Product Rebates; Cycling Refrigerated Air Dryers (≤ 300 CFM capacity); COM-Process; Other Commercial</c:v>
                </c:pt>
                <c:pt idx="236">
                  <c:v>BNI - Efficient Product Rebates; VSD for Milk Vacuum Pump; COM-Other; Other Commercial</c:v>
                </c:pt>
                <c:pt idx="237">
                  <c:v>BNI - Efficient Product Rebates; ENERGY STAR®, CEE Tier 2 or CEE Tier 3 Commercial Clothes Washer; COM-Other; Other Commercial</c:v>
                </c:pt>
              </c:strCache>
            </c:strRef>
          </c:cat>
          <c:val>
            <c:numRef>
              <c:f>'TRC Figure'!$D$1:$D$238</c:f>
              <c:numCache>
                <c:formatCode>0.0%</c:formatCode>
                <c:ptCount val="238"/>
                <c:pt idx="0">
                  <c:v>4.5861089251435398</c:v>
                </c:pt>
                <c:pt idx="1">
                  <c:v>3.1866442440433622</c:v>
                </c:pt>
                <c:pt idx="2">
                  <c:v>3.1866442440433622</c:v>
                </c:pt>
                <c:pt idx="3">
                  <c:v>3.1866442440433622</c:v>
                </c:pt>
                <c:pt idx="4">
                  <c:v>2.1801322343954399</c:v>
                </c:pt>
                <c:pt idx="5">
                  <c:v>1.9923918712611461</c:v>
                </c:pt>
                <c:pt idx="6">
                  <c:v>0.99349249527396033</c:v>
                </c:pt>
                <c:pt idx="7">
                  <c:v>0.99349249527396</c:v>
                </c:pt>
                <c:pt idx="8">
                  <c:v>0.99349249527396022</c:v>
                </c:pt>
                <c:pt idx="9">
                  <c:v>0.99349249527396033</c:v>
                </c:pt>
                <c:pt idx="10">
                  <c:v>0.98925624712478111</c:v>
                </c:pt>
                <c:pt idx="11">
                  <c:v>0.98925624712478122</c:v>
                </c:pt>
                <c:pt idx="12">
                  <c:v>0.989256247124781</c:v>
                </c:pt>
                <c:pt idx="13">
                  <c:v>0.98925624712478111</c:v>
                </c:pt>
                <c:pt idx="14">
                  <c:v>0.97219381810605665</c:v>
                </c:pt>
                <c:pt idx="15">
                  <c:v>0.9721938181060561</c:v>
                </c:pt>
                <c:pt idx="16">
                  <c:v>0.97219381810605665</c:v>
                </c:pt>
                <c:pt idx="17">
                  <c:v>0.97219381810605621</c:v>
                </c:pt>
                <c:pt idx="18">
                  <c:v>0.96447811409586492</c:v>
                </c:pt>
                <c:pt idx="19">
                  <c:v>0.96447811409586526</c:v>
                </c:pt>
                <c:pt idx="20">
                  <c:v>0.9644781140958647</c:v>
                </c:pt>
                <c:pt idx="21">
                  <c:v>0.96447811409586515</c:v>
                </c:pt>
                <c:pt idx="22">
                  <c:v>1.2346371080936145</c:v>
                </c:pt>
                <c:pt idx="23">
                  <c:v>0.71277583546523704</c:v>
                </c:pt>
                <c:pt idx="24">
                  <c:v>0.71277583546523704</c:v>
                </c:pt>
                <c:pt idx="25">
                  <c:v>0.64865052878572238</c:v>
                </c:pt>
                <c:pt idx="26">
                  <c:v>0.64865052878572227</c:v>
                </c:pt>
                <c:pt idx="27">
                  <c:v>0.64865052878572249</c:v>
                </c:pt>
                <c:pt idx="28">
                  <c:v>0.58883603022432041</c:v>
                </c:pt>
                <c:pt idx="29">
                  <c:v>0.58883603022432041</c:v>
                </c:pt>
                <c:pt idx="30">
                  <c:v>0.54377424387404449</c:v>
                </c:pt>
                <c:pt idx="31">
                  <c:v>0.49390347884116831</c:v>
                </c:pt>
                <c:pt idx="32">
                  <c:v>0.46581271067122532</c:v>
                </c:pt>
                <c:pt idx="33">
                  <c:v>0.46748103293870785</c:v>
                </c:pt>
                <c:pt idx="34">
                  <c:v>0.47438315329571579</c:v>
                </c:pt>
                <c:pt idx="35">
                  <c:v>0.4539302003158569</c:v>
                </c:pt>
                <c:pt idx="36">
                  <c:v>0.46896505945330452</c:v>
                </c:pt>
                <c:pt idx="37">
                  <c:v>0.46896505945330441</c:v>
                </c:pt>
                <c:pt idx="38">
                  <c:v>0.46896505945330408</c:v>
                </c:pt>
                <c:pt idx="39">
                  <c:v>0.41794367727732951</c:v>
                </c:pt>
                <c:pt idx="40">
                  <c:v>0.40801314487638046</c:v>
                </c:pt>
                <c:pt idx="41">
                  <c:v>0.40801314487638041</c:v>
                </c:pt>
                <c:pt idx="42">
                  <c:v>0.40801314487638052</c:v>
                </c:pt>
                <c:pt idx="43">
                  <c:v>0.40465928299847476</c:v>
                </c:pt>
                <c:pt idx="44">
                  <c:v>0.40465928299847487</c:v>
                </c:pt>
                <c:pt idx="45">
                  <c:v>0.40465928299847481</c:v>
                </c:pt>
                <c:pt idx="46">
                  <c:v>0.43472086730880294</c:v>
                </c:pt>
                <c:pt idx="47">
                  <c:v>0.40049685142281399</c:v>
                </c:pt>
                <c:pt idx="48">
                  <c:v>0.39899565696396988</c:v>
                </c:pt>
                <c:pt idx="49">
                  <c:v>0.39899565696396982</c:v>
                </c:pt>
                <c:pt idx="50">
                  <c:v>0.39899565696396971</c:v>
                </c:pt>
                <c:pt idx="51">
                  <c:v>0.42926791244996948</c:v>
                </c:pt>
                <c:pt idx="52">
                  <c:v>0.42514130330014072</c:v>
                </c:pt>
                <c:pt idx="53">
                  <c:v>0.37917612056812583</c:v>
                </c:pt>
                <c:pt idx="54">
                  <c:v>0.37917612056812583</c:v>
                </c:pt>
                <c:pt idx="55">
                  <c:v>0.37917612056812583</c:v>
                </c:pt>
                <c:pt idx="56">
                  <c:v>0.37917612056812583</c:v>
                </c:pt>
                <c:pt idx="57">
                  <c:v>0.37917612056812583</c:v>
                </c:pt>
                <c:pt idx="58">
                  <c:v>0.37917612056812589</c:v>
                </c:pt>
                <c:pt idx="59">
                  <c:v>0.37917612056812589</c:v>
                </c:pt>
                <c:pt idx="60">
                  <c:v>0.37917612056812589</c:v>
                </c:pt>
                <c:pt idx="61">
                  <c:v>0.37917612056812589</c:v>
                </c:pt>
                <c:pt idx="62">
                  <c:v>0.37917612056812589</c:v>
                </c:pt>
                <c:pt idx="63">
                  <c:v>0.3790891947555704</c:v>
                </c:pt>
                <c:pt idx="64">
                  <c:v>0.37908919475557001</c:v>
                </c:pt>
                <c:pt idx="65">
                  <c:v>0.37908919475557018</c:v>
                </c:pt>
                <c:pt idx="66">
                  <c:v>0.37908919475557046</c:v>
                </c:pt>
                <c:pt idx="67">
                  <c:v>0.37908919475557046</c:v>
                </c:pt>
                <c:pt idx="68">
                  <c:v>0.37451469984598762</c:v>
                </c:pt>
                <c:pt idx="69">
                  <c:v>0.37451469984598751</c:v>
                </c:pt>
                <c:pt idx="70">
                  <c:v>0.37451469984598751</c:v>
                </c:pt>
                <c:pt idx="71">
                  <c:v>0.3745146998459879</c:v>
                </c:pt>
                <c:pt idx="72">
                  <c:v>0.37451469984598773</c:v>
                </c:pt>
                <c:pt idx="73">
                  <c:v>0.37451469984598773</c:v>
                </c:pt>
                <c:pt idx="74">
                  <c:v>0.36959385476060935</c:v>
                </c:pt>
                <c:pt idx="75">
                  <c:v>0.36959385476060941</c:v>
                </c:pt>
                <c:pt idx="76">
                  <c:v>0.36959385476060896</c:v>
                </c:pt>
                <c:pt idx="77">
                  <c:v>0.36587387271206179</c:v>
                </c:pt>
                <c:pt idx="78">
                  <c:v>0.36587387271206179</c:v>
                </c:pt>
                <c:pt idx="79">
                  <c:v>0.36587387271206195</c:v>
                </c:pt>
                <c:pt idx="80">
                  <c:v>0.36587387271206184</c:v>
                </c:pt>
                <c:pt idx="81">
                  <c:v>0.36587387271206173</c:v>
                </c:pt>
                <c:pt idx="82">
                  <c:v>0.34498160624919411</c:v>
                </c:pt>
                <c:pt idx="83">
                  <c:v>0.34498160624919411</c:v>
                </c:pt>
                <c:pt idx="84">
                  <c:v>0.34498160624919411</c:v>
                </c:pt>
                <c:pt idx="85">
                  <c:v>0.34089952813916174</c:v>
                </c:pt>
                <c:pt idx="86">
                  <c:v>0.34089952813916158</c:v>
                </c:pt>
                <c:pt idx="87">
                  <c:v>0.34089952813916169</c:v>
                </c:pt>
                <c:pt idx="88">
                  <c:v>0.34089952813916169</c:v>
                </c:pt>
                <c:pt idx="89">
                  <c:v>0.33650621989511281</c:v>
                </c:pt>
                <c:pt idx="90">
                  <c:v>0.33650621989511242</c:v>
                </c:pt>
                <c:pt idx="91">
                  <c:v>0.33650621989511265</c:v>
                </c:pt>
                <c:pt idx="92">
                  <c:v>0.33318354808967293</c:v>
                </c:pt>
                <c:pt idx="93">
                  <c:v>0.33318354808967315</c:v>
                </c:pt>
                <c:pt idx="94">
                  <c:v>0.33318354808967304</c:v>
                </c:pt>
                <c:pt idx="95">
                  <c:v>0.33318354808967326</c:v>
                </c:pt>
                <c:pt idx="96">
                  <c:v>0.33963532158215359</c:v>
                </c:pt>
                <c:pt idx="97">
                  <c:v>0.33963532158215359</c:v>
                </c:pt>
                <c:pt idx="98">
                  <c:v>0.33963532158215365</c:v>
                </c:pt>
                <c:pt idx="99">
                  <c:v>0.3396353215821537</c:v>
                </c:pt>
                <c:pt idx="100">
                  <c:v>0.32624908804963582</c:v>
                </c:pt>
                <c:pt idx="101">
                  <c:v>0.33577031010181413</c:v>
                </c:pt>
                <c:pt idx="102">
                  <c:v>0.30971091756829955</c:v>
                </c:pt>
                <c:pt idx="103">
                  <c:v>0.30971091756829949</c:v>
                </c:pt>
                <c:pt idx="104">
                  <c:v>0.30971091756829938</c:v>
                </c:pt>
                <c:pt idx="105">
                  <c:v>0.31614264138282328</c:v>
                </c:pt>
                <c:pt idx="106">
                  <c:v>0.31614264138282328</c:v>
                </c:pt>
                <c:pt idx="107">
                  <c:v>0.31614264138282328</c:v>
                </c:pt>
                <c:pt idx="108">
                  <c:v>0.31614264138282328</c:v>
                </c:pt>
                <c:pt idx="109">
                  <c:v>0.3153617667311443</c:v>
                </c:pt>
                <c:pt idx="110">
                  <c:v>0.29323668571160399</c:v>
                </c:pt>
                <c:pt idx="111">
                  <c:v>0.28584445690691135</c:v>
                </c:pt>
                <c:pt idx="112">
                  <c:v>0.27622983266289336</c:v>
                </c:pt>
                <c:pt idx="113">
                  <c:v>0.19904153399547286</c:v>
                </c:pt>
                <c:pt idx="114">
                  <c:v>0.23208747887355</c:v>
                </c:pt>
                <c:pt idx="115">
                  <c:v>0.23633290944561505</c:v>
                </c:pt>
                <c:pt idx="116">
                  <c:v>0.23291172218002998</c:v>
                </c:pt>
                <c:pt idx="117">
                  <c:v>0.22652429799630475</c:v>
                </c:pt>
                <c:pt idx="118">
                  <c:v>0.20485172617018638</c:v>
                </c:pt>
                <c:pt idx="119">
                  <c:v>0.19126154200463513</c:v>
                </c:pt>
                <c:pt idx="120">
                  <c:v>0.14217252428248059</c:v>
                </c:pt>
                <c:pt idx="121">
                  <c:v>0.12440095874717043</c:v>
                </c:pt>
                <c:pt idx="122">
                  <c:v>0.12301762236463226</c:v>
                </c:pt>
                <c:pt idx="123">
                  <c:v>0.15467706004248297</c:v>
                </c:pt>
                <c:pt idx="124">
                  <c:v>0.11056470146366472</c:v>
                </c:pt>
                <c:pt idx="125">
                  <c:v>9.952076699773614E-2</c:v>
                </c:pt>
                <c:pt idx="126">
                  <c:v>9.0473424543396491E-2</c:v>
                </c:pt>
                <c:pt idx="127">
                  <c:v>0.10730163737185326</c:v>
                </c:pt>
                <c:pt idx="128">
                  <c:v>9.6474676151997077E-2</c:v>
                </c:pt>
                <c:pt idx="129">
                  <c:v>9.5865839559562807E-2</c:v>
                </c:pt>
                <c:pt idx="130">
                  <c:v>7.4357847662596663E-2</c:v>
                </c:pt>
                <c:pt idx="131">
                  <c:v>7.3200826970866495E-2</c:v>
                </c:pt>
                <c:pt idx="132">
                  <c:v>6.8000879783409213E-2</c:v>
                </c:pt>
                <c:pt idx="133">
                  <c:v>6.3799989437185761E-2</c:v>
                </c:pt>
                <c:pt idx="134">
                  <c:v>6.3799989437185803E-2</c:v>
                </c:pt>
                <c:pt idx="135">
                  <c:v>5.9123744861084231E-2</c:v>
                </c:pt>
                <c:pt idx="136">
                  <c:v>5.1838968588585985E-2</c:v>
                </c:pt>
                <c:pt idx="137">
                  <c:v>4.8778054921906532E-2</c:v>
                </c:pt>
                <c:pt idx="138">
                  <c:v>3.2701162666104303E-2</c:v>
                </c:pt>
                <c:pt idx="139">
                  <c:v>3.2608773116410111E-2</c:v>
                </c:pt>
                <c:pt idx="140">
                  <c:v>4.2663058664002079E-2</c:v>
                </c:pt>
                <c:pt idx="141">
                  <c:v>3.015139560366142E-2</c:v>
                </c:pt>
                <c:pt idx="142">
                  <c:v>2.8904395293413827E-2</c:v>
                </c:pt>
                <c:pt idx="143">
                  <c:v>3.2372358888143091E-2</c:v>
                </c:pt>
                <c:pt idx="144">
                  <c:v>7.080857420137367E-3</c:v>
                </c:pt>
                <c:pt idx="145">
                  <c:v>2.0197163391363428E-2</c:v>
                </c:pt>
                <c:pt idx="146">
                  <c:v>8.9728657144949962E-3</c:v>
                </c:pt>
                <c:pt idx="147">
                  <c:v>6.649206277767189E-3</c:v>
                </c:pt>
                <c:pt idx="148">
                  <c:v>5.2075400040133384E-3</c:v>
                </c:pt>
                <c:pt idx="149">
                  <c:v>6.7882553982817166E-3</c:v>
                </c:pt>
                <c:pt idx="150">
                  <c:v>4.4675237858809594E-3</c:v>
                </c:pt>
                <c:pt idx="151">
                  <c:v>0</c:v>
                </c:pt>
                <c:pt idx="152">
                  <c:v>0</c:v>
                </c:pt>
                <c:pt idx="153">
                  <c:v>1.1210760206447714E-3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-9.5829051758464165E-2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79-4C82-810F-7475552A21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42469384"/>
        <c:axId val="242469776"/>
      </c:barChart>
      <c:catAx>
        <c:axId val="242469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469776"/>
        <c:crosses val="autoZero"/>
        <c:auto val="0"/>
        <c:lblAlgn val="ctr"/>
        <c:lblOffset val="100"/>
        <c:noMultiLvlLbl val="0"/>
      </c:catAx>
      <c:valAx>
        <c:axId val="242469776"/>
        <c:scaling>
          <c:orientation val="minMax"/>
          <c:max val="3.2"/>
          <c:min val="-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w="lg" len="lg"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%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469384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7C-4067-BDA3-B26D44AF11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07C-4067-BDA3-B26D44AF1117}"/>
              </c:ext>
            </c:extLst>
          </c:dPt>
          <c:dLbls>
            <c:dLbl>
              <c:idx val="0"/>
              <c:layout>
                <c:manualLayout>
                  <c:x val="8.5470123817270607E-2"/>
                  <c:y val="-7.0512856103803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7C-4067-BDA3-B26D44AF1117}"/>
                </c:ext>
              </c:extLst>
            </c:dLbl>
            <c:dLbl>
              <c:idx val="1"/>
              <c:layout>
                <c:manualLayout>
                  <c:x val="-7.4074107308301301E-2"/>
                  <c:y val="8.3333375395404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C-4067-BDA3-B26D44AF1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'TRC Figure'!$V$3:$V$4</c:f>
              <c:strCache>
                <c:ptCount val="2"/>
                <c:pt idx="0">
                  <c:v>No change to TRC</c:v>
                </c:pt>
                <c:pt idx="1">
                  <c:v>Total measures</c:v>
                </c:pt>
              </c:strCache>
            </c:strRef>
          </c:cat>
          <c:val>
            <c:numRef>
              <c:f>'TRC Figure'!$W$3:$W$4</c:f>
              <c:numCache>
                <c:formatCode>General</c:formatCode>
                <c:ptCount val="2"/>
                <c:pt idx="0">
                  <c:v>85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7C-4067-BDA3-B26D44AF1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Total</a:t>
            </a:r>
            <a:r>
              <a:rPr lang="en-US" i="1" baseline="0"/>
              <a:t> count of  TRC change occurances summarized by  categorized magnitude of change 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'TRC Figure'!$BC$3:$BC$14</c:f>
              <c:strCache>
                <c:ptCount val="12"/>
                <c:pt idx="0">
                  <c:v>&gt; -10% and &lt; 0%</c:v>
                </c:pt>
                <c:pt idx="1">
                  <c:v>0%</c:v>
                </c:pt>
                <c:pt idx="2">
                  <c:v>&gt; 0% and 10%</c:v>
                </c:pt>
                <c:pt idx="3">
                  <c:v>&gt; 10% and 20%</c:v>
                </c:pt>
                <c:pt idx="4">
                  <c:v>&gt; 20% and 30%</c:v>
                </c:pt>
                <c:pt idx="5">
                  <c:v>&gt; 30% and 40%</c:v>
                </c:pt>
                <c:pt idx="6">
                  <c:v>&gt; 40% and 50%</c:v>
                </c:pt>
                <c:pt idx="7">
                  <c:v>&gt; 50% and 60%</c:v>
                </c:pt>
                <c:pt idx="8">
                  <c:v>&gt; 60% and 75%</c:v>
                </c:pt>
                <c:pt idx="9">
                  <c:v>&gt; 115% and 125%</c:v>
                </c:pt>
                <c:pt idx="10">
                  <c:v>&gt; 175% and 230%</c:v>
                </c:pt>
                <c:pt idx="11">
                  <c:v>&gt; 275%</c:v>
                </c:pt>
              </c:strCache>
            </c:strRef>
          </c:cat>
          <c:val>
            <c:numRef>
              <c:f>'TRC Figure'!$BD$3:$BD$14</c:f>
              <c:numCache>
                <c:formatCode>General</c:formatCode>
                <c:ptCount val="12"/>
                <c:pt idx="0">
                  <c:v>1</c:v>
                </c:pt>
                <c:pt idx="1">
                  <c:v>82</c:v>
                </c:pt>
                <c:pt idx="2">
                  <c:v>27</c:v>
                </c:pt>
                <c:pt idx="3">
                  <c:v>9</c:v>
                </c:pt>
                <c:pt idx="4">
                  <c:v>9</c:v>
                </c:pt>
                <c:pt idx="5">
                  <c:v>62</c:v>
                </c:pt>
                <c:pt idx="6">
                  <c:v>17</c:v>
                </c:pt>
                <c:pt idx="7">
                  <c:v>3</c:v>
                </c:pt>
                <c:pt idx="8">
                  <c:v>5</c:v>
                </c:pt>
                <c:pt idx="9">
                  <c:v>17</c:v>
                </c:pt>
                <c:pt idx="10">
                  <c:v>2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5-49AB-A991-C925ADEC6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023232"/>
        <c:axId val="243498808"/>
      </c:barChart>
      <c:catAx>
        <c:axId val="18402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98808"/>
        <c:crosses val="autoZero"/>
        <c:auto val="1"/>
        <c:lblAlgn val="ctr"/>
        <c:lblOffset val="100"/>
        <c:noMultiLvlLbl val="0"/>
      </c:catAx>
      <c:valAx>
        <c:axId val="243498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02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360270</xdr:colOff>
      <xdr:row>5</xdr:row>
      <xdr:rowOff>47626</xdr:rowOff>
    </xdr:from>
    <xdr:to>
      <xdr:col>27</xdr:col>
      <xdr:colOff>142875</xdr:colOff>
      <xdr:row>127</xdr:row>
      <xdr:rowOff>104776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85725</xdr:colOff>
      <xdr:row>10</xdr:row>
      <xdr:rowOff>57150</xdr:rowOff>
    </xdr:from>
    <xdr:to>
      <xdr:col>24</xdr:col>
      <xdr:colOff>485774</xdr:colOff>
      <xdr:row>20</xdr:row>
      <xdr:rowOff>133349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5</xdr:row>
      <xdr:rowOff>0</xdr:rowOff>
    </xdr:from>
    <xdr:to>
      <xdr:col>51</xdr:col>
      <xdr:colOff>388741</xdr:colOff>
      <xdr:row>189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46</xdr:col>
      <xdr:colOff>443345</xdr:colOff>
      <xdr:row>9</xdr:row>
      <xdr:rowOff>173181</xdr:rowOff>
    </xdr:from>
    <xdr:to>
      <xdr:col>50</xdr:col>
      <xdr:colOff>237258</xdr:colOff>
      <xdr:row>20</xdr:row>
      <xdr:rowOff>58880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46</xdr:col>
      <xdr:colOff>209550</xdr:colOff>
      <xdr:row>7</xdr:row>
      <xdr:rowOff>28575</xdr:rowOff>
    </xdr:from>
    <xdr:to>
      <xdr:col>50</xdr:col>
      <xdr:colOff>365975</xdr:colOff>
      <xdr:row>9</xdr:row>
      <xdr:rowOff>124023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7471350" y="1362075"/>
          <a:ext cx="2594825" cy="476448"/>
        </a:xfrm>
        <a:prstGeom prst="rect">
          <a:avLst/>
        </a:prstGeom>
        <a:solidFill>
          <a:schemeClr val="bg1">
            <a:lumMod val="50000"/>
            <a:alpha val="22000"/>
          </a:schemeClr>
        </a:solidFill>
        <a:ln>
          <a:solidFill>
            <a:schemeClr val="accent1">
              <a:shade val="50000"/>
              <a:alpha val="63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i="1" baseline="0">
              <a:solidFill>
                <a:sysClr val="windowText" lastClr="000000"/>
              </a:solidFill>
            </a:rPr>
            <a:t>Summary: measures with TRC change due to NEB addition.</a:t>
          </a:r>
          <a:endParaRPr lang="en-US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52</xdr:col>
      <xdr:colOff>493059</xdr:colOff>
      <xdr:row>16</xdr:row>
      <xdr:rowOff>113179</xdr:rowOff>
    </xdr:from>
    <xdr:to>
      <xdr:col>65</xdr:col>
      <xdr:colOff>392206</xdr:colOff>
      <xdr:row>33</xdr:row>
      <xdr:rowOff>112059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0.51956</cdr:x>
      <cdr:y>0.21728</cdr:y>
    </cdr:from>
    <cdr:to>
      <cdr:x>0.75417</cdr:x>
      <cdr:y>0.22561</cdr:y>
    </cdr:to>
    <cdr:sp macro="" textlink="">
      <cdr:nvSpPr>
        <cdr:cNvPr id="4" name="Oval 3"/>
        <cdr:cNvSpPr/>
      </cdr:nvSpPr>
      <cdr:spPr>
        <a:xfrm xmlns:a="http://schemas.openxmlformats.org/drawingml/2006/main">
          <a:off x="6782431" y="5062326"/>
          <a:ext cx="3062624" cy="194074"/>
        </a:xfrm>
        <a:prstGeom xmlns:a="http://schemas.openxmlformats.org/drawingml/2006/main" prst="ellipse">
          <a:avLst/>
        </a:prstGeom>
        <a:noFill xmlns:a="http://schemas.openxmlformats.org/drawingml/2006/main"/>
        <a:effectLst xmlns:a="http://schemas.openxmlformats.org/drawingml/2006/main">
          <a:glow rad="533400">
            <a:srgbClr val="00B0F0">
              <a:alpha val="40000"/>
            </a:srgbClr>
          </a:glow>
          <a:softEdge rad="12700"/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b="1">
              <a:solidFill>
                <a:sysClr val="windowText" lastClr="000000"/>
              </a:solidFill>
            </a:rPr>
            <a:t>Median: 19.8%</a:t>
          </a:r>
        </a:p>
      </cdr:txBody>
    </cdr:sp>
  </cdr:relSizeAnchor>
  <cdr:relSizeAnchor xmlns:cdr="http://schemas.openxmlformats.org/drawingml/2006/chartDrawing">
    <cdr:from>
      <cdr:x>0.50571</cdr:x>
      <cdr:y>0.32452</cdr:y>
    </cdr:from>
    <cdr:to>
      <cdr:x>0.74168</cdr:x>
      <cdr:y>0.33285</cdr:y>
    </cdr:to>
    <cdr:sp macro="" textlink="">
      <cdr:nvSpPr>
        <cdr:cNvPr id="5" name="Oval 4"/>
        <cdr:cNvSpPr/>
      </cdr:nvSpPr>
      <cdr:spPr>
        <a:xfrm xmlns:a="http://schemas.openxmlformats.org/drawingml/2006/main">
          <a:off x="4825036" y="7560716"/>
          <a:ext cx="2251452" cy="194120"/>
        </a:xfrm>
        <a:prstGeom xmlns:a="http://schemas.openxmlformats.org/drawingml/2006/main" prst="ellipse">
          <a:avLst/>
        </a:prstGeom>
        <a:noFill xmlns:a="http://schemas.openxmlformats.org/drawingml/2006/main"/>
        <a:effectLst xmlns:a="http://schemas.openxmlformats.org/drawingml/2006/main">
          <a:glow rad="533400">
            <a:srgbClr val="FF0000">
              <a:alpha val="25000"/>
            </a:srgbClr>
          </a:glow>
          <a:softEdge rad="12700"/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b="1">
              <a:solidFill>
                <a:sysClr val="windowText" lastClr="000000"/>
              </a:solidFill>
            </a:rPr>
            <a:t>Average: 32.9%</a:t>
          </a:r>
        </a:p>
      </cdr:txBody>
    </cdr:sp>
  </cdr:relSizeAnchor>
  <cdr:relSizeAnchor xmlns:cdr="http://schemas.openxmlformats.org/drawingml/2006/chartDrawing">
    <cdr:from>
      <cdr:x>0.7058</cdr:x>
      <cdr:y>0.01758</cdr:y>
    </cdr:from>
    <cdr:to>
      <cdr:x>0.90247</cdr:x>
      <cdr:y>0.03803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9312173" y="409473"/>
          <a:ext cx="2594826" cy="4764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22000"/>
          </a:schemeClr>
        </a:solidFill>
        <a:ln xmlns:a="http://schemas.openxmlformats.org/drawingml/2006/main">
          <a:solidFill>
            <a:schemeClr val="accent1">
              <a:shade val="50000"/>
              <a:alpha val="63000"/>
            </a:schemeClr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n-US" i="1">
              <a:solidFill>
                <a:sysClr val="windowText" lastClr="000000"/>
              </a:solidFill>
            </a:rPr>
            <a:t>Measures</a:t>
          </a:r>
          <a:r>
            <a:rPr lang="en-US" i="1" baseline="0">
              <a:solidFill>
                <a:sysClr val="windowText" lastClr="000000"/>
              </a:solidFill>
            </a:rPr>
            <a:t> with no change are excluded from figure.</a:t>
          </a:r>
          <a:endParaRPr lang="en-US" i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0.23771</cdr:x>
      <cdr:y>0.35029</cdr:y>
    </cdr:from>
    <cdr:to>
      <cdr:x>0.52988</cdr:x>
      <cdr:y>0.80714</cdr:y>
    </cdr:to>
    <cdr:sp macro="" textlink="">
      <cdr:nvSpPr>
        <cdr:cNvPr id="2" name="TextBox 1"/>
        <cdr:cNvSpPr txBox="1"/>
      </cdr:nvSpPr>
      <cdr:spPr>
        <a:xfrm xmlns:a="http://schemas.openxmlformats.org/drawingml/2006/main" rot="8989238">
          <a:off x="529810" y="693991"/>
          <a:ext cx="651219" cy="90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Change</a:t>
          </a:r>
          <a:r>
            <a:rPr lang="en-US" sz="1100" baseline="0"/>
            <a:t> to TRC</a:t>
          </a:r>
          <a:endParaRPr lang="en-US" sz="1100"/>
        </a:p>
      </cdr:txBody>
    </cdr:sp>
  </cdr:relSizeAnchor>
  <cdr:relSizeAnchor xmlns:cdr="http://schemas.openxmlformats.org/drawingml/2006/chartDrawing">
    <cdr:from>
      <cdr:x>0.3774</cdr:x>
      <cdr:y>0.18834</cdr:y>
    </cdr:from>
    <cdr:to>
      <cdr:x>0.76034</cdr:x>
      <cdr:y>0.67447</cdr:y>
    </cdr:to>
    <cdr:sp macro="" textlink="">
      <cdr:nvSpPr>
        <cdr:cNvPr id="3" name="TextBox 1"/>
        <cdr:cNvSpPr txBox="1"/>
      </cdr:nvSpPr>
      <cdr:spPr>
        <a:xfrm xmlns:a="http://schemas.openxmlformats.org/drawingml/2006/main" rot="19048176">
          <a:off x="841176" y="373139"/>
          <a:ext cx="853509" cy="9631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No Change to TRC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0.23771</cdr:x>
      <cdr:y>0.35029</cdr:y>
    </cdr:from>
    <cdr:to>
      <cdr:x>0.52988</cdr:x>
      <cdr:y>0.80714</cdr:y>
    </cdr:to>
    <cdr:sp macro="" textlink="">
      <cdr:nvSpPr>
        <cdr:cNvPr id="2" name="TextBox 1"/>
        <cdr:cNvSpPr txBox="1"/>
      </cdr:nvSpPr>
      <cdr:spPr>
        <a:xfrm xmlns:a="http://schemas.openxmlformats.org/drawingml/2006/main" rot="8989238">
          <a:off x="529810" y="693991"/>
          <a:ext cx="651219" cy="90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Change</a:t>
          </a:r>
          <a:r>
            <a:rPr lang="en-US" sz="1100" baseline="0"/>
            <a:t> to TRC</a:t>
          </a:r>
          <a:endParaRPr lang="en-US" sz="1100"/>
        </a:p>
      </cdr:txBody>
    </cdr:sp>
  </cdr:relSizeAnchor>
  <cdr:relSizeAnchor xmlns:cdr="http://schemas.openxmlformats.org/drawingml/2006/chartDrawing">
    <cdr:from>
      <cdr:x>0.3774</cdr:x>
      <cdr:y>0.18834</cdr:y>
    </cdr:from>
    <cdr:to>
      <cdr:x>0.76034</cdr:x>
      <cdr:y>0.67447</cdr:y>
    </cdr:to>
    <cdr:sp macro="" textlink="">
      <cdr:nvSpPr>
        <cdr:cNvPr id="3" name="TextBox 1"/>
        <cdr:cNvSpPr txBox="1"/>
      </cdr:nvSpPr>
      <cdr:spPr>
        <a:xfrm xmlns:a="http://schemas.openxmlformats.org/drawingml/2006/main" rot="19048176">
          <a:off x="841176" y="373139"/>
          <a:ext cx="853509" cy="9631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No Change to TRC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647702</xdr:colOff>
      <xdr:row>4</xdr:row>
      <xdr:rowOff>133350</xdr:rowOff>
    </xdr:from>
    <xdr:to>
      <xdr:col>4</xdr:col>
      <xdr:colOff>104776</xdr:colOff>
      <xdr:row>6</xdr:row>
      <xdr:rowOff>85725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62802" y="781050"/>
          <a:ext cx="657224" cy="34290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619126</xdr:colOff>
      <xdr:row>7</xdr:row>
      <xdr:rowOff>152399</xdr:rowOff>
    </xdr:from>
    <xdr:to>
      <xdr:col>4</xdr:col>
      <xdr:colOff>123826</xdr:colOff>
      <xdr:row>9</xdr:row>
      <xdr:rowOff>47625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134226" y="1390649"/>
          <a:ext cx="704850" cy="285751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628650</xdr:colOff>
      <xdr:row>20</xdr:row>
      <xdr:rowOff>142875</xdr:rowOff>
    </xdr:from>
    <xdr:to>
      <xdr:col>4</xdr:col>
      <xdr:colOff>238124</xdr:colOff>
      <xdr:row>23</xdr:row>
      <xdr:rowOff>38101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143750" y="3133725"/>
          <a:ext cx="809624" cy="485776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447675</xdr:colOff>
      <xdr:row>56</xdr:row>
      <xdr:rowOff>133350</xdr:rowOff>
    </xdr:from>
    <xdr:to>
      <xdr:col>7</xdr:col>
      <xdr:colOff>180974</xdr:colOff>
      <xdr:row>58</xdr:row>
      <xdr:rowOff>95250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0325100" y="6715125"/>
          <a:ext cx="809624" cy="34290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695325</xdr:colOff>
      <xdr:row>11</xdr:row>
      <xdr:rowOff>152400</xdr:rowOff>
    </xdr:from>
    <xdr:to>
      <xdr:col>3</xdr:col>
      <xdr:colOff>100265</xdr:colOff>
      <xdr:row>13</xdr:row>
      <xdr:rowOff>60605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5975" y="2162175"/>
          <a:ext cx="719390" cy="298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11</xdr:row>
      <xdr:rowOff>57150</xdr:rowOff>
    </xdr:from>
    <xdr:to>
      <xdr:col>24</xdr:col>
      <xdr:colOff>485774</xdr:colOff>
      <xdr:row>21</xdr:row>
      <xdr:rowOff>133349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0</xdr:colOff>
      <xdr:row>6</xdr:row>
      <xdr:rowOff>0</xdr:rowOff>
    </xdr:from>
    <xdr:to>
      <xdr:col>51</xdr:col>
      <xdr:colOff>388741</xdr:colOff>
      <xdr:row>190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46</xdr:col>
      <xdr:colOff>443345</xdr:colOff>
      <xdr:row>10</xdr:row>
      <xdr:rowOff>173181</xdr:rowOff>
    </xdr:from>
    <xdr:to>
      <xdr:col>50</xdr:col>
      <xdr:colOff>237258</xdr:colOff>
      <xdr:row>21</xdr:row>
      <xdr:rowOff>58880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46</xdr:col>
      <xdr:colOff>209550</xdr:colOff>
      <xdr:row>8</xdr:row>
      <xdr:rowOff>28575</xdr:rowOff>
    </xdr:from>
    <xdr:to>
      <xdr:col>50</xdr:col>
      <xdr:colOff>365975</xdr:colOff>
      <xdr:row>10</xdr:row>
      <xdr:rowOff>124023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8557200" y="1362075"/>
          <a:ext cx="2594825" cy="476448"/>
        </a:xfrm>
        <a:prstGeom prst="rect">
          <a:avLst/>
        </a:prstGeom>
        <a:solidFill>
          <a:schemeClr val="bg1">
            <a:lumMod val="50000"/>
            <a:alpha val="22000"/>
          </a:schemeClr>
        </a:solidFill>
        <a:ln>
          <a:solidFill>
            <a:schemeClr val="accent1">
              <a:shade val="50000"/>
              <a:alpha val="63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i="1" baseline="0">
              <a:solidFill>
                <a:sysClr val="windowText" lastClr="000000"/>
              </a:solidFill>
            </a:rPr>
            <a:t>Summary: measures with TRC change due to NEB addition.</a:t>
          </a:r>
          <a:endParaRPr lang="en-US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52</xdr:col>
      <xdr:colOff>493059</xdr:colOff>
      <xdr:row>17</xdr:row>
      <xdr:rowOff>113179</xdr:rowOff>
    </xdr:from>
    <xdr:to>
      <xdr:col>65</xdr:col>
      <xdr:colOff>392206</xdr:colOff>
      <xdr:row>34</xdr:row>
      <xdr:rowOff>112059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0.23771</cdr:x>
      <cdr:y>0.35029</cdr:y>
    </cdr:from>
    <cdr:to>
      <cdr:x>0.52988</cdr:x>
      <cdr:y>0.80714</cdr:y>
    </cdr:to>
    <cdr:sp macro="" textlink="">
      <cdr:nvSpPr>
        <cdr:cNvPr id="2" name="TextBox 1"/>
        <cdr:cNvSpPr txBox="1"/>
      </cdr:nvSpPr>
      <cdr:spPr>
        <a:xfrm xmlns:a="http://schemas.openxmlformats.org/drawingml/2006/main" rot="8989238">
          <a:off x="529810" y="693991"/>
          <a:ext cx="651219" cy="90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Change</a:t>
          </a:r>
          <a:r>
            <a:rPr lang="en-US" sz="1100" baseline="0"/>
            <a:t> to TRC</a:t>
          </a:r>
          <a:endParaRPr lang="en-US" sz="1100"/>
        </a:p>
      </cdr:txBody>
    </cdr:sp>
  </cdr:relSizeAnchor>
  <cdr:relSizeAnchor xmlns:cdr="http://schemas.openxmlformats.org/drawingml/2006/chartDrawing">
    <cdr:from>
      <cdr:x>0.3774</cdr:x>
      <cdr:y>0.18834</cdr:y>
    </cdr:from>
    <cdr:to>
      <cdr:x>0.76034</cdr:x>
      <cdr:y>0.67447</cdr:y>
    </cdr:to>
    <cdr:sp macro="" textlink="">
      <cdr:nvSpPr>
        <cdr:cNvPr id="3" name="TextBox 1"/>
        <cdr:cNvSpPr txBox="1"/>
      </cdr:nvSpPr>
      <cdr:spPr>
        <a:xfrm xmlns:a="http://schemas.openxmlformats.org/drawingml/2006/main" rot="19048176">
          <a:off x="841176" y="373139"/>
          <a:ext cx="853509" cy="9631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No Change to TRC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0.5288</cdr:x>
      <cdr:y>0.50097</cdr:y>
    </cdr:from>
    <cdr:to>
      <cdr:x>0.76341</cdr:x>
      <cdr:y>0.5093</cdr:y>
    </cdr:to>
    <cdr:sp macro="" textlink="">
      <cdr:nvSpPr>
        <cdr:cNvPr id="4" name="Oval 3"/>
        <cdr:cNvSpPr/>
      </cdr:nvSpPr>
      <cdr:spPr>
        <a:xfrm xmlns:a="http://schemas.openxmlformats.org/drawingml/2006/main">
          <a:off x="6975051" y="17645986"/>
          <a:ext cx="3094586" cy="293412"/>
        </a:xfrm>
        <a:prstGeom xmlns:a="http://schemas.openxmlformats.org/drawingml/2006/main" prst="ellipse">
          <a:avLst/>
        </a:prstGeom>
        <a:noFill xmlns:a="http://schemas.openxmlformats.org/drawingml/2006/main"/>
        <a:effectLst xmlns:a="http://schemas.openxmlformats.org/drawingml/2006/main">
          <a:glow rad="533400">
            <a:srgbClr val="00B0F0">
              <a:alpha val="40000"/>
            </a:srgbClr>
          </a:glow>
          <a:softEdge rad="12700"/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b="1">
              <a:solidFill>
                <a:sysClr val="windowText" lastClr="000000"/>
              </a:solidFill>
            </a:rPr>
            <a:t>Median: 21.1%</a:t>
          </a:r>
        </a:p>
      </cdr:txBody>
    </cdr:sp>
  </cdr:relSizeAnchor>
  <cdr:relSizeAnchor xmlns:cdr="http://schemas.openxmlformats.org/drawingml/2006/chartDrawing">
    <cdr:from>
      <cdr:x>0.52449</cdr:x>
      <cdr:y>0.56844</cdr:y>
    </cdr:from>
    <cdr:to>
      <cdr:x>0.76046</cdr:x>
      <cdr:y>0.57677</cdr:y>
    </cdr:to>
    <cdr:sp macro="" textlink="">
      <cdr:nvSpPr>
        <cdr:cNvPr id="5" name="Oval 4"/>
        <cdr:cNvSpPr/>
      </cdr:nvSpPr>
      <cdr:spPr>
        <a:xfrm xmlns:a="http://schemas.openxmlformats.org/drawingml/2006/main">
          <a:off x="6918137" y="20022264"/>
          <a:ext cx="3112525" cy="293411"/>
        </a:xfrm>
        <a:prstGeom xmlns:a="http://schemas.openxmlformats.org/drawingml/2006/main" prst="ellipse">
          <a:avLst/>
        </a:prstGeom>
        <a:noFill xmlns:a="http://schemas.openxmlformats.org/drawingml/2006/main"/>
        <a:effectLst xmlns:a="http://schemas.openxmlformats.org/drawingml/2006/main">
          <a:glow rad="533400">
            <a:srgbClr val="FF0000">
              <a:alpha val="25000"/>
            </a:srgbClr>
          </a:glow>
          <a:softEdge rad="12700"/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b="1">
              <a:solidFill>
                <a:sysClr val="windowText" lastClr="000000"/>
              </a:solidFill>
            </a:rPr>
            <a:t>Average: 30.6%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0.23771</cdr:x>
      <cdr:y>0.35029</cdr:y>
    </cdr:from>
    <cdr:to>
      <cdr:x>0.52988</cdr:x>
      <cdr:y>0.80714</cdr:y>
    </cdr:to>
    <cdr:sp macro="" textlink="">
      <cdr:nvSpPr>
        <cdr:cNvPr id="2" name="TextBox 1"/>
        <cdr:cNvSpPr txBox="1"/>
      </cdr:nvSpPr>
      <cdr:spPr>
        <a:xfrm xmlns:a="http://schemas.openxmlformats.org/drawingml/2006/main" rot="8989238">
          <a:off x="529810" y="693991"/>
          <a:ext cx="651219" cy="90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Change</a:t>
          </a:r>
          <a:r>
            <a:rPr lang="en-US" sz="1100" baseline="0"/>
            <a:t> to TRC</a:t>
          </a:r>
          <a:endParaRPr lang="en-US" sz="1100"/>
        </a:p>
      </cdr:txBody>
    </cdr:sp>
  </cdr:relSizeAnchor>
  <cdr:relSizeAnchor xmlns:cdr="http://schemas.openxmlformats.org/drawingml/2006/chartDrawing">
    <cdr:from>
      <cdr:x>0.3774</cdr:x>
      <cdr:y>0.18834</cdr:y>
    </cdr:from>
    <cdr:to>
      <cdr:x>0.76034</cdr:x>
      <cdr:y>0.67447</cdr:y>
    </cdr:to>
    <cdr:sp macro="" textlink="">
      <cdr:nvSpPr>
        <cdr:cNvPr id="3" name="TextBox 1"/>
        <cdr:cNvSpPr txBox="1"/>
      </cdr:nvSpPr>
      <cdr:spPr>
        <a:xfrm xmlns:a="http://schemas.openxmlformats.org/drawingml/2006/main" rot="19048176">
          <a:off x="841176" y="373139"/>
          <a:ext cx="853509" cy="9631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spcFirstLastPara="1" wrap="square" numCol="1" rtlCol="0">
          <a:prstTxWarp prst="textArchUp">
            <a:avLst>
              <a:gd name="adj" fmla="val 18216438"/>
            </a:avLst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No Change to TRC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-2018%20DSM%20Plan\RAM%20Versions\2015.02.26%20-%20Final%20RAM%20w8760\ELRAM%20Fi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Overview"/>
      <sheetName val="Scenario Dashboard"/>
      <sheetName val="Summary Parameters"/>
      <sheetName val="Program Accomplishments"/>
      <sheetName val="Avoided Costs"/>
      <sheetName val="Mea-In"/>
      <sheetName val="Output Summary Navigation"/>
      <sheetName val="Results Tables"/>
      <sheetName val="Summary Tables"/>
      <sheetName val="Totals by Category"/>
      <sheetName val="Tables-Graphs"/>
      <sheetName val="Supply Curves"/>
      <sheetName val="Codes &amp; Standards"/>
      <sheetName val="Measures Ranked"/>
      <sheetName val="GHG Carbon"/>
      <sheetName val="Tech Cost"/>
      <sheetName val="Incentives"/>
      <sheetName val="Admin Cost"/>
      <sheetName val="W&amp;A Time Vector"/>
      <sheetName val="NTG"/>
      <sheetName val="Impact Change-Non-Code"/>
      <sheetName val="Code Based Impact Change"/>
      <sheetName val="Mea-Avoid"/>
      <sheetName val="Bill Reduction"/>
      <sheetName val="Economic Screen"/>
      <sheetName val="Achieve and Units Distribution"/>
      <sheetName val="Calibrate"/>
      <sheetName val="Stocks"/>
      <sheetName val="Dual Base"/>
      <sheetName val="Re Engage"/>
      <sheetName val="Re-Participation Units"/>
      <sheetName val="RePart-Utility-Cost"/>
      <sheetName val="Costs-Benefits"/>
      <sheetName val="Financial Tests"/>
      <sheetName val="Tech Potential"/>
      <sheetName val="Tech C&amp;S Impacts"/>
      <sheetName val="Econ Potential"/>
      <sheetName val="Market Incremental Potential"/>
      <sheetName val="RePart-Utility"/>
      <sheetName val="Cumul Potential"/>
      <sheetName val="Special Cumul Potential"/>
      <sheetName val="Live-Unsorted Extra Tables"/>
      <sheetName val="Sorted Extra Tables"/>
    </sheetNames>
    <sheetDataSet>
      <sheetData sheetId="0"/>
      <sheetData sheetId="1">
        <row r="23">
          <cell r="W23">
            <v>1</v>
          </cell>
        </row>
        <row r="27">
          <cell r="M27">
            <v>0.25</v>
          </cell>
        </row>
        <row r="101">
          <cell r="B101">
            <v>0.75</v>
          </cell>
        </row>
        <row r="107">
          <cell r="B107">
            <v>0</v>
          </cell>
        </row>
        <row r="109">
          <cell r="B109">
            <v>0</v>
          </cell>
        </row>
      </sheetData>
      <sheetData sheetId="2">
        <row r="19">
          <cell r="C19">
            <v>6.8099999999999994E-2</v>
          </cell>
        </row>
      </sheetData>
      <sheetData sheetId="3"/>
      <sheetData sheetId="4"/>
      <sheetData sheetId="5">
        <row r="97">
          <cell r="AG97" t="str">
            <v>Existing Homes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97">
          <cell r="G497">
            <v>0</v>
          </cell>
        </row>
      </sheetData>
      <sheetData sheetId="21">
        <row r="497">
          <cell r="G497"/>
        </row>
      </sheetData>
      <sheetData sheetId="22"/>
      <sheetData sheetId="23"/>
      <sheetData sheetId="24">
        <row r="497">
          <cell r="DN497"/>
        </row>
      </sheetData>
      <sheetData sheetId="25">
        <row r="87">
          <cell r="B87" t="str">
            <v>RET</v>
          </cell>
        </row>
      </sheetData>
      <sheetData sheetId="26">
        <row r="7">
          <cell r="G7">
            <v>1.0000000000000009E-2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H342"/>
  <sheetViews>
    <sheetView tabSelected="1" topLeftCell="B1" zoomScale="70" zoomScaleNormal="70" workbookViewId="0">
      <pane xSplit="1" ySplit="1" topLeftCell="BI177" activePane="bottomRight" state="frozen"/>
      <selection activeCell="B1" sqref="B1"/>
      <selection pane="topRight" activeCell="C1" sqref="C1"/>
      <selection pane="bottomLeft" activeCell="B2" sqref="B2"/>
      <selection pane="bottomRight" activeCell="BY209" sqref="BY209"/>
    </sheetView>
  </sheetViews>
  <sheetFormatPr defaultColWidth="8.85546875" defaultRowHeight="15" customHeight="1"/>
  <cols>
    <col min="1" max="1" width="23.140625" style="257" hidden="1" customWidth="1"/>
    <col min="2" max="2" width="77.28515625" style="22" bestFit="1" customWidth="1"/>
    <col min="3" max="3" width="22.7109375" style="22" customWidth="1"/>
    <col min="4" max="4" width="22.140625" style="22" customWidth="1"/>
    <col min="5" max="5" width="8.5703125" style="22" customWidth="1"/>
    <col min="6" max="6" width="16.7109375" style="22" customWidth="1"/>
    <col min="7" max="7" width="15.85546875" style="22" customWidth="1"/>
    <col min="8" max="8" width="16" style="22" customWidth="1"/>
    <col min="9" max="10" width="16.42578125" style="22" customWidth="1"/>
    <col min="11" max="11" width="16.7109375" style="22" customWidth="1"/>
    <col min="12" max="14" width="16.42578125" style="22" customWidth="1"/>
    <col min="15" max="15" width="19.42578125" style="22" customWidth="1"/>
    <col min="16" max="16" width="16.42578125" style="22" customWidth="1"/>
    <col min="17" max="21" width="16.42578125" style="257" customWidth="1"/>
    <col min="22" max="22" width="18.7109375" style="22" customWidth="1"/>
    <col min="23" max="23" width="21.7109375" style="22" customWidth="1"/>
    <col min="24" max="24" width="17.5703125" style="22" customWidth="1"/>
    <col min="25" max="25" width="15.28515625" style="22" customWidth="1"/>
    <col min="26" max="26" width="23.28515625" style="239" customWidth="1"/>
    <col min="27" max="29" width="10.28515625" style="239" customWidth="1"/>
    <col min="30" max="30" width="12" style="239" customWidth="1"/>
    <col min="31" max="31" width="12.42578125" style="239" customWidth="1"/>
    <col min="32" max="32" width="15.42578125" style="239" customWidth="1"/>
    <col min="33" max="34" width="10.85546875" style="239" customWidth="1"/>
    <col min="35" max="35" width="12.7109375" style="239" customWidth="1"/>
    <col min="36" max="36" width="10.85546875" style="239" customWidth="1"/>
    <col min="37" max="37" width="14.140625" style="239" customWidth="1"/>
    <col min="38" max="38" width="20.7109375" style="239" customWidth="1"/>
    <col min="39" max="39" width="43.140625" style="22" customWidth="1"/>
    <col min="40" max="40" width="16.140625" style="22" hidden="1" customWidth="1"/>
    <col min="41" max="41" width="23.28515625" style="446" customWidth="1"/>
    <col min="42" max="42" width="78.85546875" style="22" customWidth="1"/>
    <col min="43" max="43" width="13.85546875" style="22" customWidth="1"/>
    <col min="44" max="44" width="8.85546875" style="22" customWidth="1"/>
    <col min="45" max="45" width="12.7109375" style="22" customWidth="1"/>
    <col min="46" max="46" width="8.85546875" style="22" customWidth="1"/>
    <col min="47" max="47" width="18.140625" style="22" customWidth="1"/>
    <col min="48" max="48" width="18.140625" style="193" bestFit="1" customWidth="1"/>
    <col min="49" max="49" width="18.140625" style="193" customWidth="1"/>
    <col min="50" max="50" width="18.7109375" style="193" customWidth="1"/>
    <col min="51" max="51" width="17.28515625" style="193" customWidth="1"/>
    <col min="52" max="52" width="16.7109375" style="193" customWidth="1"/>
    <col min="53" max="53" width="18.140625" style="193" customWidth="1"/>
    <col min="54" max="54" width="9.28515625" style="193" customWidth="1"/>
    <col min="55" max="55" width="11.140625" style="193" customWidth="1"/>
    <col min="56" max="56" width="8.28515625" style="193" customWidth="1"/>
    <col min="57" max="57" width="17.42578125" style="193" customWidth="1"/>
    <col min="58" max="58" width="16.140625" style="193" customWidth="1"/>
    <col min="59" max="59" width="16" style="193" customWidth="1"/>
    <col min="60" max="60" width="17.85546875" style="193" customWidth="1"/>
    <col min="61" max="61" width="16" style="193" bestFit="1" customWidth="1"/>
    <col min="62" max="62" width="18.140625" style="193" bestFit="1" customWidth="1"/>
    <col min="63" max="63" width="18.140625" style="193" customWidth="1"/>
    <col min="64" max="64" width="18.7109375" style="193" customWidth="1"/>
    <col min="65" max="65" width="19.140625" style="193" customWidth="1"/>
    <col min="66" max="66" width="16.7109375" style="193" customWidth="1"/>
    <col min="67" max="67" width="18.140625" style="193" customWidth="1"/>
    <col min="68" max="72" width="14.28515625" style="193" customWidth="1"/>
    <col min="73" max="73" width="16" style="193" customWidth="1"/>
    <col min="74" max="74" width="17.85546875" style="193" customWidth="1"/>
    <col min="75" max="75" width="16.140625" style="193" customWidth="1"/>
    <col min="76" max="76" width="18.140625" style="193" bestFit="1" customWidth="1"/>
    <col min="77" max="77" width="18.140625" style="193" customWidth="1"/>
    <col min="78" max="78" width="18.7109375" style="193" customWidth="1"/>
    <col min="79" max="79" width="11.140625" style="193" customWidth="1"/>
    <col min="80" max="80" width="16.7109375" style="193" customWidth="1"/>
    <col min="81" max="81" width="18.140625" style="193" customWidth="1"/>
    <col min="82" max="83" width="8.85546875" style="193" customWidth="1"/>
    <col min="84" max="84" width="12.28515625" style="193" customWidth="1"/>
    <col min="85" max="85" width="23.28515625" style="193" customWidth="1"/>
    <col min="86" max="99" width="8.85546875" style="193" customWidth="1"/>
    <col min="100" max="100" width="13.5703125" style="193" customWidth="1"/>
    <col min="101" max="103" width="8.85546875" style="193" customWidth="1"/>
    <col min="104" max="16384" width="8.85546875" style="193"/>
  </cols>
  <sheetData>
    <row r="1" spans="1:242" ht="16.5" customHeight="1" thickBot="1">
      <c r="B1" s="467"/>
      <c r="C1" s="467"/>
      <c r="D1" s="467"/>
      <c r="E1" s="467"/>
      <c r="Q1" s="469" t="s">
        <v>378</v>
      </c>
      <c r="R1" s="470"/>
      <c r="S1" s="470"/>
      <c r="T1" s="470"/>
      <c r="U1" s="470"/>
      <c r="Y1" s="487" t="s">
        <v>379</v>
      </c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  <c r="AL1" s="487"/>
      <c r="AM1" s="487"/>
      <c r="AN1" s="487"/>
      <c r="AO1" s="487"/>
      <c r="AU1" s="481" t="s">
        <v>380</v>
      </c>
      <c r="AV1" s="481"/>
      <c r="AW1" s="481"/>
      <c r="AX1" s="481"/>
      <c r="AY1" s="481"/>
      <c r="AZ1" s="481"/>
      <c r="BA1" s="481"/>
      <c r="BB1" s="481"/>
      <c r="BC1" s="481"/>
      <c r="BD1" s="481"/>
      <c r="BE1" s="481"/>
      <c r="BF1" s="481"/>
      <c r="BG1" s="481"/>
      <c r="BH1" s="481"/>
      <c r="BI1" s="481"/>
      <c r="BJ1" s="481"/>
      <c r="BK1" s="481"/>
      <c r="BL1" s="481"/>
      <c r="BM1" s="481"/>
      <c r="BN1" s="481"/>
      <c r="BO1" s="481"/>
      <c r="BP1" s="481"/>
      <c r="BQ1" s="481"/>
      <c r="BR1" s="481"/>
      <c r="BS1" s="481"/>
      <c r="BT1" s="481"/>
      <c r="BU1" s="481"/>
      <c r="BV1" s="481"/>
      <c r="BW1" s="481"/>
      <c r="BX1" s="481"/>
      <c r="BY1" s="481"/>
      <c r="BZ1" s="481"/>
      <c r="CA1" s="481"/>
      <c r="CB1" s="481"/>
      <c r="CC1" s="481"/>
    </row>
    <row r="2" spans="1:242" s="22" customFormat="1" ht="58.15" customHeight="1" thickBot="1">
      <c r="A2" s="257" t="s">
        <v>347</v>
      </c>
      <c r="B2" s="17" t="s">
        <v>0</v>
      </c>
      <c r="C2" s="18" t="s">
        <v>1</v>
      </c>
      <c r="D2" s="18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19" t="s">
        <v>12</v>
      </c>
      <c r="O2" s="19" t="s">
        <v>13</v>
      </c>
      <c r="P2" s="19" t="s">
        <v>14</v>
      </c>
      <c r="Q2" s="258" t="s">
        <v>342</v>
      </c>
      <c r="R2" s="258" t="s">
        <v>343</v>
      </c>
      <c r="S2" s="258" t="s">
        <v>344</v>
      </c>
      <c r="T2" s="258" t="s">
        <v>345</v>
      </c>
      <c r="U2" s="258" t="s">
        <v>346</v>
      </c>
      <c r="V2" s="177" t="s">
        <v>286</v>
      </c>
      <c r="W2" s="100" t="s">
        <v>287</v>
      </c>
      <c r="X2" s="208" t="s">
        <v>296</v>
      </c>
      <c r="Y2" s="242" t="s">
        <v>337</v>
      </c>
      <c r="Z2" s="243" t="s">
        <v>338</v>
      </c>
      <c r="AA2" s="286" t="s">
        <v>353</v>
      </c>
      <c r="AB2" s="286" t="s">
        <v>354</v>
      </c>
      <c r="AC2" s="286" t="s">
        <v>355</v>
      </c>
      <c r="AD2" s="286" t="s">
        <v>356</v>
      </c>
      <c r="AE2" s="286" t="s">
        <v>357</v>
      </c>
      <c r="AF2" s="286" t="s">
        <v>358</v>
      </c>
      <c r="AG2" s="286" t="s">
        <v>381</v>
      </c>
      <c r="AH2" s="286" t="s">
        <v>359</v>
      </c>
      <c r="AI2" s="286" t="s">
        <v>360</v>
      </c>
      <c r="AJ2" s="286" t="s">
        <v>362</v>
      </c>
      <c r="AK2" s="243" t="s">
        <v>363</v>
      </c>
      <c r="AL2" s="243" t="s">
        <v>203</v>
      </c>
      <c r="AM2" s="242" t="s">
        <v>251</v>
      </c>
      <c r="AN2" s="110" t="s">
        <v>377</v>
      </c>
      <c r="AO2" s="243" t="s">
        <v>438</v>
      </c>
      <c r="AP2" s="376"/>
      <c r="AQ2" s="379" t="s">
        <v>15</v>
      </c>
      <c r="AR2" s="380" t="s">
        <v>16</v>
      </c>
      <c r="AS2" s="381" t="s">
        <v>17</v>
      </c>
      <c r="AT2" s="380" t="s">
        <v>18</v>
      </c>
      <c r="AU2" s="402" t="s">
        <v>404</v>
      </c>
      <c r="AV2" s="403" t="s">
        <v>396</v>
      </c>
      <c r="AW2" s="403" t="s">
        <v>406</v>
      </c>
      <c r="AX2" s="402" t="s">
        <v>20</v>
      </c>
      <c r="AY2" s="402" t="s">
        <v>394</v>
      </c>
      <c r="AZ2" s="404" t="s">
        <v>21</v>
      </c>
      <c r="BA2" s="405" t="s">
        <v>414</v>
      </c>
      <c r="BB2" s="405" t="s">
        <v>397</v>
      </c>
      <c r="BC2" s="402" t="s">
        <v>23</v>
      </c>
      <c r="BD2" s="405" t="s">
        <v>24</v>
      </c>
      <c r="BE2" s="406" t="s">
        <v>15</v>
      </c>
      <c r="BF2" s="402" t="s">
        <v>16</v>
      </c>
      <c r="BG2" s="406" t="s">
        <v>17</v>
      </c>
      <c r="BH2" s="402" t="s">
        <v>18</v>
      </c>
      <c r="BI2" s="402" t="s">
        <v>405</v>
      </c>
      <c r="BJ2" s="403" t="s">
        <v>396</v>
      </c>
      <c r="BK2" s="403" t="s">
        <v>406</v>
      </c>
      <c r="BL2" s="402" t="s">
        <v>20</v>
      </c>
      <c r="BM2" s="402" t="s">
        <v>395</v>
      </c>
      <c r="BN2" s="404" t="s">
        <v>21</v>
      </c>
      <c r="BO2" s="405" t="s">
        <v>414</v>
      </c>
      <c r="BP2" s="405" t="s">
        <v>397</v>
      </c>
      <c r="BQ2" s="402" t="s">
        <v>23</v>
      </c>
      <c r="BR2" s="405" t="s">
        <v>24</v>
      </c>
      <c r="BS2" s="406" t="s">
        <v>15</v>
      </c>
      <c r="BT2" s="402" t="s">
        <v>16</v>
      </c>
      <c r="BU2" s="406" t="s">
        <v>17</v>
      </c>
      <c r="BV2" s="402" t="s">
        <v>18</v>
      </c>
      <c r="BW2" s="402" t="s">
        <v>404</v>
      </c>
      <c r="BX2" s="403" t="s">
        <v>396</v>
      </c>
      <c r="BY2" s="403" t="s">
        <v>407</v>
      </c>
      <c r="BZ2" s="402" t="s">
        <v>20</v>
      </c>
      <c r="CA2" s="402" t="s">
        <v>395</v>
      </c>
      <c r="CB2" s="404" t="s">
        <v>21</v>
      </c>
      <c r="CC2" s="405" t="s">
        <v>414</v>
      </c>
      <c r="CD2" s="3" t="s">
        <v>397</v>
      </c>
      <c r="CE2" s="1" t="s">
        <v>23</v>
      </c>
      <c r="CF2" s="4" t="s">
        <v>24</v>
      </c>
    </row>
    <row r="3" spans="1:242" s="22" customFormat="1" ht="37.5" customHeight="1" thickBot="1">
      <c r="A3" s="257"/>
      <c r="B3" s="23"/>
      <c r="C3" s="24"/>
      <c r="D3" s="24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59"/>
      <c r="R3" s="260">
        <v>6.8099999999999994E-2</v>
      </c>
      <c r="S3" s="259"/>
      <c r="T3" s="259"/>
      <c r="U3" s="259"/>
      <c r="V3" s="20"/>
      <c r="W3" s="194">
        <v>1.26</v>
      </c>
      <c r="X3" s="194" t="s">
        <v>295</v>
      </c>
      <c r="Y3" s="244"/>
      <c r="Z3" s="306">
        <v>2.7290000000000001</v>
      </c>
      <c r="AA3" s="471" t="s">
        <v>361</v>
      </c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244"/>
      <c r="AM3" s="245"/>
      <c r="AN3" s="20"/>
      <c r="AO3" s="439"/>
      <c r="AP3" s="25"/>
      <c r="AQ3" s="486" t="s">
        <v>374</v>
      </c>
      <c r="AR3" s="486"/>
      <c r="AS3" s="486"/>
      <c r="AT3" s="486"/>
      <c r="AU3" s="486"/>
      <c r="AV3" s="486"/>
      <c r="AW3" s="486"/>
      <c r="AX3" s="486"/>
      <c r="AY3" s="486"/>
      <c r="AZ3" s="486"/>
      <c r="BA3" s="486"/>
      <c r="BB3" s="486"/>
      <c r="BC3" s="486"/>
      <c r="BD3" s="486"/>
      <c r="BE3" s="486" t="s">
        <v>375</v>
      </c>
      <c r="BF3" s="486"/>
      <c r="BG3" s="486"/>
      <c r="BH3" s="486"/>
      <c r="BI3" s="486"/>
      <c r="BJ3" s="486"/>
      <c r="BK3" s="486"/>
      <c r="BL3" s="486"/>
      <c r="BM3" s="486"/>
      <c r="BN3" s="486"/>
      <c r="BO3" s="486"/>
      <c r="BP3" s="486"/>
      <c r="BQ3" s="486"/>
      <c r="BR3" s="486"/>
      <c r="BS3" s="486" t="s">
        <v>376</v>
      </c>
      <c r="BT3" s="486"/>
      <c r="BU3" s="486"/>
      <c r="BV3" s="486"/>
      <c r="BW3" s="486"/>
      <c r="BX3" s="486"/>
      <c r="BY3" s="486"/>
      <c r="BZ3" s="486"/>
      <c r="CA3" s="486"/>
      <c r="CB3" s="486"/>
      <c r="CC3" s="486"/>
      <c r="CD3" s="486"/>
      <c r="CE3" s="486"/>
      <c r="CF3" s="486"/>
    </row>
    <row r="4" spans="1:242" s="22" customFormat="1" ht="49.5" customHeight="1" thickBot="1">
      <c r="A4" s="257"/>
      <c r="B4" s="23" t="s">
        <v>398</v>
      </c>
      <c r="C4" s="24"/>
      <c r="D4" s="24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59"/>
      <c r="R4" s="259"/>
      <c r="S4" s="259"/>
      <c r="T4" s="259"/>
      <c r="U4" s="259"/>
      <c r="V4" s="20"/>
      <c r="W4" s="20"/>
      <c r="X4" s="20"/>
      <c r="Y4" s="245"/>
      <c r="Z4" s="332" t="s">
        <v>329</v>
      </c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44"/>
      <c r="AM4" s="245"/>
      <c r="AN4" s="20"/>
      <c r="AO4" s="440"/>
      <c r="AP4" s="187"/>
      <c r="AQ4" s="188"/>
      <c r="AR4" s="189"/>
      <c r="AS4" s="190"/>
      <c r="AT4" s="189"/>
      <c r="AU4" s="407"/>
      <c r="AV4" s="189"/>
      <c r="AW4" s="408"/>
      <c r="AX4" s="189"/>
      <c r="AY4" s="189"/>
      <c r="AZ4" s="409"/>
      <c r="BA4" s="192"/>
      <c r="BB4" s="191"/>
      <c r="BC4" s="189"/>
      <c r="BD4" s="192"/>
      <c r="BE4" s="190"/>
      <c r="BF4" s="189"/>
      <c r="BG4" s="190"/>
      <c r="BH4" s="189"/>
      <c r="BI4" s="407"/>
      <c r="BJ4" s="293"/>
      <c r="BK4" s="410"/>
      <c r="BL4" s="189"/>
      <c r="BM4" s="189"/>
      <c r="BN4" s="409"/>
      <c r="BO4" s="192"/>
      <c r="BP4" s="191"/>
      <c r="BQ4" s="189"/>
      <c r="BR4" s="192"/>
      <c r="BS4" s="188"/>
      <c r="BT4" s="189"/>
      <c r="BU4" s="190"/>
      <c r="BV4" s="189"/>
      <c r="BW4" s="407"/>
      <c r="BX4" s="293"/>
      <c r="BY4" s="293"/>
      <c r="BZ4" s="189"/>
      <c r="CA4" s="189"/>
      <c r="CB4" s="409"/>
      <c r="CC4" s="192"/>
      <c r="CD4" s="191"/>
      <c r="CE4" s="189"/>
      <c r="CF4" s="192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</row>
    <row r="5" spans="1:242" s="30" customFormat="1" ht="15" customHeight="1">
      <c r="A5" s="324" t="str">
        <f t="shared" ref="A5:A36" si="0">CONCATENATE($B$4,"; ",B5,"; ",C5,"; ",D5)</f>
        <v>BNI - Efficient Product Rebates; Under Counter Commercial Dishwasher (Low Temp); COM-Other; Retail</v>
      </c>
      <c r="B5" s="36" t="s">
        <v>26</v>
      </c>
      <c r="C5" s="15" t="s">
        <v>27</v>
      </c>
      <c r="D5" s="15" t="s">
        <v>28</v>
      </c>
      <c r="E5" s="37">
        <v>20</v>
      </c>
      <c r="F5" s="38">
        <v>12739.152557286432</v>
      </c>
      <c r="G5" s="26">
        <v>1454.242549575903</v>
      </c>
      <c r="H5" s="27">
        <v>400</v>
      </c>
      <c r="I5" s="28">
        <v>0.5</v>
      </c>
      <c r="J5" s="27">
        <v>407.65288183316585</v>
      </c>
      <c r="K5" s="27">
        <v>607.65288183316579</v>
      </c>
      <c r="L5" s="27">
        <v>200</v>
      </c>
      <c r="M5" s="27">
        <v>807.65288183316579</v>
      </c>
      <c r="N5" s="27">
        <v>14595.547787967404</v>
      </c>
      <c r="O5" s="29">
        <v>0.82</v>
      </c>
      <c r="P5" s="29">
        <v>16.269016925903237</v>
      </c>
      <c r="Q5" s="261">
        <f t="shared" ref="Q5:Q36" si="1">N5*O5/(O5*H5+J5)</f>
        <v>16.269016925903237</v>
      </c>
      <c r="R5" s="262">
        <f>Y5</f>
        <v>0</v>
      </c>
      <c r="S5" s="262">
        <f t="shared" ref="S5:S36" si="2">-PV(RDR,E5,Z5)</f>
        <v>1408.1007461051511</v>
      </c>
      <c r="T5" s="261">
        <f t="shared" ref="T5:T36" si="3">(N5+SUM(R5:S5))*O5/(O5*H5+J5)</f>
        <v>17.838565065141111</v>
      </c>
      <c r="U5" s="266">
        <f t="shared" ref="U5:U26" si="4">(T5-Q5)/Q5</f>
        <v>9.6474676151997077E-2</v>
      </c>
      <c r="V5" s="42" t="s">
        <v>29</v>
      </c>
      <c r="W5" s="198" t="s">
        <v>29</v>
      </c>
      <c r="X5" s="209">
        <f>12677/264.172</f>
        <v>47.987674696788453</v>
      </c>
      <c r="Y5" s="333">
        <v>0</v>
      </c>
      <c r="Z5" s="334">
        <f>(X5*Z3)</f>
        <v>130.95836424753568</v>
      </c>
      <c r="AA5" s="308">
        <f t="shared" ref="AA5:AA17" si="5">Z5*0.01</f>
        <v>1.3095836424753569</v>
      </c>
      <c r="AB5" s="308">
        <f t="shared" ref="AB5:AB17" si="6">Z5*0</f>
        <v>0</v>
      </c>
      <c r="AC5" s="308">
        <f t="shared" ref="AC5:AC17" si="7">AA5*0</f>
        <v>0</v>
      </c>
      <c r="AD5" s="308">
        <f t="shared" ref="AD5:AD17" si="8">AB5*0</f>
        <v>0</v>
      </c>
      <c r="AE5" s="308">
        <f t="shared" ref="AE5:AE17" si="9">AC5*0</f>
        <v>0</v>
      </c>
      <c r="AF5" s="308">
        <f t="shared" ref="AF5:AF17" si="10">Z5*0.99</f>
        <v>129.64878060506032</v>
      </c>
      <c r="AG5" s="308" t="s">
        <v>38</v>
      </c>
      <c r="AH5" s="308">
        <f t="shared" ref="AH5:AH17" si="11">AE5*0</f>
        <v>0</v>
      </c>
      <c r="AI5" s="308">
        <f t="shared" ref="AI5:AI17" si="12">AF5*0</f>
        <v>0</v>
      </c>
      <c r="AJ5" s="308">
        <f t="shared" ref="AJ5:AJ17" si="13">AH5*0</f>
        <v>0</v>
      </c>
      <c r="AK5" s="308">
        <f t="shared" ref="AK5:AK36" si="14">SUM(AA5:AJ5)</f>
        <v>130.95836424753568</v>
      </c>
      <c r="AL5" s="246" t="s">
        <v>437</v>
      </c>
      <c r="AM5" s="234" t="s">
        <v>408</v>
      </c>
      <c r="AN5" s="102" t="s">
        <v>29</v>
      </c>
      <c r="AO5" s="246" t="s">
        <v>436</v>
      </c>
      <c r="AP5" s="48" t="s">
        <v>26</v>
      </c>
      <c r="AQ5" s="78">
        <v>14.696206424989533</v>
      </c>
      <c r="AR5" s="79">
        <v>128.73864522524966</v>
      </c>
      <c r="AS5" s="80">
        <v>14.696206424989533</v>
      </c>
      <c r="AT5" s="79">
        <v>128.73864522524966</v>
      </c>
      <c r="AU5" s="392">
        <v>147498.90466368367</v>
      </c>
      <c r="AV5" s="294">
        <f t="shared" ref="AV5:AV36" si="15">SUM(R5:S5)*O5*AY5</f>
        <v>14229.909060203157</v>
      </c>
      <c r="AW5" s="295">
        <f>AU5+AV5</f>
        <v>161728.81372388682</v>
      </c>
      <c r="AX5" s="81">
        <v>9066.2456948359631</v>
      </c>
      <c r="AY5" s="82">
        <v>12.324080988093025</v>
      </c>
      <c r="AZ5" s="81">
        <v>138432.65896884771</v>
      </c>
      <c r="BA5" s="83">
        <v>16.269016925903241</v>
      </c>
      <c r="BB5" s="82">
        <f>SUM(AU5:AV5)/AX5</f>
        <v>17.838565065141111</v>
      </c>
      <c r="BC5" s="81">
        <v>7488.7633283600553</v>
      </c>
      <c r="BD5" s="83">
        <v>19.69602966421748</v>
      </c>
      <c r="BE5" s="80">
        <v>11.315623788678918</v>
      </c>
      <c r="BF5" s="79">
        <v>99.124769638241389</v>
      </c>
      <c r="BG5" s="80">
        <v>26.01183021366845</v>
      </c>
      <c r="BH5" s="79">
        <v>227.86341486349104</v>
      </c>
      <c r="BI5" s="392">
        <v>119850.41975627124</v>
      </c>
      <c r="BJ5" s="294">
        <f t="shared" ref="BJ5:BJ36" si="16">SUM(R5:S5)*O5*BM5</f>
        <v>10956.589259563774</v>
      </c>
      <c r="BK5" s="295">
        <f>BI5+BJ5</f>
        <v>130807.00901583501</v>
      </c>
      <c r="BL5" s="81">
        <v>6980.7283928761699</v>
      </c>
      <c r="BM5" s="82">
        <v>9.4891606697454431</v>
      </c>
      <c r="BN5" s="81">
        <v>112869.69136339506</v>
      </c>
      <c r="BO5" s="83">
        <v>17.168755609884283</v>
      </c>
      <c r="BP5" s="82">
        <f>SUM(BI5:BJ5)/BL5</f>
        <v>18.738303749122153</v>
      </c>
      <c r="BQ5" s="81">
        <v>5766.1158271487529</v>
      </c>
      <c r="BR5" s="83">
        <v>20.785295222821642</v>
      </c>
      <c r="BS5" s="78">
        <v>11.308915436376983</v>
      </c>
      <c r="BT5" s="79">
        <v>99.066004528248371</v>
      </c>
      <c r="BU5" s="80">
        <v>37.320745650045438</v>
      </c>
      <c r="BV5" s="79">
        <v>326.92941939173943</v>
      </c>
      <c r="BW5" s="392">
        <v>126797.73178761809</v>
      </c>
      <c r="BX5" s="294">
        <f t="shared" ref="BX5:BX36" si="17">SUM(R5:S5)*O5*CA5</f>
        <v>10950.093757225295</v>
      </c>
      <c r="BY5" s="294">
        <f>BW5+BX5</f>
        <v>137747.82554484339</v>
      </c>
      <c r="BZ5" s="81">
        <v>6976.5899391543007</v>
      </c>
      <c r="CA5" s="82">
        <v>9.4835351174991782</v>
      </c>
      <c r="CB5" s="81">
        <v>119821.14184846378</v>
      </c>
      <c r="CC5" s="83">
        <v>18.174743376559761</v>
      </c>
      <c r="CD5" s="82">
        <f>SUM(BW5:BX5)/BZ5</f>
        <v>19.744291515797634</v>
      </c>
      <c r="CE5" s="81">
        <v>5762.6974441144066</v>
      </c>
      <c r="CF5" s="83">
        <v>22.003190869775736</v>
      </c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</row>
    <row r="6" spans="1:242" s="30" customFormat="1" ht="15" customHeight="1">
      <c r="A6" s="324" t="str">
        <f t="shared" si="0"/>
        <v>BNI - Efficient Product Rebates; Single-Tank Door Type Dishwasher (Low Temp); COM-Other; Retail</v>
      </c>
      <c r="B6" s="36" t="s">
        <v>30</v>
      </c>
      <c r="C6" s="15" t="s">
        <v>27</v>
      </c>
      <c r="D6" s="15" t="s">
        <v>28</v>
      </c>
      <c r="E6" s="37">
        <v>20</v>
      </c>
      <c r="F6" s="38">
        <v>15826.561362675877</v>
      </c>
      <c r="G6" s="26">
        <v>1806.6868140230367</v>
      </c>
      <c r="H6" s="27">
        <v>1500</v>
      </c>
      <c r="I6" s="28">
        <v>0.66666666666666663</v>
      </c>
      <c r="J6" s="27">
        <v>506.44996360562806</v>
      </c>
      <c r="K6" s="27">
        <v>1506.449963605628</v>
      </c>
      <c r="L6" s="27">
        <v>500</v>
      </c>
      <c r="M6" s="27">
        <v>2006.449963605628</v>
      </c>
      <c r="N6" s="27">
        <v>18132.864933469249</v>
      </c>
      <c r="O6" s="29">
        <v>0.82</v>
      </c>
      <c r="P6" s="29">
        <v>8.5628434778335656</v>
      </c>
      <c r="Q6" s="261">
        <f t="shared" si="1"/>
        <v>8.5628434778335656</v>
      </c>
      <c r="R6" s="262">
        <f t="shared" ref="R6:R69" si="18">Y6</f>
        <v>0</v>
      </c>
      <c r="S6" s="262">
        <f t="shared" si="2"/>
        <v>8955.8850719974926</v>
      </c>
      <c r="T6" s="261">
        <f t="shared" si="3"/>
        <v>12.792061660307972</v>
      </c>
      <c r="U6" s="266">
        <f t="shared" si="4"/>
        <v>0.49390347884116831</v>
      </c>
      <c r="V6" s="42" t="s">
        <v>29</v>
      </c>
      <c r="W6" s="198" t="s">
        <v>29</v>
      </c>
      <c r="X6" s="209">
        <f>80629/264.172</f>
        <v>305.2140272246869</v>
      </c>
      <c r="Y6" s="333">
        <v>0</v>
      </c>
      <c r="Z6" s="334">
        <f>(X6*Z3)</f>
        <v>832.92908029617058</v>
      </c>
      <c r="AA6" s="308">
        <f t="shared" si="5"/>
        <v>8.3292908029617063</v>
      </c>
      <c r="AB6" s="308">
        <f t="shared" si="6"/>
        <v>0</v>
      </c>
      <c r="AC6" s="308">
        <f t="shared" si="7"/>
        <v>0</v>
      </c>
      <c r="AD6" s="308">
        <f t="shared" si="8"/>
        <v>0</v>
      </c>
      <c r="AE6" s="308">
        <f t="shared" si="9"/>
        <v>0</v>
      </c>
      <c r="AF6" s="308">
        <f t="shared" si="10"/>
        <v>824.59978949320885</v>
      </c>
      <c r="AG6" s="308" t="s">
        <v>38</v>
      </c>
      <c r="AH6" s="308">
        <f t="shared" si="11"/>
        <v>0</v>
      </c>
      <c r="AI6" s="308">
        <f t="shared" si="12"/>
        <v>0</v>
      </c>
      <c r="AJ6" s="308">
        <f t="shared" si="13"/>
        <v>0</v>
      </c>
      <c r="AK6" s="308">
        <f t="shared" si="14"/>
        <v>832.92908029617058</v>
      </c>
      <c r="AL6" s="246" t="s">
        <v>437</v>
      </c>
      <c r="AM6" s="234" t="s">
        <v>408</v>
      </c>
      <c r="AN6" s="102" t="s">
        <v>29</v>
      </c>
      <c r="AO6" s="246" t="s">
        <v>436</v>
      </c>
      <c r="AP6" s="48" t="s">
        <v>30</v>
      </c>
      <c r="AQ6" s="44">
        <v>12.67445493850501</v>
      </c>
      <c r="AR6" s="45">
        <v>111.02811913264017</v>
      </c>
      <c r="AS6" s="46">
        <v>12.67445493850501</v>
      </c>
      <c r="AT6" s="45">
        <v>111.02811913264017</v>
      </c>
      <c r="AU6" s="393">
        <v>127207.536868824</v>
      </c>
      <c r="AV6" s="295">
        <f t="shared" si="15"/>
        <v>62828.244994328357</v>
      </c>
      <c r="AW6" s="295">
        <f t="shared" ref="AW6:AW69" si="19">AU6+AV6</f>
        <v>190035.78186315234</v>
      </c>
      <c r="AX6" s="39">
        <v>14855.758743940984</v>
      </c>
      <c r="AY6" s="41">
        <v>8.5552472315954002</v>
      </c>
      <c r="AZ6" s="39">
        <v>112351.77812488301</v>
      </c>
      <c r="BA6" s="47">
        <v>8.5628434778335638</v>
      </c>
      <c r="BB6" s="41">
        <f t="shared" ref="BB6:BB69" si="20">SUM(AU6:AV6)/AX6</f>
        <v>12.79206166030797</v>
      </c>
      <c r="BC6" s="39">
        <v>12888.05188067404</v>
      </c>
      <c r="BD6" s="47">
        <v>9.870191247412258</v>
      </c>
      <c r="BE6" s="46">
        <v>10.148945922784838</v>
      </c>
      <c r="BF6" s="45">
        <v>88.904681302104919</v>
      </c>
      <c r="BG6" s="46">
        <v>22.823400861289848</v>
      </c>
      <c r="BH6" s="45">
        <v>199.9328004347451</v>
      </c>
      <c r="BI6" s="393">
        <v>107493.44902632789</v>
      </c>
      <c r="BJ6" s="295">
        <f t="shared" si="16"/>
        <v>50309.103149971619</v>
      </c>
      <c r="BK6" s="295">
        <f t="shared" ref="BK6:BK69" si="21">BI6+BJ6</f>
        <v>157802.5521762995</v>
      </c>
      <c r="BL6" s="39">
        <v>11895.603626800133</v>
      </c>
      <c r="BM6" s="41">
        <v>6.8505306090707432</v>
      </c>
      <c r="BN6" s="39">
        <v>95597.845399527752</v>
      </c>
      <c r="BO6" s="47">
        <v>9.0364013797627827</v>
      </c>
      <c r="BP6" s="41">
        <f t="shared" ref="BP6:BP69" si="22">SUM(BI6:BJ6)/BL6</f>
        <v>13.265619562237189</v>
      </c>
      <c r="BQ6" s="39">
        <v>10319.981586713862</v>
      </c>
      <c r="BR6" s="47">
        <v>10.416050467058678</v>
      </c>
      <c r="BS6" s="44">
        <v>10.448812417488776</v>
      </c>
      <c r="BT6" s="45">
        <v>91.531509284800265</v>
      </c>
      <c r="BU6" s="46">
        <v>33.272213278778629</v>
      </c>
      <c r="BV6" s="45">
        <v>291.46430971954538</v>
      </c>
      <c r="BW6" s="393">
        <v>117154.09155418766</v>
      </c>
      <c r="BX6" s="295">
        <f t="shared" si="17"/>
        <v>51795.564357673211</v>
      </c>
      <c r="BY6" s="295">
        <f t="shared" ref="BY6:BY69" si="23">BW6+BX6</f>
        <v>168949.65591186087</v>
      </c>
      <c r="BZ6" s="39">
        <v>12247.077857631115</v>
      </c>
      <c r="CA6" s="41">
        <v>7.0529402599086906</v>
      </c>
      <c r="CB6" s="39">
        <v>104907.01369655655</v>
      </c>
      <c r="CC6" s="47">
        <v>9.5658811772139849</v>
      </c>
      <c r="CD6" s="41">
        <f t="shared" ref="CD6:CD69" si="24">SUM(BW6:BX6)/BZ6</f>
        <v>13.795099359688392</v>
      </c>
      <c r="CE6" s="39">
        <v>10624.901597852117</v>
      </c>
      <c r="CF6" s="47">
        <v>11.026369559777477</v>
      </c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</row>
    <row r="7" spans="1:242" s="30" customFormat="1" ht="15" customHeight="1">
      <c r="A7" s="324" t="str">
        <f t="shared" si="0"/>
        <v>BNI - Efficient Product Rebates; Single-Tank Conveyor Dishwasher (Low Temp); COM-Other; Retail</v>
      </c>
      <c r="B7" s="36" t="s">
        <v>31</v>
      </c>
      <c r="C7" s="15" t="s">
        <v>27</v>
      </c>
      <c r="D7" s="15" t="s">
        <v>28</v>
      </c>
      <c r="E7" s="37">
        <v>20</v>
      </c>
      <c r="F7" s="38">
        <v>21524.186570118432</v>
      </c>
      <c r="G7" s="26">
        <v>2457.1012722014179</v>
      </c>
      <c r="H7" s="27">
        <v>1500</v>
      </c>
      <c r="I7" s="28">
        <v>0.53333333333333333</v>
      </c>
      <c r="J7" s="27">
        <v>688.7739702437899</v>
      </c>
      <c r="K7" s="27">
        <v>1488.7739702437898</v>
      </c>
      <c r="L7" s="27">
        <v>700</v>
      </c>
      <c r="M7" s="27">
        <v>2188.7739702437898</v>
      </c>
      <c r="N7" s="27">
        <v>24660.768624016579</v>
      </c>
      <c r="O7" s="29">
        <v>0.82</v>
      </c>
      <c r="P7" s="29">
        <v>10.538932977668187</v>
      </c>
      <c r="Q7" s="261">
        <f t="shared" si="1"/>
        <v>10.538932977668187</v>
      </c>
      <c r="R7" s="262">
        <f t="shared" si="18"/>
        <v>0</v>
      </c>
      <c r="S7" s="262">
        <f t="shared" si="2"/>
        <v>7231.4420584073332</v>
      </c>
      <c r="T7" s="261">
        <f t="shared" si="3"/>
        <v>13.629334754976332</v>
      </c>
      <c r="U7" s="266">
        <f t="shared" si="4"/>
        <v>0.29323668571160399</v>
      </c>
      <c r="V7" s="42" t="s">
        <v>29</v>
      </c>
      <c r="W7" s="198" t="s">
        <v>29</v>
      </c>
      <c r="X7" s="209">
        <f>65104/264.172</f>
        <v>246.44549763033174</v>
      </c>
      <c r="Y7" s="333">
        <v>0</v>
      </c>
      <c r="Z7" s="334">
        <f>(X7*Z3)</f>
        <v>672.5497630331754</v>
      </c>
      <c r="AA7" s="308">
        <f t="shared" si="5"/>
        <v>6.7254976303317537</v>
      </c>
      <c r="AB7" s="308">
        <f t="shared" si="6"/>
        <v>0</v>
      </c>
      <c r="AC7" s="308">
        <f t="shared" si="7"/>
        <v>0</v>
      </c>
      <c r="AD7" s="308">
        <f t="shared" si="8"/>
        <v>0</v>
      </c>
      <c r="AE7" s="308">
        <f t="shared" si="9"/>
        <v>0</v>
      </c>
      <c r="AF7" s="308">
        <f t="shared" si="10"/>
        <v>665.82426540284359</v>
      </c>
      <c r="AG7" s="308" t="s">
        <v>38</v>
      </c>
      <c r="AH7" s="308">
        <f t="shared" si="11"/>
        <v>0</v>
      </c>
      <c r="AI7" s="308">
        <f t="shared" si="12"/>
        <v>0</v>
      </c>
      <c r="AJ7" s="308">
        <f t="shared" si="13"/>
        <v>0</v>
      </c>
      <c r="AK7" s="308">
        <f t="shared" si="14"/>
        <v>672.5497630331754</v>
      </c>
      <c r="AL7" s="246" t="s">
        <v>437</v>
      </c>
      <c r="AM7" s="234" t="s">
        <v>408</v>
      </c>
      <c r="AN7" s="102" t="s">
        <v>29</v>
      </c>
      <c r="AO7" s="246" t="s">
        <v>436</v>
      </c>
      <c r="AP7" s="48" t="s">
        <v>31</v>
      </c>
      <c r="AQ7" s="44">
        <v>12.980191488215187</v>
      </c>
      <c r="AR7" s="45">
        <v>113.70636874803766</v>
      </c>
      <c r="AS7" s="46">
        <v>12.980191488215187</v>
      </c>
      <c r="AT7" s="45">
        <v>113.70636874803766</v>
      </c>
      <c r="AU7" s="393">
        <v>130276.07067229753</v>
      </c>
      <c r="AV7" s="295">
        <f t="shared" si="15"/>
        <v>38201.723191475219</v>
      </c>
      <c r="AW7" s="295">
        <f t="shared" si="19"/>
        <v>168477.79386377276</v>
      </c>
      <c r="AX7" s="39">
        <v>12361.409921512</v>
      </c>
      <c r="AY7" s="41">
        <v>6.4423481416841515</v>
      </c>
      <c r="AZ7" s="39">
        <v>117914.66075078552</v>
      </c>
      <c r="BA7" s="47">
        <v>10.538932977668187</v>
      </c>
      <c r="BB7" s="41">
        <f t="shared" si="20"/>
        <v>13.629334754976332</v>
      </c>
      <c r="BC7" s="39">
        <v>9591.2002205878161</v>
      </c>
      <c r="BD7" s="47">
        <v>13.582874684719416</v>
      </c>
      <c r="BE7" s="46">
        <v>10.499591834078776</v>
      </c>
      <c r="BF7" s="45">
        <v>91.97633654893076</v>
      </c>
      <c r="BG7" s="46">
        <v>23.479783322293965</v>
      </c>
      <c r="BH7" s="45">
        <v>205.68270529696844</v>
      </c>
      <c r="BI7" s="393">
        <v>111207.34588603476</v>
      </c>
      <c r="BJ7" s="295">
        <f t="shared" si="16"/>
        <v>30901.123549149102</v>
      </c>
      <c r="BK7" s="295">
        <f t="shared" si="21"/>
        <v>142108.46943518386</v>
      </c>
      <c r="BL7" s="39">
        <v>9999.0634797217645</v>
      </c>
      <c r="BM7" s="41">
        <v>5.2111731943347834</v>
      </c>
      <c r="BN7" s="39">
        <v>101208.282406313</v>
      </c>
      <c r="BO7" s="47">
        <v>11.121776165494374</v>
      </c>
      <c r="BP7" s="41">
        <f t="shared" si="22"/>
        <v>14.212177942802517</v>
      </c>
      <c r="BQ7" s="39">
        <v>7758.2590061578076</v>
      </c>
      <c r="BR7" s="47">
        <v>14.334059458155288</v>
      </c>
      <c r="BS7" s="44">
        <v>10.84017907787943</v>
      </c>
      <c r="BT7" s="45">
        <v>94.959877952740982</v>
      </c>
      <c r="BU7" s="46">
        <v>34.319962400173395</v>
      </c>
      <c r="BV7" s="45">
        <v>300.64258324970945</v>
      </c>
      <c r="BW7" s="393">
        <v>121542.16971376121</v>
      </c>
      <c r="BX7" s="295">
        <f t="shared" si="17"/>
        <v>31903.498562031837</v>
      </c>
      <c r="BY7" s="295">
        <f t="shared" si="23"/>
        <v>153445.66827579305</v>
      </c>
      <c r="BZ7" s="39">
        <v>10323.414514025091</v>
      </c>
      <c r="CA7" s="41">
        <v>5.3802139668975446</v>
      </c>
      <c r="CB7" s="39">
        <v>111218.75519973612</v>
      </c>
      <c r="CC7" s="47">
        <v>11.773446619685526</v>
      </c>
      <c r="CD7" s="41">
        <f t="shared" si="24"/>
        <v>14.863848396993671</v>
      </c>
      <c r="CE7" s="39">
        <v>8009.9225082591474</v>
      </c>
      <c r="CF7" s="47">
        <v>15.173950757755435</v>
      </c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</row>
    <row r="8" spans="1:242" s="30" customFormat="1" ht="15" customHeight="1">
      <c r="A8" s="324" t="str">
        <f t="shared" si="0"/>
        <v>BNI - Efficient Product Rebates; Multi-Tank Conveyor Commercial Dish Washer (Low Temp); COM-Other; Retail</v>
      </c>
      <c r="B8" s="36" t="s">
        <v>32</v>
      </c>
      <c r="C8" s="15" t="s">
        <v>27</v>
      </c>
      <c r="D8" s="15" t="s">
        <v>28</v>
      </c>
      <c r="E8" s="37">
        <v>20</v>
      </c>
      <c r="F8" s="38">
        <v>19543.018127655312</v>
      </c>
      <c r="G8" s="26">
        <v>2230.9402749175774</v>
      </c>
      <c r="H8" s="27">
        <v>5000</v>
      </c>
      <c r="I8" s="28">
        <v>0.22</v>
      </c>
      <c r="J8" s="27">
        <v>625.37658008496999</v>
      </c>
      <c r="K8" s="27">
        <v>1725.3765800849701</v>
      </c>
      <c r="L8" s="27">
        <v>3900</v>
      </c>
      <c r="M8" s="27">
        <v>5625.3765800849706</v>
      </c>
      <c r="N8" s="27">
        <v>22390.897174722711</v>
      </c>
      <c r="O8" s="29">
        <v>0.82</v>
      </c>
      <c r="P8" s="29">
        <v>3.885517984038104</v>
      </c>
      <c r="Q8" s="261">
        <f t="shared" si="1"/>
        <v>3.885517984038104</v>
      </c>
      <c r="R8" s="262">
        <f t="shared" si="18"/>
        <v>0</v>
      </c>
      <c r="S8" s="262">
        <f t="shared" si="2"/>
        <v>10429.964507318267</v>
      </c>
      <c r="T8" s="261">
        <f t="shared" si="3"/>
        <v>5.6954416485446879</v>
      </c>
      <c r="U8" s="266">
        <f t="shared" si="4"/>
        <v>0.46581271067122532</v>
      </c>
      <c r="V8" s="42" t="s">
        <v>29</v>
      </c>
      <c r="W8" s="198" t="s">
        <v>29</v>
      </c>
      <c r="X8" s="209">
        <f>93900/264.172</f>
        <v>355.4502369668246</v>
      </c>
      <c r="Y8" s="333">
        <v>0</v>
      </c>
      <c r="Z8" s="334">
        <f>(X8*Z3)</f>
        <v>970.02369668246433</v>
      </c>
      <c r="AA8" s="308">
        <f t="shared" si="5"/>
        <v>9.7002369668246438</v>
      </c>
      <c r="AB8" s="308">
        <f t="shared" si="6"/>
        <v>0</v>
      </c>
      <c r="AC8" s="308">
        <f t="shared" si="7"/>
        <v>0</v>
      </c>
      <c r="AD8" s="308">
        <f t="shared" si="8"/>
        <v>0</v>
      </c>
      <c r="AE8" s="308">
        <f t="shared" si="9"/>
        <v>0</v>
      </c>
      <c r="AF8" s="308">
        <f t="shared" si="10"/>
        <v>960.32345971563973</v>
      </c>
      <c r="AG8" s="308" t="s">
        <v>38</v>
      </c>
      <c r="AH8" s="308">
        <f t="shared" si="11"/>
        <v>0</v>
      </c>
      <c r="AI8" s="308">
        <f t="shared" si="12"/>
        <v>0</v>
      </c>
      <c r="AJ8" s="308">
        <f t="shared" si="13"/>
        <v>0</v>
      </c>
      <c r="AK8" s="308">
        <f t="shared" si="14"/>
        <v>970.02369668246433</v>
      </c>
      <c r="AL8" s="246" t="s">
        <v>437</v>
      </c>
      <c r="AM8" s="234" t="s">
        <v>408</v>
      </c>
      <c r="AN8" s="102" t="s">
        <v>29</v>
      </c>
      <c r="AO8" s="246" t="s">
        <v>436</v>
      </c>
      <c r="AP8" s="48" t="s">
        <v>32</v>
      </c>
      <c r="AQ8" s="44">
        <v>12.810059841136082</v>
      </c>
      <c r="AR8" s="45">
        <v>112.21601694421018</v>
      </c>
      <c r="AS8" s="46">
        <v>12.810059841136082</v>
      </c>
      <c r="AT8" s="45">
        <v>112.21601694421018</v>
      </c>
      <c r="AU8" s="393">
        <v>128568.53943143759</v>
      </c>
      <c r="AV8" s="295">
        <f t="shared" si="15"/>
        <v>59888.859859598262</v>
      </c>
      <c r="AW8" s="295">
        <f t="shared" si="19"/>
        <v>188457.39929103584</v>
      </c>
      <c r="AX8" s="39">
        <v>33089.163390725094</v>
      </c>
      <c r="AY8" s="41">
        <v>7.0024394521653335</v>
      </c>
      <c r="AZ8" s="39">
        <v>95479.376040712494</v>
      </c>
      <c r="BA8" s="47">
        <v>3.8855179840381036</v>
      </c>
      <c r="BB8" s="41">
        <f t="shared" si="20"/>
        <v>5.695441648544687</v>
      </c>
      <c r="BC8" s="39">
        <v>12081.845034229093</v>
      </c>
      <c r="BD8" s="47">
        <v>10.641465692300295</v>
      </c>
      <c r="BE8" s="46">
        <v>10.838435159411414</v>
      </c>
      <c r="BF8" s="45">
        <v>94.944601241563731</v>
      </c>
      <c r="BG8" s="46">
        <v>23.648495000547495</v>
      </c>
      <c r="BH8" s="45">
        <v>207.1606181857739</v>
      </c>
      <c r="BI8" s="393">
        <v>114796.23462351269</v>
      </c>
      <c r="BJ8" s="295">
        <f t="shared" si="16"/>
        <v>50671.232797439137</v>
      </c>
      <c r="BK8" s="295">
        <f t="shared" si="21"/>
        <v>165467.46742095181</v>
      </c>
      <c r="BL8" s="39">
        <v>27996.336967754374</v>
      </c>
      <c r="BM8" s="41">
        <v>5.9246784871589968</v>
      </c>
      <c r="BN8" s="39">
        <v>86799.897655758308</v>
      </c>
      <c r="BO8" s="47">
        <v>4.1004019474309343</v>
      </c>
      <c r="BP8" s="41">
        <f t="shared" si="22"/>
        <v>5.9103256119375178</v>
      </c>
      <c r="BQ8" s="39">
        <v>10222.301506277383</v>
      </c>
      <c r="BR8" s="47">
        <v>11.22997933029248</v>
      </c>
      <c r="BS8" s="44">
        <v>11.860831463054724</v>
      </c>
      <c r="BT8" s="45">
        <v>103.90078430051506</v>
      </c>
      <c r="BU8" s="46">
        <v>35.509326463602221</v>
      </c>
      <c r="BV8" s="45">
        <v>311.06140248628896</v>
      </c>
      <c r="BW8" s="393">
        <v>132985.92027604414</v>
      </c>
      <c r="BX8" s="295">
        <f t="shared" si="17"/>
        <v>55451.081581067869</v>
      </c>
      <c r="BY8" s="295">
        <f t="shared" si="23"/>
        <v>188437.00185711202</v>
      </c>
      <c r="BZ8" s="39">
        <v>30637.248779320635</v>
      </c>
      <c r="CA8" s="41">
        <v>6.4835570795438544</v>
      </c>
      <c r="CB8" s="39">
        <v>102348.6714967235</v>
      </c>
      <c r="CC8" s="47">
        <v>4.3406613052607472</v>
      </c>
      <c r="CD8" s="41">
        <f t="shared" si="24"/>
        <v>6.1505849697673316</v>
      </c>
      <c r="CE8" s="39">
        <v>11186.577540689072</v>
      </c>
      <c r="CF8" s="47">
        <v>11.887989851438732</v>
      </c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3"/>
      <c r="GM8" s="193"/>
      <c r="GN8" s="193"/>
      <c r="GO8" s="193"/>
      <c r="GP8" s="193"/>
      <c r="GQ8" s="193"/>
      <c r="GR8" s="193"/>
      <c r="GS8" s="193"/>
      <c r="GT8" s="193"/>
      <c r="GU8" s="193"/>
      <c r="GV8" s="193"/>
      <c r="GW8" s="193"/>
      <c r="GX8" s="193"/>
      <c r="GY8" s="193"/>
      <c r="GZ8" s="193"/>
      <c r="HA8" s="193"/>
      <c r="HB8" s="193"/>
      <c r="HC8" s="193"/>
      <c r="HD8" s="193"/>
      <c r="HE8" s="193"/>
      <c r="HF8" s="193"/>
      <c r="HG8" s="193"/>
      <c r="HH8" s="193"/>
      <c r="HI8" s="193"/>
      <c r="HJ8" s="193"/>
      <c r="HK8" s="193"/>
      <c r="HL8" s="193"/>
      <c r="HM8" s="193"/>
      <c r="HN8" s="193"/>
      <c r="HO8" s="193"/>
      <c r="HP8" s="193"/>
      <c r="HQ8" s="193"/>
      <c r="HR8" s="193"/>
      <c r="HS8" s="193"/>
      <c r="HT8" s="193"/>
      <c r="HU8" s="193"/>
      <c r="HV8" s="193"/>
      <c r="HW8" s="193"/>
      <c r="HX8" s="193"/>
      <c r="HY8" s="193"/>
      <c r="HZ8" s="193"/>
      <c r="IA8" s="193"/>
      <c r="IB8" s="193"/>
      <c r="IC8" s="193"/>
      <c r="ID8" s="193"/>
      <c r="IE8" s="193"/>
      <c r="IF8" s="193"/>
      <c r="IG8" s="193"/>
      <c r="IH8" s="193"/>
    </row>
    <row r="9" spans="1:242" s="35" customFormat="1" ht="15" customHeight="1">
      <c r="A9" s="324" t="str">
        <f t="shared" si="0"/>
        <v>BNI - Efficient Product Rebates; Under Counter Dishwasher with Booster (High Temp); COM-Other; Retail</v>
      </c>
      <c r="B9" s="36" t="s">
        <v>33</v>
      </c>
      <c r="C9" s="15" t="s">
        <v>27</v>
      </c>
      <c r="D9" s="15" t="s">
        <v>28</v>
      </c>
      <c r="E9" s="37">
        <v>10</v>
      </c>
      <c r="F9" s="38">
        <v>8360.0688657192168</v>
      </c>
      <c r="G9" s="31">
        <v>954.34667315918591</v>
      </c>
      <c r="H9" s="32">
        <v>400</v>
      </c>
      <c r="I9" s="33">
        <v>0.625</v>
      </c>
      <c r="J9" s="32">
        <v>267.52220370301495</v>
      </c>
      <c r="K9" s="32">
        <v>517.52220370301495</v>
      </c>
      <c r="L9" s="32">
        <v>150</v>
      </c>
      <c r="M9" s="32">
        <v>667.52220370301495</v>
      </c>
      <c r="N9" s="32">
        <v>5314.777860340364</v>
      </c>
      <c r="O9" s="34">
        <v>0.82</v>
      </c>
      <c r="P9" s="34">
        <v>7.3181450135358475</v>
      </c>
      <c r="Q9" s="261">
        <f t="shared" si="1"/>
        <v>7.3181450135358475</v>
      </c>
      <c r="R9" s="262">
        <f t="shared" si="18"/>
        <v>0</v>
      </c>
      <c r="S9" s="262">
        <f t="shared" si="2"/>
        <v>395.19544249972995</v>
      </c>
      <c r="T9" s="261">
        <f t="shared" si="3"/>
        <v>7.8623065256251374</v>
      </c>
      <c r="U9" s="266">
        <f t="shared" si="4"/>
        <v>7.4357847662596663E-2</v>
      </c>
      <c r="V9" s="42" t="s">
        <v>29</v>
      </c>
      <c r="W9" s="198" t="s">
        <v>29</v>
      </c>
      <c r="X9" s="209">
        <f>5399/264.172</f>
        <v>20.437442272458849</v>
      </c>
      <c r="Y9" s="333">
        <v>0</v>
      </c>
      <c r="Z9" s="334">
        <f>(X9*Z3)</f>
        <v>55.7737799615402</v>
      </c>
      <c r="AA9" s="308">
        <f t="shared" si="5"/>
        <v>0.55773779961540204</v>
      </c>
      <c r="AB9" s="308">
        <f t="shared" si="6"/>
        <v>0</v>
      </c>
      <c r="AC9" s="308">
        <f t="shared" si="7"/>
        <v>0</v>
      </c>
      <c r="AD9" s="308">
        <f t="shared" si="8"/>
        <v>0</v>
      </c>
      <c r="AE9" s="308">
        <f t="shared" si="9"/>
        <v>0</v>
      </c>
      <c r="AF9" s="308">
        <f t="shared" si="10"/>
        <v>55.216042161924797</v>
      </c>
      <c r="AG9" s="308" t="s">
        <v>38</v>
      </c>
      <c r="AH9" s="308">
        <f t="shared" si="11"/>
        <v>0</v>
      </c>
      <c r="AI9" s="308">
        <f t="shared" si="12"/>
        <v>0</v>
      </c>
      <c r="AJ9" s="308">
        <f t="shared" si="13"/>
        <v>0</v>
      </c>
      <c r="AK9" s="308">
        <f t="shared" si="14"/>
        <v>55.7737799615402</v>
      </c>
      <c r="AL9" s="246" t="s">
        <v>437</v>
      </c>
      <c r="AM9" s="234" t="s">
        <v>408</v>
      </c>
      <c r="AN9" s="102" t="s">
        <v>29</v>
      </c>
      <c r="AO9" s="246" t="s">
        <v>436</v>
      </c>
      <c r="AP9" s="48" t="s">
        <v>33</v>
      </c>
      <c r="AQ9" s="44">
        <v>9.763636959893347</v>
      </c>
      <c r="AR9" s="45">
        <v>85.529378013533162</v>
      </c>
      <c r="AS9" s="46">
        <v>9.763636959893347</v>
      </c>
      <c r="AT9" s="45">
        <v>85.529378013533162</v>
      </c>
      <c r="AU9" s="393">
        <v>54373.911504364303</v>
      </c>
      <c r="AV9" s="295">
        <f t="shared" si="15"/>
        <v>4043.12702846103</v>
      </c>
      <c r="AW9" s="295">
        <f t="shared" si="19"/>
        <v>58417.038532825332</v>
      </c>
      <c r="AX9" s="39">
        <v>7430.0128521357228</v>
      </c>
      <c r="AY9" s="41">
        <v>12.476466546394375</v>
      </c>
      <c r="AZ9" s="39">
        <v>46943.898652228578</v>
      </c>
      <c r="BA9" s="47">
        <v>7.3181450135358483</v>
      </c>
      <c r="BB9" s="41">
        <f t="shared" si="20"/>
        <v>7.8623065256251374</v>
      </c>
      <c r="BC9" s="39">
        <v>6456.8484615169618</v>
      </c>
      <c r="BD9" s="47">
        <v>8.4211224451734736</v>
      </c>
      <c r="BE9" s="46">
        <v>7.5659221294417494</v>
      </c>
      <c r="BF9" s="45">
        <v>66.2774145011889</v>
      </c>
      <c r="BG9" s="46">
        <v>17.329559089335099</v>
      </c>
      <c r="BH9" s="45">
        <v>151.80679251472208</v>
      </c>
      <c r="BI9" s="393">
        <v>44877.079926293489</v>
      </c>
      <c r="BJ9" s="295">
        <f t="shared" si="16"/>
        <v>3133.0521999572097</v>
      </c>
      <c r="BK9" s="295">
        <f t="shared" si="21"/>
        <v>48010.132126250697</v>
      </c>
      <c r="BL9" s="39">
        <v>5757.5777234372244</v>
      </c>
      <c r="BM9" s="41">
        <v>9.668115962152287</v>
      </c>
      <c r="BN9" s="39">
        <v>39119.502202856267</v>
      </c>
      <c r="BO9" s="47">
        <v>7.7944375363989451</v>
      </c>
      <c r="BP9" s="41">
        <f t="shared" si="22"/>
        <v>8.3385990484882342</v>
      </c>
      <c r="BQ9" s="39">
        <v>5003.4646783893459</v>
      </c>
      <c r="BR9" s="47">
        <v>8.9692009059489894</v>
      </c>
      <c r="BS9" s="44">
        <v>7.6306859813358114</v>
      </c>
      <c r="BT9" s="45">
        <v>66.84474530148529</v>
      </c>
      <c r="BU9" s="46">
        <v>24.960245070670908</v>
      </c>
      <c r="BV9" s="45">
        <v>218.65153781620737</v>
      </c>
      <c r="BW9" s="393">
        <v>48435.744013445532</v>
      </c>
      <c r="BX9" s="295">
        <f t="shared" si="17"/>
        <v>3159.8709439494064</v>
      </c>
      <c r="BY9" s="295">
        <f t="shared" si="23"/>
        <v>51595.614957394937</v>
      </c>
      <c r="BZ9" s="39">
        <v>5806.8622527476982</v>
      </c>
      <c r="CA9" s="41">
        <v>9.7508744705740025</v>
      </c>
      <c r="CB9" s="39">
        <v>42628.881760697834</v>
      </c>
      <c r="CC9" s="47">
        <v>8.3411215739664986</v>
      </c>
      <c r="CD9" s="41">
        <f t="shared" si="24"/>
        <v>8.8852830860557894</v>
      </c>
      <c r="CE9" s="39">
        <v>5046.2940440429265</v>
      </c>
      <c r="CF9" s="47">
        <v>9.5982801617799485</v>
      </c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</row>
    <row r="10" spans="1:242" s="35" customFormat="1" ht="15" customHeight="1">
      <c r="A10" s="324" t="str">
        <f t="shared" si="0"/>
        <v>BNI - Efficient Product Rebates; Single Tank Door Dishwasher with Booster (High Temp); COM-Other; Retail</v>
      </c>
      <c r="B10" s="36" t="s">
        <v>34</v>
      </c>
      <c r="C10" s="15" t="s">
        <v>27</v>
      </c>
      <c r="D10" s="15" t="s">
        <v>28</v>
      </c>
      <c r="E10" s="37">
        <v>15</v>
      </c>
      <c r="F10" s="38">
        <v>15826.561362675877</v>
      </c>
      <c r="G10" s="31">
        <v>1806.6868140230367</v>
      </c>
      <c r="H10" s="32">
        <v>1500</v>
      </c>
      <c r="I10" s="33">
        <v>0.53333333333333333</v>
      </c>
      <c r="J10" s="32">
        <v>506.44996360562806</v>
      </c>
      <c r="K10" s="32">
        <v>1306.449963605628</v>
      </c>
      <c r="L10" s="32">
        <v>700</v>
      </c>
      <c r="M10" s="32">
        <v>2006.449963605628</v>
      </c>
      <c r="N10" s="32">
        <v>14383.844368630178</v>
      </c>
      <c r="O10" s="34">
        <v>0.82</v>
      </c>
      <c r="P10" s="34">
        <v>6.7924516280248532</v>
      </c>
      <c r="Q10" s="261">
        <f t="shared" si="1"/>
        <v>6.7924516280248532</v>
      </c>
      <c r="R10" s="262">
        <f t="shared" si="18"/>
        <v>0</v>
      </c>
      <c r="S10" s="262">
        <f t="shared" si="2"/>
        <v>3338.3101760248874</v>
      </c>
      <c r="T10" s="261">
        <f t="shared" si="3"/>
        <v>8.3688946017436816</v>
      </c>
      <c r="U10" s="266">
        <f t="shared" si="4"/>
        <v>0.23208747887355</v>
      </c>
      <c r="V10" s="42" t="s">
        <v>29</v>
      </c>
      <c r="W10" s="198" t="s">
        <v>29</v>
      </c>
      <c r="X10" s="209">
        <f>35056/264.172</f>
        <v>132.70142180094786</v>
      </c>
      <c r="Y10" s="333">
        <v>0</v>
      </c>
      <c r="Z10" s="334">
        <f>(X10*Z3)</f>
        <v>362.14218009478668</v>
      </c>
      <c r="AA10" s="308">
        <f t="shared" si="5"/>
        <v>3.6214218009478669</v>
      </c>
      <c r="AB10" s="308">
        <f t="shared" si="6"/>
        <v>0</v>
      </c>
      <c r="AC10" s="308">
        <f t="shared" si="7"/>
        <v>0</v>
      </c>
      <c r="AD10" s="308">
        <f t="shared" si="8"/>
        <v>0</v>
      </c>
      <c r="AE10" s="308">
        <f t="shared" si="9"/>
        <v>0</v>
      </c>
      <c r="AF10" s="308">
        <f t="shared" si="10"/>
        <v>358.52075829383881</v>
      </c>
      <c r="AG10" s="308" t="s">
        <v>38</v>
      </c>
      <c r="AH10" s="308">
        <f t="shared" si="11"/>
        <v>0</v>
      </c>
      <c r="AI10" s="308">
        <f t="shared" si="12"/>
        <v>0</v>
      </c>
      <c r="AJ10" s="308">
        <f t="shared" si="13"/>
        <v>0</v>
      </c>
      <c r="AK10" s="308">
        <f t="shared" si="14"/>
        <v>362.14218009478668</v>
      </c>
      <c r="AL10" s="246" t="s">
        <v>439</v>
      </c>
      <c r="AM10" s="234" t="s">
        <v>408</v>
      </c>
      <c r="AN10" s="102" t="s">
        <v>29</v>
      </c>
      <c r="AO10" s="246" t="s">
        <v>436</v>
      </c>
      <c r="AP10" s="48" t="s">
        <v>34</v>
      </c>
      <c r="AQ10" s="44">
        <v>12.768062680699204</v>
      </c>
      <c r="AR10" s="45">
        <v>111.84812217044342</v>
      </c>
      <c r="AS10" s="46">
        <v>12.768062680699204</v>
      </c>
      <c r="AT10" s="45">
        <v>111.84812217044342</v>
      </c>
      <c r="AU10" s="393">
        <v>101652.27590228632</v>
      </c>
      <c r="AV10" s="295">
        <f t="shared" si="15"/>
        <v>23592.22043592015</v>
      </c>
      <c r="AW10" s="295">
        <f t="shared" si="19"/>
        <v>125244.49633820646</v>
      </c>
      <c r="AX10" s="39">
        <v>14965.47660094936</v>
      </c>
      <c r="AY10" s="41">
        <v>8.6184323848148772</v>
      </c>
      <c r="AZ10" s="39">
        <v>86686.799301336956</v>
      </c>
      <c r="BA10" s="47">
        <v>6.7924516280248524</v>
      </c>
      <c r="BB10" s="41">
        <f t="shared" si="20"/>
        <v>8.3688946017436798</v>
      </c>
      <c r="BC10" s="39">
        <v>11259.55067547896</v>
      </c>
      <c r="BD10" s="47">
        <v>9.0280934676784703</v>
      </c>
      <c r="BE10" s="46">
        <v>10.264899542512323</v>
      </c>
      <c r="BF10" s="45">
        <v>89.920434039988152</v>
      </c>
      <c r="BG10" s="46">
        <v>23.032962223211527</v>
      </c>
      <c r="BH10" s="45">
        <v>201.76855621043157</v>
      </c>
      <c r="BI10" s="393">
        <v>86368.421352155332</v>
      </c>
      <c r="BJ10" s="295">
        <f t="shared" si="16"/>
        <v>18966.994352683174</v>
      </c>
      <c r="BK10" s="295">
        <f t="shared" si="21"/>
        <v>105335.41570483851</v>
      </c>
      <c r="BL10" s="39">
        <v>12031.513139952054</v>
      </c>
      <c r="BM10" s="41">
        <v>6.9287992122556652</v>
      </c>
      <c r="BN10" s="39">
        <v>74336.908212203271</v>
      </c>
      <c r="BO10" s="47">
        <v>7.1785169784969796</v>
      </c>
      <c r="BP10" s="41">
        <f t="shared" si="22"/>
        <v>8.7549599522158079</v>
      </c>
      <c r="BQ10" s="39">
        <v>9052.1294786821181</v>
      </c>
      <c r="BR10" s="47">
        <v>9.5412269074977427</v>
      </c>
      <c r="BS10" s="44">
        <v>10.623841054862934</v>
      </c>
      <c r="BT10" s="45">
        <v>93.064758682607803</v>
      </c>
      <c r="BU10" s="46">
        <v>33.656803278074456</v>
      </c>
      <c r="BV10" s="45">
        <v>294.83331489303936</v>
      </c>
      <c r="BW10" s="393">
        <v>94897.367059426731</v>
      </c>
      <c r="BX10" s="295">
        <f t="shared" si="17"/>
        <v>19630.229449091272</v>
      </c>
      <c r="BY10" s="295">
        <f t="shared" si="23"/>
        <v>114527.59650851801</v>
      </c>
      <c r="BZ10" s="39">
        <v>12452.229339310366</v>
      </c>
      <c r="CA10" s="41">
        <v>7.1710844540859116</v>
      </c>
      <c r="CB10" s="39">
        <v>82445.13772011637</v>
      </c>
      <c r="CC10" s="47">
        <v>7.6209138519353976</v>
      </c>
      <c r="CD10" s="41">
        <f t="shared" si="24"/>
        <v>9.1973568256542251</v>
      </c>
      <c r="CE10" s="39">
        <v>9368.6630240534232</v>
      </c>
      <c r="CF10" s="47">
        <v>10.12923261470543</v>
      </c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</row>
    <row r="11" spans="1:242" s="35" customFormat="1" ht="15" customHeight="1">
      <c r="A11" s="324" t="str">
        <f t="shared" si="0"/>
        <v>BNI - Efficient Product Rebates; Single Tank Conveyor Dishwasher with Booster (High Temp); COM-Other; Retail</v>
      </c>
      <c r="B11" s="36" t="s">
        <v>35</v>
      </c>
      <c r="C11" s="15" t="s">
        <v>27</v>
      </c>
      <c r="D11" s="15" t="s">
        <v>28</v>
      </c>
      <c r="E11" s="37">
        <v>20</v>
      </c>
      <c r="F11" s="38">
        <v>21524.186570118432</v>
      </c>
      <c r="G11" s="31">
        <v>2457.1012722014179</v>
      </c>
      <c r="H11" s="32">
        <v>1500</v>
      </c>
      <c r="I11" s="33">
        <v>0.46666666666666667</v>
      </c>
      <c r="J11" s="32">
        <v>688.7739702437899</v>
      </c>
      <c r="K11" s="32">
        <v>1388.7739702437898</v>
      </c>
      <c r="L11" s="32">
        <v>800</v>
      </c>
      <c r="M11" s="32">
        <v>2188.7739702437898</v>
      </c>
      <c r="N11" s="32">
        <v>24660.768624016579</v>
      </c>
      <c r="O11" s="34">
        <v>0.82</v>
      </c>
      <c r="P11" s="34">
        <v>10.538932977668187</v>
      </c>
      <c r="Q11" s="261">
        <f t="shared" si="1"/>
        <v>10.538932977668187</v>
      </c>
      <c r="R11" s="262">
        <f t="shared" si="18"/>
        <v>0</v>
      </c>
      <c r="S11" s="262">
        <f t="shared" si="2"/>
        <v>2364.1252883254742</v>
      </c>
      <c r="T11" s="261">
        <f t="shared" si="3"/>
        <v>11.549256635634311</v>
      </c>
      <c r="U11" s="266">
        <f t="shared" si="4"/>
        <v>9.5865839559562807E-2</v>
      </c>
      <c r="V11" s="42" t="s">
        <v>29</v>
      </c>
      <c r="W11" s="198" t="s">
        <v>29</v>
      </c>
      <c r="X11" s="209">
        <f>21284/264.172</f>
        <v>80.56872037914691</v>
      </c>
      <c r="Y11" s="333">
        <v>0</v>
      </c>
      <c r="Z11" s="334">
        <f>(X11*Z3)</f>
        <v>219.87203791469193</v>
      </c>
      <c r="AA11" s="308">
        <f t="shared" si="5"/>
        <v>2.1987203791469194</v>
      </c>
      <c r="AB11" s="308">
        <f t="shared" si="6"/>
        <v>0</v>
      </c>
      <c r="AC11" s="308">
        <f t="shared" si="7"/>
        <v>0</v>
      </c>
      <c r="AD11" s="308">
        <f t="shared" si="8"/>
        <v>0</v>
      </c>
      <c r="AE11" s="308">
        <f t="shared" si="9"/>
        <v>0</v>
      </c>
      <c r="AF11" s="308">
        <f t="shared" si="10"/>
        <v>217.67331753554501</v>
      </c>
      <c r="AG11" s="308" t="s">
        <v>38</v>
      </c>
      <c r="AH11" s="308">
        <f t="shared" si="11"/>
        <v>0</v>
      </c>
      <c r="AI11" s="308">
        <f t="shared" si="12"/>
        <v>0</v>
      </c>
      <c r="AJ11" s="308">
        <f t="shared" si="13"/>
        <v>0</v>
      </c>
      <c r="AK11" s="308">
        <f t="shared" si="14"/>
        <v>219.87203791469193</v>
      </c>
      <c r="AL11" s="246" t="s">
        <v>439</v>
      </c>
      <c r="AM11" s="234" t="s">
        <v>408</v>
      </c>
      <c r="AN11" s="102" t="s">
        <v>29</v>
      </c>
      <c r="AO11" s="246" t="s">
        <v>436</v>
      </c>
      <c r="AP11" s="48" t="s">
        <v>35</v>
      </c>
      <c r="AQ11" s="44">
        <v>12.999024075709061</v>
      </c>
      <c r="AR11" s="45">
        <v>113.87134205679064</v>
      </c>
      <c r="AS11" s="46">
        <v>12.999024075709061</v>
      </c>
      <c r="AT11" s="45">
        <v>113.87134205679064</v>
      </c>
      <c r="AU11" s="393">
        <v>130465.08448627105</v>
      </c>
      <c r="AV11" s="295">
        <f t="shared" si="15"/>
        <v>12507.144857485669</v>
      </c>
      <c r="AW11" s="295">
        <f t="shared" si="19"/>
        <v>142972.22934375671</v>
      </c>
      <c r="AX11" s="39">
        <v>12379.344736580475</v>
      </c>
      <c r="AY11" s="41">
        <v>6.4516951598043706</v>
      </c>
      <c r="AZ11" s="39">
        <v>118085.73974969058</v>
      </c>
      <c r="BA11" s="47">
        <v>10.538932977668185</v>
      </c>
      <c r="BB11" s="41">
        <f t="shared" si="20"/>
        <v>11.549256635634309</v>
      </c>
      <c r="BC11" s="39">
        <v>8959.9463018841579</v>
      </c>
      <c r="BD11" s="47">
        <v>14.56092258709586</v>
      </c>
      <c r="BE11" s="46">
        <v>10.523315415039979</v>
      </c>
      <c r="BF11" s="45">
        <v>92.184154919503158</v>
      </c>
      <c r="BG11" s="46">
        <v>23.52233949074904</v>
      </c>
      <c r="BH11" s="45">
        <v>206.0554969762938</v>
      </c>
      <c r="BI11" s="393">
        <v>111458.61627018862</v>
      </c>
      <c r="BJ11" s="295">
        <f t="shared" si="16"/>
        <v>10125.116278757077</v>
      </c>
      <c r="BK11" s="295">
        <f t="shared" si="21"/>
        <v>121583.7325489457</v>
      </c>
      <c r="BL11" s="39">
        <v>10021.656128630979</v>
      </c>
      <c r="BM11" s="41">
        <v>5.2229477176812429</v>
      </c>
      <c r="BN11" s="39">
        <v>101436.96014155765</v>
      </c>
      <c r="BO11" s="47">
        <v>11.121776165494373</v>
      </c>
      <c r="BP11" s="41">
        <f t="shared" si="22"/>
        <v>12.132099823460496</v>
      </c>
      <c r="BQ11" s="39">
        <v>7253.4938382599203</v>
      </c>
      <c r="BR11" s="47">
        <v>15.366197139684484</v>
      </c>
      <c r="BS11" s="44">
        <v>10.875503881848472</v>
      </c>
      <c r="BT11" s="45">
        <v>95.269322939719999</v>
      </c>
      <c r="BU11" s="46">
        <v>34.397843372597507</v>
      </c>
      <c r="BV11" s="45">
        <v>301.32481991601378</v>
      </c>
      <c r="BW11" s="393">
        <v>121938.23820010861</v>
      </c>
      <c r="BX11" s="295">
        <f t="shared" si="17"/>
        <v>10463.978038367235</v>
      </c>
      <c r="BY11" s="295">
        <f t="shared" si="23"/>
        <v>132402.21623847584</v>
      </c>
      <c r="BZ11" s="39">
        <v>10357.05534148552</v>
      </c>
      <c r="CA11" s="41">
        <v>5.3977464266776582</v>
      </c>
      <c r="CB11" s="39">
        <v>111581.18285862308</v>
      </c>
      <c r="CC11" s="47">
        <v>11.773446619685524</v>
      </c>
      <c r="CD11" s="41">
        <f t="shared" si="24"/>
        <v>12.783770277651648</v>
      </c>
      <c r="CE11" s="39">
        <v>7496.2497353463605</v>
      </c>
      <c r="CF11" s="47">
        <v>16.266565616823666</v>
      </c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</row>
    <row r="12" spans="1:242" s="35" customFormat="1" ht="15" customHeight="1">
      <c r="A12" s="324" t="str">
        <f t="shared" si="0"/>
        <v>BNI - Efficient Product Rebates; Multi Tank Conveyor Dishwasher with Booster (High Temp); COM-Other; Retail</v>
      </c>
      <c r="B12" s="36" t="s">
        <v>36</v>
      </c>
      <c r="C12" s="15" t="s">
        <v>27</v>
      </c>
      <c r="D12" s="15" t="s">
        <v>28</v>
      </c>
      <c r="E12" s="37">
        <v>20</v>
      </c>
      <c r="F12" s="38">
        <v>38217.457671859273</v>
      </c>
      <c r="G12" s="31">
        <v>4362.7276487277068</v>
      </c>
      <c r="H12" s="32">
        <v>5000</v>
      </c>
      <c r="I12" s="33">
        <v>0.3</v>
      </c>
      <c r="J12" s="32">
        <v>1222.9586454994967</v>
      </c>
      <c r="K12" s="32">
        <v>2722.9586454994969</v>
      </c>
      <c r="L12" s="32">
        <v>3500</v>
      </c>
      <c r="M12" s="32">
        <v>6222.9586454994969</v>
      </c>
      <c r="N12" s="32">
        <v>43786.643363902185</v>
      </c>
      <c r="O12" s="34">
        <v>0.82</v>
      </c>
      <c r="P12" s="34">
        <v>6.7453177733697247</v>
      </c>
      <c r="Q12" s="261">
        <f t="shared" si="1"/>
        <v>6.7453177733697247</v>
      </c>
      <c r="R12" s="262">
        <f t="shared" si="18"/>
        <v>0</v>
      </c>
      <c r="S12" s="262">
        <f t="shared" si="2"/>
        <v>8969.7694762937099</v>
      </c>
      <c r="T12" s="261">
        <f t="shared" si="3"/>
        <v>8.1271077628109509</v>
      </c>
      <c r="U12" s="266">
        <f t="shared" si="4"/>
        <v>0.20485172617018638</v>
      </c>
      <c r="V12" s="42" t="s">
        <v>29</v>
      </c>
      <c r="W12" s="198" t="s">
        <v>29</v>
      </c>
      <c r="X12" s="209">
        <f>80754/264.172</f>
        <v>305.68720379146919</v>
      </c>
      <c r="Y12" s="333">
        <v>0</v>
      </c>
      <c r="Z12" s="334">
        <f>(X12*Z3)</f>
        <v>834.22037914691941</v>
      </c>
      <c r="AA12" s="308">
        <f t="shared" si="5"/>
        <v>8.3422037914691938</v>
      </c>
      <c r="AB12" s="308">
        <f t="shared" si="6"/>
        <v>0</v>
      </c>
      <c r="AC12" s="308">
        <f t="shared" si="7"/>
        <v>0</v>
      </c>
      <c r="AD12" s="308">
        <f t="shared" si="8"/>
        <v>0</v>
      </c>
      <c r="AE12" s="308">
        <f t="shared" si="9"/>
        <v>0</v>
      </c>
      <c r="AF12" s="308">
        <f t="shared" si="10"/>
        <v>825.87817535545025</v>
      </c>
      <c r="AG12" s="308" t="s">
        <v>38</v>
      </c>
      <c r="AH12" s="308">
        <f t="shared" si="11"/>
        <v>0</v>
      </c>
      <c r="AI12" s="308">
        <f t="shared" si="12"/>
        <v>0</v>
      </c>
      <c r="AJ12" s="308">
        <f t="shared" si="13"/>
        <v>0</v>
      </c>
      <c r="AK12" s="308">
        <f t="shared" si="14"/>
        <v>834.22037914691941</v>
      </c>
      <c r="AL12" s="246" t="s">
        <v>439</v>
      </c>
      <c r="AM12" s="234" t="s">
        <v>408</v>
      </c>
      <c r="AN12" s="102" t="s">
        <v>29</v>
      </c>
      <c r="AO12" s="246" t="s">
        <v>436</v>
      </c>
      <c r="AP12" s="48" t="s">
        <v>36</v>
      </c>
      <c r="AQ12" s="44">
        <v>23.80770899790101</v>
      </c>
      <c r="AR12" s="45">
        <v>208.55533146942341</v>
      </c>
      <c r="AS12" s="46">
        <v>23.80770899790101</v>
      </c>
      <c r="AT12" s="45">
        <v>208.55533146942341</v>
      </c>
      <c r="AU12" s="393">
        <v>238946.76613761741</v>
      </c>
      <c r="AV12" s="295">
        <f t="shared" si="15"/>
        <v>48948.657506074822</v>
      </c>
      <c r="AW12" s="295">
        <f t="shared" si="19"/>
        <v>287895.42364369222</v>
      </c>
      <c r="AX12" s="39">
        <v>35424.093299350665</v>
      </c>
      <c r="AY12" s="41">
        <v>6.6549630869857213</v>
      </c>
      <c r="AZ12" s="39">
        <v>203522.67283826674</v>
      </c>
      <c r="BA12" s="47">
        <v>6.7453177733697247</v>
      </c>
      <c r="BB12" s="41">
        <f t="shared" si="20"/>
        <v>8.1271077628109527</v>
      </c>
      <c r="BC12" s="39">
        <v>18121.189273187789</v>
      </c>
      <c r="BD12" s="47">
        <v>13.186042181633429</v>
      </c>
      <c r="BE12" s="46">
        <v>19.616446361070185</v>
      </c>
      <c r="BF12" s="45">
        <v>171.83990586603051</v>
      </c>
      <c r="BG12" s="46">
        <v>43.424155358971191</v>
      </c>
      <c r="BH12" s="45">
        <v>380.39523733545388</v>
      </c>
      <c r="BI12" s="393">
        <v>207769.30856015338</v>
      </c>
      <c r="BJ12" s="295">
        <f t="shared" si="16"/>
        <v>40331.420150463346</v>
      </c>
      <c r="BK12" s="295">
        <f t="shared" si="21"/>
        <v>248100.72871061674</v>
      </c>
      <c r="BL12" s="39">
        <v>29187.807451675548</v>
      </c>
      <c r="BM12" s="41">
        <v>5.4833804648010034</v>
      </c>
      <c r="BN12" s="39">
        <v>178581.50110847782</v>
      </c>
      <c r="BO12" s="47">
        <v>7.1183595720282931</v>
      </c>
      <c r="BP12" s="41">
        <f t="shared" si="22"/>
        <v>8.5001495614695219</v>
      </c>
      <c r="BQ12" s="39">
        <v>14931.018243192941</v>
      </c>
      <c r="BR12" s="47">
        <v>13.915280604179525</v>
      </c>
      <c r="BS12" s="44">
        <v>20.734259384252681</v>
      </c>
      <c r="BT12" s="45">
        <v>181.63193858917984</v>
      </c>
      <c r="BU12" s="46">
        <v>64.158414743223872</v>
      </c>
      <c r="BV12" s="45">
        <v>562.02717592463375</v>
      </c>
      <c r="BW12" s="393">
        <v>232476.49829996791</v>
      </c>
      <c r="BX12" s="295">
        <f t="shared" si="17"/>
        <v>42629.644092650051</v>
      </c>
      <c r="BY12" s="295">
        <f t="shared" si="23"/>
        <v>275106.14239261794</v>
      </c>
      <c r="BZ12" s="39">
        <v>30851.029764580031</v>
      </c>
      <c r="CA12" s="41">
        <v>5.7958424664193551</v>
      </c>
      <c r="CB12" s="39">
        <v>201625.46853538789</v>
      </c>
      <c r="CC12" s="47">
        <v>7.5354534378257103</v>
      </c>
      <c r="CD12" s="41">
        <f t="shared" si="24"/>
        <v>8.9172434272669374</v>
      </c>
      <c r="CE12" s="39">
        <v>15781.83935188971</v>
      </c>
      <c r="CF12" s="47">
        <v>14.730633934132099</v>
      </c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</row>
    <row r="13" spans="1:242" s="30" customFormat="1" ht="15" customHeight="1">
      <c r="A13" s="324" t="str">
        <f t="shared" si="0"/>
        <v>BNI - Efficient Product Rebates; Standard Capacity Commercial Electric Fryers; COM-Other; Retail</v>
      </c>
      <c r="B13" s="36" t="s">
        <v>37</v>
      </c>
      <c r="C13" s="15" t="s">
        <v>27</v>
      </c>
      <c r="D13" s="15" t="s">
        <v>28</v>
      </c>
      <c r="E13" s="37">
        <v>12</v>
      </c>
      <c r="F13" s="38">
        <v>1319.164628327951</v>
      </c>
      <c r="G13" s="26">
        <v>150.58971338817403</v>
      </c>
      <c r="H13" s="27">
        <v>500</v>
      </c>
      <c r="I13" s="28">
        <v>0.5</v>
      </c>
      <c r="J13" s="27">
        <v>42.213268106494432</v>
      </c>
      <c r="K13" s="27">
        <v>292.21326810649441</v>
      </c>
      <c r="L13" s="27">
        <v>250</v>
      </c>
      <c r="M13" s="27">
        <v>542.21326810649441</v>
      </c>
      <c r="N13" s="27">
        <v>988.67438731864081</v>
      </c>
      <c r="O13" s="29">
        <v>0.82</v>
      </c>
      <c r="P13" s="29">
        <v>1.7927669415713954</v>
      </c>
      <c r="Q13" s="261">
        <f t="shared" si="1"/>
        <v>1.7927669415713954</v>
      </c>
      <c r="R13" s="262">
        <f t="shared" si="18"/>
        <v>0</v>
      </c>
      <c r="S13" s="262">
        <f t="shared" si="2"/>
        <v>0</v>
      </c>
      <c r="T13" s="261">
        <f t="shared" si="3"/>
        <v>1.7927669415713954</v>
      </c>
      <c r="U13" s="266">
        <f t="shared" si="4"/>
        <v>0</v>
      </c>
      <c r="V13" s="42" t="s">
        <v>38</v>
      </c>
      <c r="W13" s="198" t="s">
        <v>38</v>
      </c>
      <c r="X13" s="198"/>
      <c r="Y13" s="333">
        <v>0</v>
      </c>
      <c r="Z13" s="335">
        <v>0</v>
      </c>
      <c r="AA13" s="308">
        <f t="shared" si="5"/>
        <v>0</v>
      </c>
      <c r="AB13" s="308">
        <f t="shared" si="6"/>
        <v>0</v>
      </c>
      <c r="AC13" s="308">
        <f t="shared" si="7"/>
        <v>0</v>
      </c>
      <c r="AD13" s="308">
        <f t="shared" si="8"/>
        <v>0</v>
      </c>
      <c r="AE13" s="308">
        <f t="shared" si="9"/>
        <v>0</v>
      </c>
      <c r="AF13" s="308">
        <f t="shared" si="10"/>
        <v>0</v>
      </c>
      <c r="AG13" s="308" t="s">
        <v>38</v>
      </c>
      <c r="AH13" s="308">
        <f t="shared" si="11"/>
        <v>0</v>
      </c>
      <c r="AI13" s="308">
        <f t="shared" si="12"/>
        <v>0</v>
      </c>
      <c r="AJ13" s="308">
        <f t="shared" si="13"/>
        <v>0</v>
      </c>
      <c r="AK13" s="308">
        <f t="shared" si="14"/>
        <v>0</v>
      </c>
      <c r="AL13" s="246" t="s">
        <v>440</v>
      </c>
      <c r="AM13" s="234" t="s">
        <v>330</v>
      </c>
      <c r="AN13" s="102" t="s">
        <v>38</v>
      </c>
      <c r="AO13" s="241"/>
      <c r="AP13" s="48" t="s">
        <v>37</v>
      </c>
      <c r="AQ13" s="44">
        <v>7.2557054278495086</v>
      </c>
      <c r="AR13" s="45">
        <v>63.559918792818763</v>
      </c>
      <c r="AS13" s="46">
        <v>7.2557054278495086</v>
      </c>
      <c r="AT13" s="45">
        <v>63.559918792818763</v>
      </c>
      <c r="AU13" s="393">
        <v>47636.255870628374</v>
      </c>
      <c r="AV13" s="295">
        <f t="shared" si="15"/>
        <v>0</v>
      </c>
      <c r="AW13" s="295">
        <f t="shared" si="19"/>
        <v>47636.255870628374</v>
      </c>
      <c r="AX13" s="39">
        <v>26571.360039065788</v>
      </c>
      <c r="AY13" s="41">
        <v>58.758470644448984</v>
      </c>
      <c r="AZ13" s="39">
        <v>21064.895831562586</v>
      </c>
      <c r="BA13" s="47">
        <v>1.7927669415713956</v>
      </c>
      <c r="BB13" s="41">
        <f t="shared" si="20"/>
        <v>1.7927669415713956</v>
      </c>
      <c r="BC13" s="39">
        <v>17170.004735953953</v>
      </c>
      <c r="BD13" s="47">
        <v>2.7743880449187155</v>
      </c>
      <c r="BE13" s="46">
        <v>5.8531962465713638</v>
      </c>
      <c r="BF13" s="45">
        <v>51.273950108634949</v>
      </c>
      <c r="BG13" s="46">
        <v>13.108901674420872</v>
      </c>
      <c r="BH13" s="45">
        <v>114.83386890145371</v>
      </c>
      <c r="BI13" s="393">
        <v>40775.333103364217</v>
      </c>
      <c r="BJ13" s="295">
        <f t="shared" si="16"/>
        <v>0</v>
      </c>
      <c r="BK13" s="295">
        <f t="shared" si="21"/>
        <v>40775.333103364217</v>
      </c>
      <c r="BL13" s="39">
        <v>21435.184544565011</v>
      </c>
      <c r="BM13" s="41">
        <v>47.400609527266475</v>
      </c>
      <c r="BN13" s="39">
        <v>19340.148558799207</v>
      </c>
      <c r="BO13" s="47">
        <v>1.9022618171814616</v>
      </c>
      <c r="BP13" s="41">
        <f t="shared" si="22"/>
        <v>1.9022618171814616</v>
      </c>
      <c r="BQ13" s="39">
        <v>13851.087020202373</v>
      </c>
      <c r="BR13" s="47">
        <v>2.9438363244626027</v>
      </c>
      <c r="BS13" s="44">
        <v>6.1698293076344299</v>
      </c>
      <c r="BT13" s="45">
        <v>54.047653072242575</v>
      </c>
      <c r="BU13" s="46">
        <v>19.278730982055304</v>
      </c>
      <c r="BV13" s="45">
        <v>168.88152197369629</v>
      </c>
      <c r="BW13" s="393">
        <v>45797.504910323274</v>
      </c>
      <c r="BX13" s="295">
        <f t="shared" si="17"/>
        <v>0</v>
      </c>
      <c r="BY13" s="295">
        <f t="shared" si="23"/>
        <v>45797.504910323274</v>
      </c>
      <c r="BZ13" s="39">
        <v>22594.737002894599</v>
      </c>
      <c r="CA13" s="41">
        <v>49.964781213747202</v>
      </c>
      <c r="CB13" s="39">
        <v>23202.767907428675</v>
      </c>
      <c r="CC13" s="47">
        <v>2.0269102890844084</v>
      </c>
      <c r="CD13" s="41">
        <f t="shared" si="24"/>
        <v>2.0269102890844084</v>
      </c>
      <c r="CE13" s="39">
        <v>14600.372008695047</v>
      </c>
      <c r="CF13" s="47">
        <v>3.1367354806472885</v>
      </c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</row>
    <row r="14" spans="1:242" s="35" customFormat="1" ht="15" customHeight="1">
      <c r="A14" s="324" t="str">
        <f t="shared" si="0"/>
        <v>BNI - Efficient Product Rebates; Full Size Commercial Hot Food Holding Cabinet; COM-Other; Retail</v>
      </c>
      <c r="B14" s="36" t="s">
        <v>39</v>
      </c>
      <c r="C14" s="15" t="s">
        <v>27</v>
      </c>
      <c r="D14" s="15" t="s">
        <v>28</v>
      </c>
      <c r="E14" s="37">
        <v>12</v>
      </c>
      <c r="F14" s="38">
        <v>10415.092500000001</v>
      </c>
      <c r="G14" s="31">
        <v>1188.9386364719956</v>
      </c>
      <c r="H14" s="32">
        <v>1200</v>
      </c>
      <c r="I14" s="33">
        <v>0.5</v>
      </c>
      <c r="J14" s="32">
        <v>333.28296</v>
      </c>
      <c r="K14" s="32">
        <v>933.28296</v>
      </c>
      <c r="L14" s="32">
        <v>600</v>
      </c>
      <c r="M14" s="32">
        <v>1533.28296</v>
      </c>
      <c r="N14" s="32">
        <v>7805.7999548973285</v>
      </c>
      <c r="O14" s="34">
        <v>0.82</v>
      </c>
      <c r="P14" s="34">
        <v>4.8590592586241375</v>
      </c>
      <c r="Q14" s="261">
        <f t="shared" si="1"/>
        <v>4.8590592586241375</v>
      </c>
      <c r="R14" s="262">
        <f t="shared" si="18"/>
        <v>0</v>
      </c>
      <c r="S14" s="262">
        <f t="shared" si="2"/>
        <v>0</v>
      </c>
      <c r="T14" s="261">
        <f t="shared" si="3"/>
        <v>4.8590592586241375</v>
      </c>
      <c r="U14" s="266">
        <f t="shared" si="4"/>
        <v>0</v>
      </c>
      <c r="V14" s="42" t="s">
        <v>38</v>
      </c>
      <c r="W14" s="198" t="s">
        <v>38</v>
      </c>
      <c r="X14" s="198"/>
      <c r="Y14" s="333">
        <v>0</v>
      </c>
      <c r="Z14" s="335">
        <v>0</v>
      </c>
      <c r="AA14" s="308">
        <f t="shared" si="5"/>
        <v>0</v>
      </c>
      <c r="AB14" s="308">
        <f t="shared" si="6"/>
        <v>0</v>
      </c>
      <c r="AC14" s="308">
        <f t="shared" si="7"/>
        <v>0</v>
      </c>
      <c r="AD14" s="308">
        <f t="shared" si="8"/>
        <v>0</v>
      </c>
      <c r="AE14" s="308">
        <f t="shared" si="9"/>
        <v>0</v>
      </c>
      <c r="AF14" s="308">
        <f t="shared" si="10"/>
        <v>0</v>
      </c>
      <c r="AG14" s="308" t="s">
        <v>38</v>
      </c>
      <c r="AH14" s="308">
        <f t="shared" si="11"/>
        <v>0</v>
      </c>
      <c r="AI14" s="308">
        <f t="shared" si="12"/>
        <v>0</v>
      </c>
      <c r="AJ14" s="308">
        <f t="shared" si="13"/>
        <v>0</v>
      </c>
      <c r="AK14" s="308">
        <f t="shared" si="14"/>
        <v>0</v>
      </c>
      <c r="AL14" s="246" t="s">
        <v>441</v>
      </c>
      <c r="AM14" s="234" t="s">
        <v>330</v>
      </c>
      <c r="AN14" s="102" t="s">
        <v>38</v>
      </c>
      <c r="AO14" s="241"/>
      <c r="AP14" s="48" t="s">
        <v>39</v>
      </c>
      <c r="AQ14" s="44">
        <v>14.597550646074247</v>
      </c>
      <c r="AR14" s="45">
        <v>127.87442142803901</v>
      </c>
      <c r="AS14" s="46">
        <v>14.597550646074247</v>
      </c>
      <c r="AT14" s="45">
        <v>127.87442142803901</v>
      </c>
      <c r="AU14" s="393">
        <v>95838.049735564869</v>
      </c>
      <c r="AV14" s="295">
        <f t="shared" si="15"/>
        <v>0</v>
      </c>
      <c r="AW14" s="295">
        <f t="shared" si="19"/>
        <v>95838.049735564869</v>
      </c>
      <c r="AX14" s="39">
        <v>19723.581177872242</v>
      </c>
      <c r="AY14" s="41">
        <v>14.972926680743097</v>
      </c>
      <c r="AZ14" s="39">
        <v>76114.468557692628</v>
      </c>
      <c r="BA14" s="47">
        <v>4.8590592586241366</v>
      </c>
      <c r="BB14" s="41">
        <f t="shared" si="20"/>
        <v>4.8590592586241366</v>
      </c>
      <c r="BC14" s="39">
        <v>13973.977332466893</v>
      </c>
      <c r="BD14" s="47">
        <v>6.8583229710052862</v>
      </c>
      <c r="BE14" s="46">
        <v>11.633505572450353</v>
      </c>
      <c r="BF14" s="45">
        <v>101.90941140231824</v>
      </c>
      <c r="BG14" s="46">
        <v>26.2310562185246</v>
      </c>
      <c r="BH14" s="45">
        <v>229.78383283035726</v>
      </c>
      <c r="BI14" s="393">
        <v>81042.911410047745</v>
      </c>
      <c r="BJ14" s="295">
        <f t="shared" si="16"/>
        <v>0</v>
      </c>
      <c r="BK14" s="295">
        <f t="shared" si="21"/>
        <v>81042.911410047745</v>
      </c>
      <c r="BL14" s="39">
        <v>15718.691245175527</v>
      </c>
      <c r="BM14" s="41">
        <v>11.932661184029534</v>
      </c>
      <c r="BN14" s="39">
        <v>65324.220164872218</v>
      </c>
      <c r="BO14" s="47">
        <v>5.1558307333584095</v>
      </c>
      <c r="BP14" s="41">
        <f t="shared" si="22"/>
        <v>5.1558307333584095</v>
      </c>
      <c r="BQ14" s="39">
        <v>11136.549350508189</v>
      </c>
      <c r="BR14" s="47">
        <v>7.2772012999115887</v>
      </c>
      <c r="BS14" s="44">
        <v>12.045204529642476</v>
      </c>
      <c r="BT14" s="45">
        <v>105.51589081998875</v>
      </c>
      <c r="BU14" s="46">
        <v>38.276260748167076</v>
      </c>
      <c r="BV14" s="45">
        <v>335.29972365034598</v>
      </c>
      <c r="BW14" s="393">
        <v>89409.331455824897</v>
      </c>
      <c r="BX14" s="295">
        <f t="shared" si="17"/>
        <v>0</v>
      </c>
      <c r="BY14" s="295">
        <f t="shared" si="23"/>
        <v>89409.331455824897</v>
      </c>
      <c r="BZ14" s="39">
        <v>16274.96112906923</v>
      </c>
      <c r="CA14" s="41">
        <v>12.354946980464419</v>
      </c>
      <c r="CB14" s="39">
        <v>73134.37032675567</v>
      </c>
      <c r="CC14" s="47">
        <v>5.4936740399415163</v>
      </c>
      <c r="CD14" s="41">
        <f t="shared" si="24"/>
        <v>5.4936740399415163</v>
      </c>
      <c r="CE14" s="39">
        <v>11530.661488570895</v>
      </c>
      <c r="CF14" s="47">
        <v>7.7540504978354239</v>
      </c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</row>
    <row r="15" spans="1:242" s="35" customFormat="1" ht="15" customHeight="1">
      <c r="A15" s="324" t="str">
        <f t="shared" si="0"/>
        <v>BNI - Efficient Product Rebates; Three Quarter Size Commercial Hot Food Holding Cabinet; COM-Other; Retail</v>
      </c>
      <c r="B15" s="36" t="s">
        <v>40</v>
      </c>
      <c r="C15" s="15" t="s">
        <v>27</v>
      </c>
      <c r="D15" s="15" t="s">
        <v>28</v>
      </c>
      <c r="E15" s="37">
        <v>12</v>
      </c>
      <c r="F15" s="38">
        <v>4411.098</v>
      </c>
      <c r="G15" s="31">
        <v>503.55048132931574</v>
      </c>
      <c r="H15" s="32">
        <v>1800</v>
      </c>
      <c r="I15" s="33">
        <v>0.26666666666666666</v>
      </c>
      <c r="J15" s="32">
        <v>141.155136</v>
      </c>
      <c r="K15" s="32">
        <v>621.15513599999997</v>
      </c>
      <c r="L15" s="32">
        <v>1320</v>
      </c>
      <c r="M15" s="32">
        <v>1941.1551359999999</v>
      </c>
      <c r="N15" s="32">
        <v>3305.985863250633</v>
      </c>
      <c r="O15" s="34">
        <v>0.82</v>
      </c>
      <c r="P15" s="34">
        <v>1.6763440609482247</v>
      </c>
      <c r="Q15" s="261">
        <f t="shared" si="1"/>
        <v>1.6763440609482247</v>
      </c>
      <c r="R15" s="262">
        <f t="shared" si="18"/>
        <v>0</v>
      </c>
      <c r="S15" s="262">
        <f t="shared" si="2"/>
        <v>0</v>
      </c>
      <c r="T15" s="261">
        <f t="shared" si="3"/>
        <v>1.6763440609482247</v>
      </c>
      <c r="U15" s="266">
        <f t="shared" si="4"/>
        <v>0</v>
      </c>
      <c r="V15" s="42" t="s">
        <v>38</v>
      </c>
      <c r="W15" s="198" t="s">
        <v>38</v>
      </c>
      <c r="X15" s="198"/>
      <c r="Y15" s="333">
        <v>0</v>
      </c>
      <c r="Z15" s="335">
        <v>0</v>
      </c>
      <c r="AA15" s="308">
        <f t="shared" si="5"/>
        <v>0</v>
      </c>
      <c r="AB15" s="308">
        <f t="shared" si="6"/>
        <v>0</v>
      </c>
      <c r="AC15" s="308">
        <f t="shared" si="7"/>
        <v>0</v>
      </c>
      <c r="AD15" s="308">
        <f t="shared" si="8"/>
        <v>0</v>
      </c>
      <c r="AE15" s="308">
        <f t="shared" si="9"/>
        <v>0</v>
      </c>
      <c r="AF15" s="308">
        <f t="shared" si="10"/>
        <v>0</v>
      </c>
      <c r="AG15" s="308" t="s">
        <v>38</v>
      </c>
      <c r="AH15" s="308">
        <f t="shared" si="11"/>
        <v>0</v>
      </c>
      <c r="AI15" s="308">
        <f t="shared" si="12"/>
        <v>0</v>
      </c>
      <c r="AJ15" s="308">
        <f t="shared" si="13"/>
        <v>0</v>
      </c>
      <c r="AK15" s="308">
        <f t="shared" si="14"/>
        <v>0</v>
      </c>
      <c r="AL15" s="246" t="s">
        <v>441</v>
      </c>
      <c r="AM15" s="234" t="s">
        <v>330</v>
      </c>
      <c r="AN15" s="102" t="s">
        <v>38</v>
      </c>
      <c r="AO15" s="241"/>
      <c r="AP15" s="48" t="s">
        <v>40</v>
      </c>
      <c r="AQ15" s="44">
        <v>6.7230889257394129</v>
      </c>
      <c r="AR15" s="45">
        <v>58.894202694161429</v>
      </c>
      <c r="AS15" s="46">
        <v>6.7230889257394129</v>
      </c>
      <c r="AT15" s="45">
        <v>58.894202694161429</v>
      </c>
      <c r="AU15" s="393">
        <v>44139.441366824096</v>
      </c>
      <c r="AV15" s="295">
        <f t="shared" si="15"/>
        <v>0</v>
      </c>
      <c r="AW15" s="295">
        <f t="shared" si="19"/>
        <v>44139.441366824096</v>
      </c>
      <c r="AX15" s="39">
        <v>26330.776834593609</v>
      </c>
      <c r="AY15" s="41">
        <v>16.282158865550922</v>
      </c>
      <c r="AZ15" s="39">
        <v>17808.664532230487</v>
      </c>
      <c r="BA15" s="47">
        <v>1.6763440609482247</v>
      </c>
      <c r="BB15" s="41">
        <f t="shared" si="20"/>
        <v>1.6763440609482247</v>
      </c>
      <c r="BC15" s="39">
        <v>10113.74660450489</v>
      </c>
      <c r="BD15" s="47">
        <v>4.364301686890534</v>
      </c>
      <c r="BE15" s="46">
        <v>5.5652471769799057</v>
      </c>
      <c r="BF15" s="45">
        <v>48.751518670135205</v>
      </c>
      <c r="BG15" s="46">
        <v>12.288336102719319</v>
      </c>
      <c r="BH15" s="45">
        <v>107.64572136429663</v>
      </c>
      <c r="BI15" s="393">
        <v>38769.383066019545</v>
      </c>
      <c r="BJ15" s="295">
        <f t="shared" si="16"/>
        <v>0</v>
      </c>
      <c r="BK15" s="295">
        <f t="shared" si="21"/>
        <v>38769.383066019545</v>
      </c>
      <c r="BL15" s="39">
        <v>21796.124231733796</v>
      </c>
      <c r="BM15" s="41">
        <v>13.478066356482078</v>
      </c>
      <c r="BN15" s="39">
        <v>16973.258834285749</v>
      </c>
      <c r="BO15" s="47">
        <v>1.778728302969284</v>
      </c>
      <c r="BP15" s="41">
        <f t="shared" si="22"/>
        <v>1.778728302969284</v>
      </c>
      <c r="BQ15" s="39">
        <v>8371.9701406776494</v>
      </c>
      <c r="BR15" s="47">
        <v>4.6308553918088204</v>
      </c>
      <c r="BS15" s="44">
        <v>6.1002020418413778</v>
      </c>
      <c r="BT15" s="45">
        <v>53.437718806914482</v>
      </c>
      <c r="BU15" s="46">
        <v>18.388538144560698</v>
      </c>
      <c r="BV15" s="45">
        <v>161.08344017121112</v>
      </c>
      <c r="BW15" s="393">
        <v>45280.674559262508</v>
      </c>
      <c r="BX15" s="295">
        <f t="shared" si="17"/>
        <v>0</v>
      </c>
      <c r="BY15" s="295">
        <f t="shared" si="23"/>
        <v>45280.674559262508</v>
      </c>
      <c r="BZ15" s="39">
        <v>23891.258970963569</v>
      </c>
      <c r="CA15" s="41">
        <v>14.773634538278193</v>
      </c>
      <c r="CB15" s="39">
        <v>21389.41558829894</v>
      </c>
      <c r="CC15" s="47">
        <v>1.8952820617069506</v>
      </c>
      <c r="CD15" s="41">
        <f t="shared" si="24"/>
        <v>1.8952820617069506</v>
      </c>
      <c r="CE15" s="39">
        <v>9176.7189708384885</v>
      </c>
      <c r="CF15" s="47">
        <v>4.9342989257003644</v>
      </c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</row>
    <row r="16" spans="1:242" s="35" customFormat="1" ht="15" customHeight="1">
      <c r="A16" s="324" t="str">
        <f t="shared" si="0"/>
        <v>BNI - Efficient Product Rebates; Half Size Commercial Hot Food Holding Cabinet; COM-Other; Retail</v>
      </c>
      <c r="B16" s="36" t="s">
        <v>41</v>
      </c>
      <c r="C16" s="15" t="s">
        <v>27</v>
      </c>
      <c r="D16" s="15" t="s">
        <v>28</v>
      </c>
      <c r="E16" s="37">
        <v>12</v>
      </c>
      <c r="F16" s="38">
        <v>2940.732</v>
      </c>
      <c r="G16" s="31">
        <v>335.70032088621048</v>
      </c>
      <c r="H16" s="32">
        <v>1500</v>
      </c>
      <c r="I16" s="33">
        <v>0.21333333333333335</v>
      </c>
      <c r="J16" s="32">
        <v>94.103424000000004</v>
      </c>
      <c r="K16" s="32">
        <v>414.10342400000002</v>
      </c>
      <c r="L16" s="32">
        <v>1180</v>
      </c>
      <c r="M16" s="32">
        <v>1594.1034239999999</v>
      </c>
      <c r="N16" s="32">
        <v>2203.990575500422</v>
      </c>
      <c r="O16" s="34">
        <v>0.82</v>
      </c>
      <c r="P16" s="34">
        <v>1.3649026497120107</v>
      </c>
      <c r="Q16" s="261">
        <f t="shared" si="1"/>
        <v>1.3649026497120107</v>
      </c>
      <c r="R16" s="262">
        <f t="shared" si="18"/>
        <v>0</v>
      </c>
      <c r="S16" s="262">
        <f t="shared" si="2"/>
        <v>0</v>
      </c>
      <c r="T16" s="261">
        <f t="shared" si="3"/>
        <v>1.3649026497120107</v>
      </c>
      <c r="U16" s="266">
        <f t="shared" si="4"/>
        <v>0</v>
      </c>
      <c r="V16" s="42" t="s">
        <v>38</v>
      </c>
      <c r="W16" s="198" t="s">
        <v>38</v>
      </c>
      <c r="X16" s="198"/>
      <c r="Y16" s="333">
        <v>0</v>
      </c>
      <c r="Z16" s="335">
        <v>0</v>
      </c>
      <c r="AA16" s="308">
        <f t="shared" si="5"/>
        <v>0</v>
      </c>
      <c r="AB16" s="308">
        <f t="shared" si="6"/>
        <v>0</v>
      </c>
      <c r="AC16" s="308">
        <f t="shared" si="7"/>
        <v>0</v>
      </c>
      <c r="AD16" s="308">
        <f t="shared" si="8"/>
        <v>0</v>
      </c>
      <c r="AE16" s="308">
        <f t="shared" si="9"/>
        <v>0</v>
      </c>
      <c r="AF16" s="308">
        <f t="shared" si="10"/>
        <v>0</v>
      </c>
      <c r="AG16" s="308" t="s">
        <v>38</v>
      </c>
      <c r="AH16" s="308">
        <f t="shared" si="11"/>
        <v>0</v>
      </c>
      <c r="AI16" s="308">
        <f t="shared" si="12"/>
        <v>0</v>
      </c>
      <c r="AJ16" s="308">
        <f t="shared" si="13"/>
        <v>0</v>
      </c>
      <c r="AK16" s="308">
        <f t="shared" si="14"/>
        <v>0</v>
      </c>
      <c r="AL16" s="246" t="s">
        <v>441</v>
      </c>
      <c r="AM16" s="234" t="s">
        <v>330</v>
      </c>
      <c r="AN16" s="102" t="s">
        <v>38</v>
      </c>
      <c r="AO16" s="241"/>
      <c r="AP16" s="48" t="s">
        <v>41</v>
      </c>
      <c r="AQ16" s="44">
        <v>4.646254613506243</v>
      </c>
      <c r="AR16" s="45">
        <v>40.701151509226008</v>
      </c>
      <c r="AS16" s="46">
        <v>4.646254613506243</v>
      </c>
      <c r="AT16" s="45">
        <v>40.701151509226008</v>
      </c>
      <c r="AU16" s="393">
        <v>30504.294283990821</v>
      </c>
      <c r="AV16" s="295">
        <f t="shared" si="15"/>
        <v>0</v>
      </c>
      <c r="AW16" s="295">
        <f t="shared" si="19"/>
        <v>30504.294283990821</v>
      </c>
      <c r="AX16" s="39">
        <v>22349.062250283649</v>
      </c>
      <c r="AY16" s="41">
        <v>16.878637910903588</v>
      </c>
      <c r="AZ16" s="39">
        <v>8155.2320337071724</v>
      </c>
      <c r="BA16" s="47">
        <v>1.3649026497120105</v>
      </c>
      <c r="BB16" s="41">
        <f t="shared" si="20"/>
        <v>1.3649026497120105</v>
      </c>
      <c r="BC16" s="39">
        <v>6989.501751361383</v>
      </c>
      <c r="BD16" s="47">
        <v>4.3643016868905331</v>
      </c>
      <c r="BE16" s="46">
        <v>3.8931218326885033</v>
      </c>
      <c r="BF16" s="45">
        <v>34.103714655567373</v>
      </c>
      <c r="BG16" s="46">
        <v>8.5393764461947459</v>
      </c>
      <c r="BH16" s="45">
        <v>74.804866164793381</v>
      </c>
      <c r="BI16" s="393">
        <v>27120.795690532475</v>
      </c>
      <c r="BJ16" s="295">
        <f t="shared" si="16"/>
        <v>0</v>
      </c>
      <c r="BK16" s="295">
        <f t="shared" si="21"/>
        <v>27120.795690532475</v>
      </c>
      <c r="BL16" s="39">
        <v>18726.39995530387</v>
      </c>
      <c r="BM16" s="41">
        <v>14.142701858388874</v>
      </c>
      <c r="BN16" s="39">
        <v>8394.3957352286052</v>
      </c>
      <c r="BO16" s="47">
        <v>1.4482653235680285</v>
      </c>
      <c r="BP16" s="41">
        <f t="shared" si="22"/>
        <v>1.4482653235680285</v>
      </c>
      <c r="BQ16" s="39">
        <v>5856.541264169995</v>
      </c>
      <c r="BR16" s="47">
        <v>4.6308553918088222</v>
      </c>
      <c r="BS16" s="44">
        <v>4.3598024424366253</v>
      </c>
      <c r="BT16" s="45">
        <v>38.191832889243415</v>
      </c>
      <c r="BU16" s="46">
        <v>12.899178888631372</v>
      </c>
      <c r="BV16" s="45">
        <v>112.9966990540368</v>
      </c>
      <c r="BW16" s="393">
        <v>32362.009353883619</v>
      </c>
      <c r="BX16" s="295">
        <f t="shared" si="17"/>
        <v>0</v>
      </c>
      <c r="BY16" s="295">
        <f t="shared" si="23"/>
        <v>32362.009353883619</v>
      </c>
      <c r="BZ16" s="39">
        <v>20971.19169959236</v>
      </c>
      <c r="CA16" s="41">
        <v>15.838031470563102</v>
      </c>
      <c r="CB16" s="39">
        <v>11390.817654291259</v>
      </c>
      <c r="CC16" s="47">
        <v>1.5431650150102187</v>
      </c>
      <c r="CD16" s="41">
        <f t="shared" si="24"/>
        <v>1.5431650150102187</v>
      </c>
      <c r="CE16" s="39">
        <v>6558.5830613799353</v>
      </c>
      <c r="CF16" s="47">
        <v>4.9342989257003635</v>
      </c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</row>
    <row r="17" spans="1:242" s="30" customFormat="1" ht="15" customHeight="1">
      <c r="A17" s="324" t="str">
        <f t="shared" si="0"/>
        <v>BNI - Efficient Product Rebates; Commercial Electric Griddle; COM-Other; Retail</v>
      </c>
      <c r="B17" s="36" t="s">
        <v>42</v>
      </c>
      <c r="C17" s="15" t="s">
        <v>27</v>
      </c>
      <c r="D17" s="15" t="s">
        <v>28</v>
      </c>
      <c r="E17" s="37">
        <v>12</v>
      </c>
      <c r="F17" s="38">
        <v>2904.1074989011004</v>
      </c>
      <c r="G17" s="26">
        <v>331.51943776894649</v>
      </c>
      <c r="H17" s="27">
        <v>600</v>
      </c>
      <c r="I17" s="28">
        <v>0.75</v>
      </c>
      <c r="J17" s="27">
        <v>92.931439964835221</v>
      </c>
      <c r="K17" s="27">
        <v>542.93143996483525</v>
      </c>
      <c r="L17" s="27">
        <v>150</v>
      </c>
      <c r="M17" s="27">
        <v>692.93143996483525</v>
      </c>
      <c r="N17" s="27">
        <v>2176.5416086260589</v>
      </c>
      <c r="O17" s="29">
        <v>0.82</v>
      </c>
      <c r="P17" s="29">
        <v>3.0512364306843627</v>
      </c>
      <c r="Q17" s="261">
        <f t="shared" si="1"/>
        <v>3.0512364306843627</v>
      </c>
      <c r="R17" s="262">
        <f t="shared" si="18"/>
        <v>0</v>
      </c>
      <c r="S17" s="262">
        <f t="shared" si="2"/>
        <v>0</v>
      </c>
      <c r="T17" s="261">
        <f t="shared" si="3"/>
        <v>3.0512364306843627</v>
      </c>
      <c r="U17" s="266">
        <f t="shared" si="4"/>
        <v>0</v>
      </c>
      <c r="V17" s="42" t="s">
        <v>38</v>
      </c>
      <c r="W17" s="198" t="s">
        <v>38</v>
      </c>
      <c r="X17" s="198"/>
      <c r="Y17" s="333">
        <v>0</v>
      </c>
      <c r="Z17" s="335">
        <v>0</v>
      </c>
      <c r="AA17" s="308">
        <f t="shared" si="5"/>
        <v>0</v>
      </c>
      <c r="AB17" s="308">
        <f t="shared" si="6"/>
        <v>0</v>
      </c>
      <c r="AC17" s="308">
        <f t="shared" si="7"/>
        <v>0</v>
      </c>
      <c r="AD17" s="308">
        <f t="shared" si="8"/>
        <v>0</v>
      </c>
      <c r="AE17" s="308">
        <f t="shared" si="9"/>
        <v>0</v>
      </c>
      <c r="AF17" s="308">
        <f t="shared" si="10"/>
        <v>0</v>
      </c>
      <c r="AG17" s="308" t="s">
        <v>38</v>
      </c>
      <c r="AH17" s="308">
        <f t="shared" si="11"/>
        <v>0</v>
      </c>
      <c r="AI17" s="308">
        <f t="shared" si="12"/>
        <v>0</v>
      </c>
      <c r="AJ17" s="308">
        <f t="shared" si="13"/>
        <v>0</v>
      </c>
      <c r="AK17" s="308">
        <f t="shared" si="14"/>
        <v>0</v>
      </c>
      <c r="AL17" s="246" t="s">
        <v>442</v>
      </c>
      <c r="AM17" s="234" t="s">
        <v>330</v>
      </c>
      <c r="AN17" s="102" t="s">
        <v>38</v>
      </c>
      <c r="AO17" s="241"/>
      <c r="AP17" s="48" t="s">
        <v>42</v>
      </c>
      <c r="AQ17" s="44">
        <v>9.7125823208126647</v>
      </c>
      <c r="AR17" s="45">
        <v>85.082139802688843</v>
      </c>
      <c r="AS17" s="46">
        <v>9.7125823208126647</v>
      </c>
      <c r="AT17" s="45">
        <v>85.082139802688843</v>
      </c>
      <c r="AU17" s="393">
        <v>63766.516047207129</v>
      </c>
      <c r="AV17" s="295">
        <f t="shared" si="15"/>
        <v>0</v>
      </c>
      <c r="AW17" s="295">
        <f t="shared" si="19"/>
        <v>63766.516047207129</v>
      </c>
      <c r="AX17" s="39">
        <v>20898.582425782366</v>
      </c>
      <c r="AY17" s="41">
        <v>35.728259754747917</v>
      </c>
      <c r="AZ17" s="39">
        <v>42867.93362142476</v>
      </c>
      <c r="BA17" s="47">
        <v>3.0512364306843622</v>
      </c>
      <c r="BB17" s="41">
        <f t="shared" si="20"/>
        <v>3.0512364306843622</v>
      </c>
      <c r="BC17" s="39">
        <v>19397.995516082956</v>
      </c>
      <c r="BD17" s="47">
        <v>3.2872734708252747</v>
      </c>
      <c r="BE17" s="46">
        <v>7.7243402132668324</v>
      </c>
      <c r="BF17" s="45">
        <v>67.665155588993855</v>
      </c>
      <c r="BG17" s="46">
        <v>17.436922534079496</v>
      </c>
      <c r="BH17" s="45">
        <v>152.74729539168271</v>
      </c>
      <c r="BI17" s="393">
        <v>53810.351119555002</v>
      </c>
      <c r="BJ17" s="295">
        <f t="shared" si="16"/>
        <v>0</v>
      </c>
      <c r="BK17" s="295">
        <f t="shared" si="21"/>
        <v>53810.351119555002</v>
      </c>
      <c r="BL17" s="39">
        <v>16620.477984091402</v>
      </c>
      <c r="BM17" s="41">
        <v>28.414403549740101</v>
      </c>
      <c r="BN17" s="39">
        <v>37189.873135463597</v>
      </c>
      <c r="BO17" s="47">
        <v>3.2375934778205884</v>
      </c>
      <c r="BP17" s="41">
        <f t="shared" si="22"/>
        <v>3.2375934778205884</v>
      </c>
      <c r="BQ17" s="39">
        <v>15427.073035002317</v>
      </c>
      <c r="BR17" s="47">
        <v>3.4880466954078253</v>
      </c>
      <c r="BS17" s="44">
        <v>7.9776443721629571</v>
      </c>
      <c r="BT17" s="45">
        <v>69.884097899899217</v>
      </c>
      <c r="BU17" s="46">
        <v>25.414566906242456</v>
      </c>
      <c r="BV17" s="45">
        <v>222.63139329158193</v>
      </c>
      <c r="BW17" s="393">
        <v>59216.582678366976</v>
      </c>
      <c r="BX17" s="295">
        <f t="shared" si="17"/>
        <v>0</v>
      </c>
      <c r="BY17" s="295">
        <f t="shared" si="23"/>
        <v>59216.582678366976</v>
      </c>
      <c r="BZ17" s="39">
        <v>17165.513039510239</v>
      </c>
      <c r="CA17" s="41">
        <v>29.346196608173759</v>
      </c>
      <c r="CB17" s="39">
        <v>42051.069638856738</v>
      </c>
      <c r="CC17" s="47">
        <v>3.4497414986704369</v>
      </c>
      <c r="CD17" s="41">
        <f t="shared" si="24"/>
        <v>3.4497414986704369</v>
      </c>
      <c r="CE17" s="39">
        <v>15932.972781966942</v>
      </c>
      <c r="CF17" s="47">
        <v>3.7166060275574404</v>
      </c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</row>
    <row r="18" spans="1:242" s="22" customFormat="1" ht="15" customHeight="1">
      <c r="A18" s="324" t="str">
        <f t="shared" si="0"/>
        <v>BNI - Efficient Product Rebates; Solid Door Commercial Refrigerator; COM-Refrigeration; Retail</v>
      </c>
      <c r="B18" s="36" t="s">
        <v>43</v>
      </c>
      <c r="C18" s="15" t="s">
        <v>44</v>
      </c>
      <c r="D18" s="15" t="s">
        <v>28</v>
      </c>
      <c r="E18" s="37">
        <v>12</v>
      </c>
      <c r="F18" s="38">
        <v>680.86114500000019</v>
      </c>
      <c r="G18" s="38">
        <v>68.983496008738072</v>
      </c>
      <c r="H18" s="39">
        <v>350</v>
      </c>
      <c r="I18" s="40">
        <v>0.24857142857142858</v>
      </c>
      <c r="J18" s="39">
        <v>21.787556640000005</v>
      </c>
      <c r="K18" s="39">
        <v>108.78755664000001</v>
      </c>
      <c r="L18" s="39">
        <v>263</v>
      </c>
      <c r="M18" s="39">
        <v>371.78755663999999</v>
      </c>
      <c r="N18" s="39">
        <v>498.76165854350609</v>
      </c>
      <c r="O18" s="41">
        <v>0.82</v>
      </c>
      <c r="P18" s="41">
        <v>1.3244852365682911</v>
      </c>
      <c r="Q18" s="261">
        <f t="shared" si="1"/>
        <v>1.3244852365682911</v>
      </c>
      <c r="R18" s="262">
        <f t="shared" si="18"/>
        <v>0</v>
      </c>
      <c r="S18" s="262">
        <f t="shared" si="2"/>
        <v>323.52201355228925</v>
      </c>
      <c r="T18" s="261">
        <f t="shared" si="3"/>
        <v>2.1836132856371959</v>
      </c>
      <c r="U18" s="266">
        <f t="shared" si="4"/>
        <v>0.64865052878572249</v>
      </c>
      <c r="V18" s="42" t="s">
        <v>45</v>
      </c>
      <c r="W18" s="199">
        <f>0.047*W3</f>
        <v>5.9220000000000002E-2</v>
      </c>
      <c r="X18" s="199"/>
      <c r="Y18" s="333">
        <v>0</v>
      </c>
      <c r="Z18" s="335">
        <f>W18*F18</f>
        <v>40.320597006900016</v>
      </c>
      <c r="AA18" s="288">
        <f t="shared" ref="AA18:AB23" si="25">Z18*0</f>
        <v>0</v>
      </c>
      <c r="AB18" s="288">
        <f t="shared" si="25"/>
        <v>0</v>
      </c>
      <c r="AC18" s="288">
        <f t="shared" ref="AC18:AE18" si="26">AB18*0</f>
        <v>0</v>
      </c>
      <c r="AD18" s="288">
        <f t="shared" si="26"/>
        <v>0</v>
      </c>
      <c r="AE18" s="288">
        <f t="shared" si="26"/>
        <v>0</v>
      </c>
      <c r="AF18" s="288">
        <f t="shared" ref="AF18:AF23" si="27">Z18*1</f>
        <v>40.320597006900016</v>
      </c>
      <c r="AG18" s="288" t="s">
        <v>38</v>
      </c>
      <c r="AH18" s="288">
        <f t="shared" ref="AH18:AH23" si="28">AF18*0</f>
        <v>0</v>
      </c>
      <c r="AI18" s="288">
        <f t="shared" ref="AI18:AJ18" si="29">AH18*0</f>
        <v>0</v>
      </c>
      <c r="AJ18" s="288">
        <f t="shared" si="29"/>
        <v>0</v>
      </c>
      <c r="AK18" s="288">
        <f t="shared" si="14"/>
        <v>40.320597006900016</v>
      </c>
      <c r="AL18" s="246" t="s">
        <v>443</v>
      </c>
      <c r="AM18" s="234" t="s">
        <v>252</v>
      </c>
      <c r="AN18" s="102" t="s">
        <v>45</v>
      </c>
      <c r="AO18" s="241"/>
      <c r="AP18" s="48" t="s">
        <v>43</v>
      </c>
      <c r="AQ18" s="44">
        <v>0.57054406927773771</v>
      </c>
      <c r="AR18" s="45">
        <v>5.6312206651891623</v>
      </c>
      <c r="AS18" s="46">
        <v>0.57054406927773771</v>
      </c>
      <c r="AT18" s="45">
        <v>5.6312206651891623</v>
      </c>
      <c r="AU18" s="393">
        <v>4125.124453377658</v>
      </c>
      <c r="AV18" s="295">
        <f t="shared" si="15"/>
        <v>2675.7641579903325</v>
      </c>
      <c r="AW18" s="295">
        <f t="shared" si="19"/>
        <v>6800.888611367991</v>
      </c>
      <c r="AX18" s="39">
        <v>3114.5114641411592</v>
      </c>
      <c r="AY18" s="41">
        <v>10.086259621440034</v>
      </c>
      <c r="AZ18" s="39">
        <v>1010.6129892364988</v>
      </c>
      <c r="BA18" s="47">
        <v>1.3244852365682911</v>
      </c>
      <c r="BB18" s="41">
        <f t="shared" si="20"/>
        <v>2.1836132856371959</v>
      </c>
      <c r="BC18" s="39">
        <v>1097.2595398531528</v>
      </c>
      <c r="BD18" s="47">
        <v>3.7594792330807416</v>
      </c>
      <c r="BE18" s="46">
        <v>0.47517032107389828</v>
      </c>
      <c r="BF18" s="45">
        <v>4.6898900113066393</v>
      </c>
      <c r="BG18" s="46">
        <v>1.0457143903516362</v>
      </c>
      <c r="BH18" s="45">
        <v>10.321110676495802</v>
      </c>
      <c r="BI18" s="393">
        <v>3639.1502732666777</v>
      </c>
      <c r="BJ18" s="295">
        <f t="shared" si="16"/>
        <v>2228.4759101603486</v>
      </c>
      <c r="BK18" s="295">
        <f t="shared" si="21"/>
        <v>5867.6261834270263</v>
      </c>
      <c r="BL18" s="39">
        <v>2593.88098500043</v>
      </c>
      <c r="BM18" s="41">
        <v>8.4002121498195805</v>
      </c>
      <c r="BN18" s="39">
        <v>1045.2692882662477</v>
      </c>
      <c r="BO18" s="47">
        <v>1.4029750379106443</v>
      </c>
      <c r="BP18" s="41">
        <f t="shared" si="22"/>
        <v>2.2621030869795491</v>
      </c>
      <c r="BQ18" s="39">
        <v>913.83855503651375</v>
      </c>
      <c r="BR18" s="47">
        <v>3.982268260854096</v>
      </c>
      <c r="BS18" s="44">
        <v>0.5262489408018286</v>
      </c>
      <c r="BT18" s="45">
        <v>5.1940315745085535</v>
      </c>
      <c r="BU18" s="46">
        <v>1.5719633311534646</v>
      </c>
      <c r="BV18" s="45">
        <v>15.515142251004356</v>
      </c>
      <c r="BW18" s="393">
        <v>4287.8790193375098</v>
      </c>
      <c r="BX18" s="295">
        <f t="shared" si="17"/>
        <v>2468.026800735081</v>
      </c>
      <c r="BY18" s="295">
        <f t="shared" si="23"/>
        <v>6755.9058200725904</v>
      </c>
      <c r="BZ18" s="39">
        <v>2872.7112371780299</v>
      </c>
      <c r="CA18" s="41">
        <v>9.3031962441646598</v>
      </c>
      <c r="CB18" s="39">
        <v>1415.1677821594799</v>
      </c>
      <c r="CC18" s="47">
        <v>1.4926244461485281</v>
      </c>
      <c r="CD18" s="41">
        <f t="shared" si="24"/>
        <v>2.3517524952174327</v>
      </c>
      <c r="CE18" s="39">
        <v>1012.0719883450982</v>
      </c>
      <c r="CF18" s="47">
        <v>4.2367332252213474</v>
      </c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</row>
    <row r="19" spans="1:242" s="22" customFormat="1" ht="15" customHeight="1">
      <c r="A19" s="324" t="str">
        <f t="shared" si="0"/>
        <v>BNI - Efficient Product Rebates; Glass Door Commercial Refrigerator; COM-Refrigeration; Retail</v>
      </c>
      <c r="B19" s="36" t="s">
        <v>46</v>
      </c>
      <c r="C19" s="15" t="s">
        <v>44</v>
      </c>
      <c r="D19" s="15" t="s">
        <v>28</v>
      </c>
      <c r="E19" s="37">
        <v>12</v>
      </c>
      <c r="F19" s="38">
        <v>698.42385000000013</v>
      </c>
      <c r="G19" s="38">
        <v>70.762914322100841</v>
      </c>
      <c r="H19" s="39">
        <v>450</v>
      </c>
      <c r="I19" s="40">
        <v>0.19333333333333333</v>
      </c>
      <c r="J19" s="39">
        <v>22.349563200000006</v>
      </c>
      <c r="K19" s="39">
        <v>109.34956320000001</v>
      </c>
      <c r="L19" s="39">
        <v>363</v>
      </c>
      <c r="M19" s="39">
        <v>472.34956320000003</v>
      </c>
      <c r="N19" s="39">
        <v>511.62713623838954</v>
      </c>
      <c r="O19" s="41">
        <v>0.82</v>
      </c>
      <c r="P19" s="41">
        <v>1.0720192154681811</v>
      </c>
      <c r="Q19" s="261">
        <f t="shared" si="1"/>
        <v>1.0720192154681811</v>
      </c>
      <c r="R19" s="262">
        <f t="shared" si="18"/>
        <v>0</v>
      </c>
      <c r="S19" s="262">
        <f t="shared" si="2"/>
        <v>331.86721246215626</v>
      </c>
      <c r="T19" s="261">
        <f t="shared" si="3"/>
        <v>1.767385046450072</v>
      </c>
      <c r="U19" s="266">
        <f t="shared" si="4"/>
        <v>0.64865052878572227</v>
      </c>
      <c r="V19" s="42" t="s">
        <v>45</v>
      </c>
      <c r="W19" s="199">
        <f>0.047*W3</f>
        <v>5.9220000000000002E-2</v>
      </c>
      <c r="X19" s="199"/>
      <c r="Y19" s="333">
        <v>0</v>
      </c>
      <c r="Z19" s="335">
        <f>W19*F19</f>
        <v>41.360660397000011</v>
      </c>
      <c r="AA19" s="288">
        <f t="shared" si="25"/>
        <v>0</v>
      </c>
      <c r="AB19" s="288">
        <f t="shared" si="25"/>
        <v>0</v>
      </c>
      <c r="AC19" s="288">
        <f t="shared" ref="AC19:AD19" si="30">AB19*0</f>
        <v>0</v>
      </c>
      <c r="AD19" s="288">
        <f t="shared" si="30"/>
        <v>0</v>
      </c>
      <c r="AE19" s="288">
        <f t="shared" ref="AE19" si="31">AD19*0</f>
        <v>0</v>
      </c>
      <c r="AF19" s="288">
        <f t="shared" si="27"/>
        <v>41.360660397000011</v>
      </c>
      <c r="AG19" s="288" t="s">
        <v>38</v>
      </c>
      <c r="AH19" s="288">
        <f t="shared" si="28"/>
        <v>0</v>
      </c>
      <c r="AI19" s="288">
        <f t="shared" ref="AI19:AJ19" si="32">AH19*0</f>
        <v>0</v>
      </c>
      <c r="AJ19" s="288">
        <f t="shared" si="32"/>
        <v>0</v>
      </c>
      <c r="AK19" s="288">
        <f t="shared" si="14"/>
        <v>41.360660397000011</v>
      </c>
      <c r="AL19" s="246" t="s">
        <v>443</v>
      </c>
      <c r="AM19" s="234" t="s">
        <v>252</v>
      </c>
      <c r="AN19" s="102" t="s">
        <v>45</v>
      </c>
      <c r="AO19" s="241"/>
      <c r="AP19" s="48" t="s">
        <v>46</v>
      </c>
      <c r="AQ19" s="44">
        <v>3.4547902434990059</v>
      </c>
      <c r="AR19" s="45">
        <v>34.098481187813498</v>
      </c>
      <c r="AS19" s="46">
        <v>3.4547902434990059</v>
      </c>
      <c r="AT19" s="45">
        <v>34.098481187813498</v>
      </c>
      <c r="AU19" s="393">
        <v>24978.683474511385</v>
      </c>
      <c r="AV19" s="295">
        <f t="shared" si="15"/>
        <v>16202.436244112996</v>
      </c>
      <c r="AW19" s="295">
        <f t="shared" si="19"/>
        <v>41181.119718624381</v>
      </c>
      <c r="AX19" s="39">
        <v>23300.593043570105</v>
      </c>
      <c r="AY19" s="41">
        <v>59.539080235697845</v>
      </c>
      <c r="AZ19" s="39">
        <v>1678.0904309412799</v>
      </c>
      <c r="BA19" s="47">
        <v>1.0720192154681811</v>
      </c>
      <c r="BB19" s="41">
        <f t="shared" si="20"/>
        <v>1.7673850464500722</v>
      </c>
      <c r="BC19" s="39">
        <v>6510.5724171033125</v>
      </c>
      <c r="BD19" s="47">
        <v>3.8366339968651966</v>
      </c>
      <c r="BE19" s="46">
        <v>2.8400549336235272</v>
      </c>
      <c r="BF19" s="45">
        <v>28.031096796324682</v>
      </c>
      <c r="BG19" s="46">
        <v>6.2948451771225331</v>
      </c>
      <c r="BH19" s="45">
        <v>62.12957798413818</v>
      </c>
      <c r="BI19" s="393">
        <v>21750.909577917599</v>
      </c>
      <c r="BJ19" s="295">
        <f t="shared" si="16"/>
        <v>13319.421947078623</v>
      </c>
      <c r="BK19" s="295">
        <f t="shared" si="21"/>
        <v>35070.331524996218</v>
      </c>
      <c r="BL19" s="39">
        <v>19154.553407191346</v>
      </c>
      <c r="BM19" s="41">
        <v>48.944869774653029</v>
      </c>
      <c r="BN19" s="39">
        <v>2596.3561707262525</v>
      </c>
      <c r="BO19" s="47">
        <v>1.1355477267223302</v>
      </c>
      <c r="BP19" s="41">
        <f t="shared" si="22"/>
        <v>1.830913557704221</v>
      </c>
      <c r="BQ19" s="39">
        <v>5352.1001307391907</v>
      </c>
      <c r="BR19" s="47">
        <v>4.0639952629050553</v>
      </c>
      <c r="BS19" s="44">
        <v>3.0873700723633011</v>
      </c>
      <c r="BT19" s="45">
        <v>30.472075846108805</v>
      </c>
      <c r="BU19" s="46">
        <v>9.3822152494858351</v>
      </c>
      <c r="BV19" s="45">
        <v>92.601653830246988</v>
      </c>
      <c r="BW19" s="393">
        <v>25155.906894646472</v>
      </c>
      <c r="BX19" s="295">
        <f t="shared" si="17"/>
        <v>14479.292007258238</v>
      </c>
      <c r="BY19" s="295">
        <f t="shared" si="23"/>
        <v>39635.198901904711</v>
      </c>
      <c r="BZ19" s="39">
        <v>20822.55319737635</v>
      </c>
      <c r="CA19" s="41">
        <v>53.207043409257473</v>
      </c>
      <c r="CB19" s="39">
        <v>4333.3536972701222</v>
      </c>
      <c r="CC19" s="47">
        <v>1.2081086625734314</v>
      </c>
      <c r="CD19" s="41">
        <f t="shared" si="24"/>
        <v>1.9034744935553225</v>
      </c>
      <c r="CE19" s="39">
        <v>5818.1669559657439</v>
      </c>
      <c r="CF19" s="47">
        <v>4.3236825421196432</v>
      </c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</row>
    <row r="20" spans="1:242" s="22" customFormat="1" ht="15" customHeight="1">
      <c r="A20" s="324" t="str">
        <f t="shared" si="0"/>
        <v>BNI - Efficient Product Rebates; Solid Door Commercial Freezer; COM-Refrigeration; Retail</v>
      </c>
      <c r="B20" s="36" t="s">
        <v>47</v>
      </c>
      <c r="C20" s="15" t="s">
        <v>44</v>
      </c>
      <c r="D20" s="15" t="s">
        <v>28</v>
      </c>
      <c r="E20" s="37">
        <v>12</v>
      </c>
      <c r="F20" s="38">
        <v>972.07529999999929</v>
      </c>
      <c r="G20" s="38">
        <v>98.488734553567156</v>
      </c>
      <c r="H20" s="39">
        <v>350</v>
      </c>
      <c r="I20" s="40">
        <v>0.49714285714285716</v>
      </c>
      <c r="J20" s="39">
        <v>31.106409599999978</v>
      </c>
      <c r="K20" s="39">
        <v>205.10640959999998</v>
      </c>
      <c r="L20" s="39">
        <v>176</v>
      </c>
      <c r="M20" s="39">
        <v>381.10640960000001</v>
      </c>
      <c r="N20" s="39">
        <v>712.08923055401533</v>
      </c>
      <c r="O20" s="41">
        <v>0.82</v>
      </c>
      <c r="P20" s="41">
        <v>1.8355907062310652</v>
      </c>
      <c r="Q20" s="261">
        <f t="shared" si="1"/>
        <v>1.8355907062310652</v>
      </c>
      <c r="R20" s="262">
        <f t="shared" si="18"/>
        <v>0</v>
      </c>
      <c r="S20" s="262">
        <f t="shared" si="2"/>
        <v>461.89705594148018</v>
      </c>
      <c r="T20" s="261">
        <f t="shared" si="3"/>
        <v>3.0262475884620033</v>
      </c>
      <c r="U20" s="266">
        <f t="shared" si="4"/>
        <v>0.64865052878572238</v>
      </c>
      <c r="V20" s="42" t="s">
        <v>45</v>
      </c>
      <c r="W20" s="199">
        <f>0.047*W3</f>
        <v>5.9220000000000002E-2</v>
      </c>
      <c r="X20" s="199"/>
      <c r="Y20" s="333">
        <v>0</v>
      </c>
      <c r="Z20" s="335">
        <f>W20*F20</f>
        <v>57.566299265999959</v>
      </c>
      <c r="AA20" s="288">
        <f t="shared" si="25"/>
        <v>0</v>
      </c>
      <c r="AB20" s="288">
        <f t="shared" si="25"/>
        <v>0</v>
      </c>
      <c r="AC20" s="288">
        <f t="shared" ref="AC20:AE20" si="33">AB20*0</f>
        <v>0</v>
      </c>
      <c r="AD20" s="288">
        <f t="shared" si="33"/>
        <v>0</v>
      </c>
      <c r="AE20" s="288">
        <f t="shared" si="33"/>
        <v>0</v>
      </c>
      <c r="AF20" s="288">
        <f t="shared" si="27"/>
        <v>57.566299265999959</v>
      </c>
      <c r="AG20" s="288" t="s">
        <v>38</v>
      </c>
      <c r="AH20" s="288">
        <f t="shared" si="28"/>
        <v>0</v>
      </c>
      <c r="AI20" s="288">
        <f t="shared" ref="AI20:AJ20" si="34">AH20*0</f>
        <v>0</v>
      </c>
      <c r="AJ20" s="288">
        <f t="shared" si="34"/>
        <v>0</v>
      </c>
      <c r="AK20" s="288">
        <f t="shared" si="14"/>
        <v>57.566299265999959</v>
      </c>
      <c r="AL20" s="246" t="s">
        <v>443</v>
      </c>
      <c r="AM20" s="234" t="s">
        <v>252</v>
      </c>
      <c r="AN20" s="102" t="s">
        <v>45</v>
      </c>
      <c r="AO20" s="241"/>
      <c r="AP20" s="48" t="s">
        <v>47</v>
      </c>
      <c r="AQ20" s="44">
        <v>0.50262130997833665</v>
      </c>
      <c r="AR20" s="45">
        <v>4.960828899856021</v>
      </c>
      <c r="AS20" s="46">
        <v>0.50262130997833665</v>
      </c>
      <c r="AT20" s="45">
        <v>4.960828899856021</v>
      </c>
      <c r="AU20" s="393">
        <v>3634.032090115445</v>
      </c>
      <c r="AV20" s="295">
        <f t="shared" si="15"/>
        <v>2357.2168368776674</v>
      </c>
      <c r="AW20" s="295">
        <f t="shared" si="19"/>
        <v>5991.248926993112</v>
      </c>
      <c r="AX20" s="39">
        <v>1979.7616526273646</v>
      </c>
      <c r="AY20" s="41">
        <v>6.2235830303350319</v>
      </c>
      <c r="AZ20" s="39">
        <v>1654.2704374880805</v>
      </c>
      <c r="BA20" s="47">
        <v>1.8355907062310652</v>
      </c>
      <c r="BB20" s="41">
        <f t="shared" si="20"/>
        <v>3.0262475884620033</v>
      </c>
      <c r="BC20" s="39">
        <v>1276.496770199506</v>
      </c>
      <c r="BD20" s="47">
        <v>2.8468791891635381</v>
      </c>
      <c r="BE20" s="46">
        <v>0.40553242869079076</v>
      </c>
      <c r="BF20" s="45">
        <v>4.0025700306355594</v>
      </c>
      <c r="BG20" s="46">
        <v>0.90815373866912741</v>
      </c>
      <c r="BH20" s="45">
        <v>8.9633989304915804</v>
      </c>
      <c r="BI20" s="393">
        <v>3105.8199202198821</v>
      </c>
      <c r="BJ20" s="295">
        <f t="shared" si="16"/>
        <v>1901.884878002935</v>
      </c>
      <c r="BK20" s="295">
        <f t="shared" si="21"/>
        <v>5007.7047982228169</v>
      </c>
      <c r="BL20" s="39">
        <v>1597.3408514125128</v>
      </c>
      <c r="BM20" s="41">
        <v>5.021404169193179</v>
      </c>
      <c r="BN20" s="39">
        <v>1508.4790688073692</v>
      </c>
      <c r="BO20" s="47">
        <v>1.9443689288190658</v>
      </c>
      <c r="BP20" s="41">
        <f t="shared" si="22"/>
        <v>3.1350258110500038</v>
      </c>
      <c r="BQ20" s="39">
        <v>1029.9221802936838</v>
      </c>
      <c r="BR20" s="47">
        <v>3.0155869828284043</v>
      </c>
      <c r="BS20" s="44">
        <v>0.42755637083635278</v>
      </c>
      <c r="BT20" s="45">
        <v>4.2199444366056724</v>
      </c>
      <c r="BU20" s="46">
        <v>1.3357101095054802</v>
      </c>
      <c r="BV20" s="45">
        <v>13.183343367097253</v>
      </c>
      <c r="BW20" s="393">
        <v>3483.7314623378234</v>
      </c>
      <c r="BX20" s="295">
        <f t="shared" si="17"/>
        <v>2005.1737879820521</v>
      </c>
      <c r="BY20" s="295">
        <f t="shared" si="23"/>
        <v>5488.9052503198754</v>
      </c>
      <c r="BZ20" s="39">
        <v>1684.0903688600454</v>
      </c>
      <c r="CA20" s="41">
        <v>5.2941101406214655</v>
      </c>
      <c r="CB20" s="39">
        <v>1799.641093477778</v>
      </c>
      <c r="CC20" s="47">
        <v>2.0686131378424477</v>
      </c>
      <c r="CD20" s="41">
        <f t="shared" si="24"/>
        <v>3.2592700200733855</v>
      </c>
      <c r="CE20" s="39">
        <v>1085.8559229698199</v>
      </c>
      <c r="CF20" s="47">
        <v>3.2082814935611395</v>
      </c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</row>
    <row r="21" spans="1:242" s="30" customFormat="1" ht="15" customHeight="1">
      <c r="A21" s="324" t="str">
        <f t="shared" si="0"/>
        <v>BNI - Efficient Product Rebates; ENERGY STAR® Ice Making Head; COM-Refrigeration; Retail</v>
      </c>
      <c r="B21" s="36" t="s">
        <v>48</v>
      </c>
      <c r="C21" s="15" t="s">
        <v>44</v>
      </c>
      <c r="D21" s="15" t="s">
        <v>28</v>
      </c>
      <c r="E21" s="37">
        <v>8</v>
      </c>
      <c r="F21" s="38">
        <v>1232.718095250003</v>
      </c>
      <c r="G21" s="26">
        <v>124.89654377850825</v>
      </c>
      <c r="H21" s="27">
        <v>250</v>
      </c>
      <c r="I21" s="28">
        <v>0.57999999999999996</v>
      </c>
      <c r="J21" s="27">
        <v>39.446979048000095</v>
      </c>
      <c r="K21" s="27">
        <v>184.44697904800009</v>
      </c>
      <c r="L21" s="27">
        <v>105</v>
      </c>
      <c r="M21" s="27">
        <v>289.44697904800012</v>
      </c>
      <c r="N21" s="27">
        <v>614.8185740244387</v>
      </c>
      <c r="O21" s="29">
        <v>0.82</v>
      </c>
      <c r="P21" s="29">
        <v>2.0624154680227962</v>
      </c>
      <c r="Q21" s="261">
        <f t="shared" si="1"/>
        <v>2.0624154680227962</v>
      </c>
      <c r="R21" s="262">
        <f t="shared" si="18"/>
        <v>0</v>
      </c>
      <c r="S21" s="262">
        <f t="shared" si="2"/>
        <v>206.43782325654087</v>
      </c>
      <c r="T21" s="261">
        <f t="shared" si="3"/>
        <v>2.7549133492795885</v>
      </c>
      <c r="U21" s="266">
        <f t="shared" si="4"/>
        <v>0.33577031010181413</v>
      </c>
      <c r="V21" s="42" t="s">
        <v>29</v>
      </c>
      <c r="W21" s="198" t="s">
        <v>29</v>
      </c>
      <c r="X21" s="209">
        <f>3322/264.172</f>
        <v>12.57514043880502</v>
      </c>
      <c r="Y21" s="333">
        <v>0</v>
      </c>
      <c r="Z21" s="334">
        <f>(X21*Z3)</f>
        <v>34.317558257498902</v>
      </c>
      <c r="AA21" s="288">
        <f t="shared" si="25"/>
        <v>0</v>
      </c>
      <c r="AB21" s="288">
        <f t="shared" si="25"/>
        <v>0</v>
      </c>
      <c r="AC21" s="288">
        <f t="shared" ref="AC21:AE21" si="35">AB21*0</f>
        <v>0</v>
      </c>
      <c r="AD21" s="288">
        <f t="shared" si="35"/>
        <v>0</v>
      </c>
      <c r="AE21" s="288">
        <f t="shared" si="35"/>
        <v>0</v>
      </c>
      <c r="AF21" s="288">
        <f t="shared" si="27"/>
        <v>34.317558257498902</v>
      </c>
      <c r="AG21" s="288" t="s">
        <v>38</v>
      </c>
      <c r="AH21" s="288">
        <f t="shared" si="28"/>
        <v>0</v>
      </c>
      <c r="AI21" s="288">
        <f t="shared" ref="AI21:AJ21" si="36">AH21*0</f>
        <v>0</v>
      </c>
      <c r="AJ21" s="288">
        <f t="shared" si="36"/>
        <v>0</v>
      </c>
      <c r="AK21" s="288">
        <f t="shared" si="14"/>
        <v>34.317558257498902</v>
      </c>
      <c r="AL21" s="246" t="s">
        <v>440</v>
      </c>
      <c r="AM21" s="234" t="s">
        <v>408</v>
      </c>
      <c r="AN21" s="102" t="s">
        <v>29</v>
      </c>
      <c r="AO21" s="246" t="s">
        <v>436</v>
      </c>
      <c r="AP21" s="48" t="s">
        <v>48</v>
      </c>
      <c r="AQ21" s="44">
        <v>4.2145934023797205</v>
      </c>
      <c r="AR21" s="45">
        <v>41.597672714212969</v>
      </c>
      <c r="AS21" s="46">
        <v>4.2145934023797205</v>
      </c>
      <c r="AT21" s="45">
        <v>41.597672714212969</v>
      </c>
      <c r="AU21" s="393">
        <v>20746.853574580604</v>
      </c>
      <c r="AV21" s="295">
        <f t="shared" si="15"/>
        <v>6966.1774583738579</v>
      </c>
      <c r="AW21" s="295">
        <f t="shared" si="19"/>
        <v>27713.031032954463</v>
      </c>
      <c r="AX21" s="39">
        <v>10059.492811344298</v>
      </c>
      <c r="AY21" s="41">
        <v>41.152043893203512</v>
      </c>
      <c r="AZ21" s="39">
        <v>10687.360763236306</v>
      </c>
      <c r="BA21" s="47">
        <v>2.0624154680227962</v>
      </c>
      <c r="BB21" s="41">
        <f t="shared" si="20"/>
        <v>2.7549133492795881</v>
      </c>
      <c r="BC21" s="39">
        <v>7590.3701777520882</v>
      </c>
      <c r="BD21" s="47">
        <v>2.7333124852581103</v>
      </c>
      <c r="BE21" s="46">
        <v>3.3414135326432364</v>
      </c>
      <c r="BF21" s="45">
        <v>32.979462848125188</v>
      </c>
      <c r="BG21" s="46">
        <v>7.5560069350229568</v>
      </c>
      <c r="BH21" s="45">
        <v>74.577135562338157</v>
      </c>
      <c r="BI21" s="393">
        <v>17673.159296787875</v>
      </c>
      <c r="BJ21" s="295">
        <f t="shared" si="16"/>
        <v>5522.9241371330527</v>
      </c>
      <c r="BK21" s="295">
        <f t="shared" si="21"/>
        <v>23196.083433920929</v>
      </c>
      <c r="BL21" s="39">
        <v>7975.3661153586145</v>
      </c>
      <c r="BM21" s="41">
        <v>32.626159449459003</v>
      </c>
      <c r="BN21" s="39">
        <v>9697.7931814292606</v>
      </c>
      <c r="BO21" s="47">
        <v>2.2159684008428995</v>
      </c>
      <c r="BP21" s="41">
        <f t="shared" si="22"/>
        <v>2.9084662820996914</v>
      </c>
      <c r="BQ21" s="39">
        <v>6017.7965483910757</v>
      </c>
      <c r="BR21" s="47">
        <v>2.9368156857202141</v>
      </c>
      <c r="BS21" s="44">
        <v>3.4924638842528228</v>
      </c>
      <c r="BT21" s="45">
        <v>34.470316766815081</v>
      </c>
      <c r="BU21" s="46">
        <v>11.04847081927578</v>
      </c>
      <c r="BV21" s="45">
        <v>109.04745232915323</v>
      </c>
      <c r="BW21" s="393">
        <v>19940.288969544257</v>
      </c>
      <c r="BX21" s="295">
        <f t="shared" si="17"/>
        <v>5772.5908200135436</v>
      </c>
      <c r="BY21" s="295">
        <f t="shared" si="23"/>
        <v>25712.879789557803</v>
      </c>
      <c r="BZ21" s="39">
        <v>8335.8967243871648</v>
      </c>
      <c r="CA21" s="41">
        <v>34.101042102673361</v>
      </c>
      <c r="CB21" s="39">
        <v>11604.392245157092</v>
      </c>
      <c r="CC21" s="47">
        <v>2.3920988501702221</v>
      </c>
      <c r="CD21" s="41">
        <f t="shared" si="24"/>
        <v>3.0845967314270144</v>
      </c>
      <c r="CE21" s="39">
        <v>6289.834198226763</v>
      </c>
      <c r="CF21" s="47">
        <v>3.1702407950857983</v>
      </c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</row>
    <row r="22" spans="1:242" s="30" customFormat="1" ht="15" customHeight="1">
      <c r="A22" s="324" t="str">
        <f t="shared" si="0"/>
        <v>BNI - Efficient Product Rebates; ENERGY STAR® Remote Condensing Head/Split System Ice Maker; COM-Refrigeration; Retail</v>
      </c>
      <c r="B22" s="36" t="s">
        <v>49</v>
      </c>
      <c r="C22" s="15" t="s">
        <v>44</v>
      </c>
      <c r="D22" s="15" t="s">
        <v>28</v>
      </c>
      <c r="E22" s="37">
        <v>8</v>
      </c>
      <c r="F22" s="38">
        <v>1447.1464702500009</v>
      </c>
      <c r="G22" s="26">
        <v>146.62199993003023</v>
      </c>
      <c r="H22" s="27">
        <v>350</v>
      </c>
      <c r="I22" s="28">
        <v>0.68571428571428572</v>
      </c>
      <c r="J22" s="27">
        <v>46.308687048000031</v>
      </c>
      <c r="K22" s="27">
        <v>286.30868704800002</v>
      </c>
      <c r="L22" s="27">
        <v>110</v>
      </c>
      <c r="M22" s="27">
        <v>396.30868704800002</v>
      </c>
      <c r="N22" s="27">
        <v>721.76479981269517</v>
      </c>
      <c r="O22" s="29">
        <v>0.82</v>
      </c>
      <c r="P22" s="29">
        <v>1.7756726987472056</v>
      </c>
      <c r="Q22" s="261">
        <f t="shared" si="1"/>
        <v>1.7756726987472056</v>
      </c>
      <c r="R22" s="262">
        <f t="shared" si="18"/>
        <v>0</v>
      </c>
      <c r="S22" s="262">
        <f t="shared" si="2"/>
        <v>163.49726459601413</v>
      </c>
      <c r="T22" s="261">
        <f t="shared" si="3"/>
        <v>2.1779057103021202</v>
      </c>
      <c r="U22" s="266">
        <f t="shared" si="4"/>
        <v>0.22652429799630475</v>
      </c>
      <c r="V22" s="42" t="s">
        <v>29</v>
      </c>
      <c r="W22" s="198" t="s">
        <v>29</v>
      </c>
      <c r="X22" s="209">
        <f>2631/264.172</f>
        <v>9.9594203776327532</v>
      </c>
      <c r="Y22" s="333">
        <v>0</v>
      </c>
      <c r="Z22" s="334">
        <f>(X22*Z3)</f>
        <v>27.179258210559784</v>
      </c>
      <c r="AA22" s="288">
        <f t="shared" si="25"/>
        <v>0</v>
      </c>
      <c r="AB22" s="288">
        <f t="shared" si="25"/>
        <v>0</v>
      </c>
      <c r="AC22" s="288">
        <f t="shared" ref="AC22:AE22" si="37">AB22*0</f>
        <v>0</v>
      </c>
      <c r="AD22" s="288">
        <f t="shared" si="37"/>
        <v>0</v>
      </c>
      <c r="AE22" s="288">
        <f t="shared" si="37"/>
        <v>0</v>
      </c>
      <c r="AF22" s="288">
        <f t="shared" si="27"/>
        <v>27.179258210559784</v>
      </c>
      <c r="AG22" s="288" t="s">
        <v>38</v>
      </c>
      <c r="AH22" s="288">
        <f t="shared" si="28"/>
        <v>0</v>
      </c>
      <c r="AI22" s="288">
        <f t="shared" ref="AI22:AJ22" si="38">AH22*0</f>
        <v>0</v>
      </c>
      <c r="AJ22" s="288">
        <f t="shared" si="38"/>
        <v>0</v>
      </c>
      <c r="AK22" s="288">
        <f t="shared" si="14"/>
        <v>27.179258210559784</v>
      </c>
      <c r="AL22" s="246" t="s">
        <v>444</v>
      </c>
      <c r="AM22" s="234" t="s">
        <v>408</v>
      </c>
      <c r="AN22" s="102" t="s">
        <v>29</v>
      </c>
      <c r="AO22" s="246" t="s">
        <v>436</v>
      </c>
      <c r="AP22" s="48" t="s">
        <v>49</v>
      </c>
      <c r="AQ22" s="44">
        <v>4.9032051933129912</v>
      </c>
      <c r="AR22" s="45">
        <v>48.394211590351389</v>
      </c>
      <c r="AS22" s="46">
        <v>4.9032051933129912</v>
      </c>
      <c r="AT22" s="45">
        <v>48.394211590351389</v>
      </c>
      <c r="AU22" s="393">
        <v>24136.629676862638</v>
      </c>
      <c r="AV22" s="295">
        <f t="shared" si="15"/>
        <v>5467.5330935480815</v>
      </c>
      <c r="AW22" s="295">
        <f t="shared" si="19"/>
        <v>29604.16277041072</v>
      </c>
      <c r="AX22" s="39">
        <v>13592.949699509265</v>
      </c>
      <c r="AY22" s="41">
        <v>40.781864462931729</v>
      </c>
      <c r="AZ22" s="39">
        <v>10543.679977353373</v>
      </c>
      <c r="BA22" s="47">
        <v>1.7756726987472058</v>
      </c>
      <c r="BB22" s="41">
        <f t="shared" si="20"/>
        <v>2.1779057103021202</v>
      </c>
      <c r="BC22" s="39">
        <v>11676.202069751474</v>
      </c>
      <c r="BD22" s="47">
        <v>2.0671644369183464</v>
      </c>
      <c r="BE22" s="46">
        <v>3.8722226807544127</v>
      </c>
      <c r="BF22" s="45">
        <v>38.218503274746524</v>
      </c>
      <c r="BG22" s="46">
        <v>8.7754278740674039</v>
      </c>
      <c r="BH22" s="45">
        <v>86.612714865097914</v>
      </c>
      <c r="BI22" s="393">
        <v>20480.676097421692</v>
      </c>
      <c r="BJ22" s="295">
        <f t="shared" si="16"/>
        <v>4317.8910157555702</v>
      </c>
      <c r="BK22" s="295">
        <f t="shared" si="21"/>
        <v>24798.567113177261</v>
      </c>
      <c r="BL22" s="39">
        <v>10734.800207133358</v>
      </c>
      <c r="BM22" s="41">
        <v>32.206781954013188</v>
      </c>
      <c r="BN22" s="39">
        <v>9745.8758902883346</v>
      </c>
      <c r="BO22" s="47">
        <v>1.9078767841260915</v>
      </c>
      <c r="BP22" s="41">
        <f t="shared" si="22"/>
        <v>2.3101097956810062</v>
      </c>
      <c r="BQ22" s="39">
        <v>9221.0814552947377</v>
      </c>
      <c r="BR22" s="47">
        <v>2.2210709445215566</v>
      </c>
      <c r="BS22" s="44">
        <v>4.0237149368093545</v>
      </c>
      <c r="BT22" s="45">
        <v>39.713718752128763</v>
      </c>
      <c r="BU22" s="46">
        <v>12.799142810876759</v>
      </c>
      <c r="BV22" s="45">
        <v>126.32643361722668</v>
      </c>
      <c r="BW22" s="393">
        <v>22973.476957862742</v>
      </c>
      <c r="BX22" s="295">
        <f t="shared" si="17"/>
        <v>4486.8190721473929</v>
      </c>
      <c r="BY22" s="295">
        <f t="shared" si="23"/>
        <v>27460.296030010133</v>
      </c>
      <c r="BZ22" s="39">
        <v>11154.77582211035</v>
      </c>
      <c r="CA22" s="41">
        <v>33.466801963382196</v>
      </c>
      <c r="CB22" s="39">
        <v>11818.701135752392</v>
      </c>
      <c r="CC22" s="47">
        <v>2.0595193775500218</v>
      </c>
      <c r="CD22" s="41">
        <f t="shared" si="24"/>
        <v>2.461752389104936</v>
      </c>
      <c r="CE22" s="39">
        <v>9581.8361298313866</v>
      </c>
      <c r="CF22" s="47">
        <v>2.3976069561802253</v>
      </c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</row>
    <row r="23" spans="1:242" s="30" customFormat="1" ht="13.5" customHeight="1">
      <c r="A23" s="324" t="str">
        <f t="shared" si="0"/>
        <v>BNI - Efficient Product Rebates; ENERGY STAR® Self Contained Ice Maker; COM-Refrigeration; Retail</v>
      </c>
      <c r="B23" s="36" t="s">
        <v>50</v>
      </c>
      <c r="C23" s="15" t="s">
        <v>44</v>
      </c>
      <c r="D23" s="15" t="s">
        <v>28</v>
      </c>
      <c r="E23" s="37">
        <v>8</v>
      </c>
      <c r="F23" s="38">
        <v>355.83561750375094</v>
      </c>
      <c r="G23" s="26">
        <v>36.052556501571026</v>
      </c>
      <c r="H23" s="27">
        <v>200</v>
      </c>
      <c r="I23" s="28">
        <v>0.25</v>
      </c>
      <c r="J23" s="27">
        <v>11.38673976012003</v>
      </c>
      <c r="K23" s="27">
        <v>61.38673976012003</v>
      </c>
      <c r="L23" s="27">
        <v>150</v>
      </c>
      <c r="M23" s="27">
        <v>211.38673976012004</v>
      </c>
      <c r="N23" s="27">
        <v>177.47313662690487</v>
      </c>
      <c r="O23" s="29">
        <v>0.82</v>
      </c>
      <c r="P23" s="29">
        <v>0.82975470228310022</v>
      </c>
      <c r="Q23" s="261">
        <f t="shared" si="1"/>
        <v>0.82975470228310022</v>
      </c>
      <c r="R23" s="262">
        <f t="shared" si="18"/>
        <v>0</v>
      </c>
      <c r="S23" s="262">
        <f t="shared" si="2"/>
        <v>219.11492016934471</v>
      </c>
      <c r="T23" s="261">
        <f t="shared" si="3"/>
        <v>1.8542006483369851</v>
      </c>
      <c r="U23" s="266">
        <f t="shared" si="4"/>
        <v>1.2346371080936145</v>
      </c>
      <c r="V23" s="42" t="s">
        <v>29</v>
      </c>
      <c r="W23" s="198" t="s">
        <v>29</v>
      </c>
      <c r="X23" s="209">
        <f>3526/264.172</f>
        <v>13.347364595793648</v>
      </c>
      <c r="Y23" s="333">
        <v>0</v>
      </c>
      <c r="Z23" s="334">
        <f>(X23*Z3)</f>
        <v>36.424957981920869</v>
      </c>
      <c r="AA23" s="288">
        <f t="shared" si="25"/>
        <v>0</v>
      </c>
      <c r="AB23" s="288">
        <f t="shared" si="25"/>
        <v>0</v>
      </c>
      <c r="AC23" s="288">
        <f t="shared" ref="AC23:AE23" si="39">AB23*0</f>
        <v>0</v>
      </c>
      <c r="AD23" s="288">
        <f t="shared" si="39"/>
        <v>0</v>
      </c>
      <c r="AE23" s="288">
        <f t="shared" si="39"/>
        <v>0</v>
      </c>
      <c r="AF23" s="288">
        <f t="shared" si="27"/>
        <v>36.424957981920869</v>
      </c>
      <c r="AG23" s="288" t="s">
        <v>38</v>
      </c>
      <c r="AH23" s="288">
        <f t="shared" si="28"/>
        <v>0</v>
      </c>
      <c r="AI23" s="288">
        <f t="shared" ref="AI23:AJ23" si="40">AH23*0</f>
        <v>0</v>
      </c>
      <c r="AJ23" s="288">
        <f t="shared" si="40"/>
        <v>0</v>
      </c>
      <c r="AK23" s="288">
        <f t="shared" si="14"/>
        <v>36.424957981920869</v>
      </c>
      <c r="AL23" s="246" t="s">
        <v>444</v>
      </c>
      <c r="AM23" s="234" t="s">
        <v>408</v>
      </c>
      <c r="AN23" s="102" t="s">
        <v>29</v>
      </c>
      <c r="AO23" s="246" t="s">
        <v>436</v>
      </c>
      <c r="AP23" s="48" t="s">
        <v>50</v>
      </c>
      <c r="AQ23" s="49">
        <v>4.2905270466968938E-2</v>
      </c>
      <c r="AR23" s="41">
        <v>0.42347131222480866</v>
      </c>
      <c r="AS23" s="41">
        <v>4.2905270466968938E-2</v>
      </c>
      <c r="AT23" s="41">
        <v>0.42347131222480866</v>
      </c>
      <c r="AU23" s="393">
        <v>211.20646263370733</v>
      </c>
      <c r="AV23" s="295">
        <f t="shared" si="15"/>
        <v>260.76333623676243</v>
      </c>
      <c r="AW23" s="295">
        <f t="shared" si="19"/>
        <v>471.96979887046973</v>
      </c>
      <c r="AX23" s="39">
        <v>254.54084448399638</v>
      </c>
      <c r="AY23" s="41">
        <v>1.451311797186817</v>
      </c>
      <c r="AZ23" s="39">
        <v>-43.334381850289049</v>
      </c>
      <c r="BA23" s="47">
        <v>0.82975470228310022</v>
      </c>
      <c r="BB23" s="41">
        <f t="shared" si="20"/>
        <v>1.8542006483369848</v>
      </c>
      <c r="BC23" s="39">
        <v>89.09129960469923</v>
      </c>
      <c r="BD23" s="47">
        <v>2.3706743932441974</v>
      </c>
      <c r="BE23" s="46">
        <v>7.2007407044826194E-2</v>
      </c>
      <c r="BF23" s="45">
        <v>0.71070688564133133</v>
      </c>
      <c r="BG23" s="46">
        <v>0.11491267751179514</v>
      </c>
      <c r="BH23" s="45">
        <v>1.13417819786614</v>
      </c>
      <c r="BI23" s="393">
        <v>380.8562941460184</v>
      </c>
      <c r="BJ23" s="295">
        <f t="shared" si="16"/>
        <v>437.63601744972141</v>
      </c>
      <c r="BK23" s="295">
        <f t="shared" si="21"/>
        <v>818.49231159573981</v>
      </c>
      <c r="BL23" s="39">
        <v>427.19288327068273</v>
      </c>
      <c r="BM23" s="41">
        <v>2.4357193927828469</v>
      </c>
      <c r="BN23" s="39">
        <v>-46.336589124664329</v>
      </c>
      <c r="BO23" s="47">
        <v>0.89153239452422239</v>
      </c>
      <c r="BP23" s="41">
        <f t="shared" si="22"/>
        <v>1.9159783405781075</v>
      </c>
      <c r="BQ23" s="39">
        <v>149.52087249343819</v>
      </c>
      <c r="BR23" s="47">
        <v>2.5471781149667416</v>
      </c>
      <c r="BS23" s="44">
        <v>0.11480029067770166</v>
      </c>
      <c r="BT23" s="45">
        <v>1.1330689495245641</v>
      </c>
      <c r="BU23" s="46">
        <v>0.22971296818949682</v>
      </c>
      <c r="BV23" s="45">
        <v>2.2672471473907043</v>
      </c>
      <c r="BW23" s="393">
        <v>655.45444298582595</v>
      </c>
      <c r="BX23" s="295">
        <f t="shared" si="17"/>
        <v>697.71630553206501</v>
      </c>
      <c r="BY23" s="295">
        <f t="shared" si="23"/>
        <v>1353.1707485178908</v>
      </c>
      <c r="BZ23" s="39">
        <v>681.06697890663122</v>
      </c>
      <c r="CA23" s="41">
        <v>3.8832295978483904</v>
      </c>
      <c r="CB23" s="39">
        <v>-25.612535920805271</v>
      </c>
      <c r="CC23" s="47">
        <v>0.96239351383336336</v>
      </c>
      <c r="CD23" s="41">
        <f t="shared" si="24"/>
        <v>1.9868394598872479</v>
      </c>
      <c r="CE23" s="39">
        <v>238.37880475191471</v>
      </c>
      <c r="CF23" s="47">
        <v>2.749633901671626</v>
      </c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</row>
    <row r="24" spans="1:242" s="35" customFormat="1" ht="15" customHeight="1">
      <c r="A24" s="324" t="str">
        <f t="shared" si="0"/>
        <v>BNI - Efficient Product Rebates; ENERGY STAR® Commercial Electric Convection Oven; COM-Other; Retail</v>
      </c>
      <c r="B24" s="36" t="s">
        <v>51</v>
      </c>
      <c r="C24" s="15" t="s">
        <v>27</v>
      </c>
      <c r="D24" s="15" t="s">
        <v>28</v>
      </c>
      <c r="E24" s="37">
        <v>12</v>
      </c>
      <c r="F24" s="38">
        <v>2102.318175824174</v>
      </c>
      <c r="G24" s="31">
        <v>239.99088874099644</v>
      </c>
      <c r="H24" s="32">
        <v>500</v>
      </c>
      <c r="I24" s="33">
        <v>0.8</v>
      </c>
      <c r="J24" s="32">
        <v>67.274181626373576</v>
      </c>
      <c r="K24" s="32">
        <v>467.27418162637355</v>
      </c>
      <c r="L24" s="32">
        <v>100</v>
      </c>
      <c r="M24" s="32">
        <v>567.27418162637355</v>
      </c>
      <c r="N24" s="32">
        <v>1575.6245200921805</v>
      </c>
      <c r="O24" s="34">
        <v>0.82</v>
      </c>
      <c r="P24" s="34">
        <v>2.7070647359823434</v>
      </c>
      <c r="Q24" s="261">
        <f t="shared" si="1"/>
        <v>2.7070647359823434</v>
      </c>
      <c r="R24" s="262">
        <f t="shared" si="18"/>
        <v>0</v>
      </c>
      <c r="S24" s="262">
        <f t="shared" si="2"/>
        <v>0</v>
      </c>
      <c r="T24" s="261">
        <f t="shared" si="3"/>
        <v>2.7070647359823434</v>
      </c>
      <c r="U24" s="266">
        <f t="shared" si="4"/>
        <v>0</v>
      </c>
      <c r="V24" s="42" t="s">
        <v>38</v>
      </c>
      <c r="W24" s="198" t="s">
        <v>38</v>
      </c>
      <c r="X24" s="198"/>
      <c r="Y24" s="333">
        <v>0</v>
      </c>
      <c r="Z24" s="335">
        <v>0</v>
      </c>
      <c r="AA24" s="308">
        <f>Z24*0.01</f>
        <v>0</v>
      </c>
      <c r="AB24" s="308">
        <f>Z24*0</f>
        <v>0</v>
      </c>
      <c r="AC24" s="308">
        <f>AA24*0</f>
        <v>0</v>
      </c>
      <c r="AD24" s="308">
        <f>AB24*0</f>
        <v>0</v>
      </c>
      <c r="AE24" s="308">
        <f>AC24*0</f>
        <v>0</v>
      </c>
      <c r="AF24" s="308">
        <f>Z24*0.99</f>
        <v>0</v>
      </c>
      <c r="AG24" s="308" t="s">
        <v>38</v>
      </c>
      <c r="AH24" s="308">
        <f>AE24*0</f>
        <v>0</v>
      </c>
      <c r="AI24" s="308">
        <f>AF24*0</f>
        <v>0</v>
      </c>
      <c r="AJ24" s="308">
        <f t="shared" ref="AJ24" si="41">AH24*0</f>
        <v>0</v>
      </c>
      <c r="AK24" s="308">
        <f t="shared" si="14"/>
        <v>0</v>
      </c>
      <c r="AL24" s="246" t="s">
        <v>445</v>
      </c>
      <c r="AM24" s="234" t="s">
        <v>330</v>
      </c>
      <c r="AN24" s="102" t="s">
        <v>38</v>
      </c>
      <c r="AO24" s="241"/>
      <c r="AP24" s="48" t="s">
        <v>51</v>
      </c>
      <c r="AQ24" s="44">
        <v>5.6073591498168476</v>
      </c>
      <c r="AR24" s="45">
        <v>49.120419199565156</v>
      </c>
      <c r="AS24" s="46">
        <v>5.6073591498168476</v>
      </c>
      <c r="AT24" s="45">
        <v>49.120419199565156</v>
      </c>
      <c r="AU24" s="393">
        <v>36814.283307853817</v>
      </c>
      <c r="AV24" s="295">
        <f t="shared" si="15"/>
        <v>0</v>
      </c>
      <c r="AW24" s="295">
        <f t="shared" si="19"/>
        <v>36814.283307853817</v>
      </c>
      <c r="AX24" s="39">
        <v>13599.336143874891</v>
      </c>
      <c r="AY24" s="41">
        <v>28.493760331919468</v>
      </c>
      <c r="AZ24" s="39">
        <v>23214.947163978926</v>
      </c>
      <c r="BA24" s="47">
        <v>2.707064735982343</v>
      </c>
      <c r="BB24" s="41">
        <f t="shared" si="20"/>
        <v>2.707064735982343</v>
      </c>
      <c r="BC24" s="39">
        <v>13314.398540555696</v>
      </c>
      <c r="BD24" s="47">
        <v>2.7649978476847754</v>
      </c>
      <c r="BE24" s="46">
        <v>4.4530006222765133</v>
      </c>
      <c r="BF24" s="45">
        <v>39.008248164252379</v>
      </c>
      <c r="BG24" s="46">
        <v>10.06035977209336</v>
      </c>
      <c r="BH24" s="45">
        <v>88.128667363817527</v>
      </c>
      <c r="BI24" s="393">
        <v>31021.099589676844</v>
      </c>
      <c r="BJ24" s="295">
        <f t="shared" si="16"/>
        <v>0</v>
      </c>
      <c r="BK24" s="295">
        <f t="shared" si="21"/>
        <v>31021.099589676844</v>
      </c>
      <c r="BL24" s="39">
        <v>10799.70993354338</v>
      </c>
      <c r="BM24" s="41">
        <v>22.627894718172204</v>
      </c>
      <c r="BN24" s="39">
        <v>20221.389656133462</v>
      </c>
      <c r="BO24" s="47">
        <v>2.8724011830472223</v>
      </c>
      <c r="BP24" s="41">
        <f t="shared" si="22"/>
        <v>2.8724011830472223</v>
      </c>
      <c r="BQ24" s="39">
        <v>10573.430986361658</v>
      </c>
      <c r="BR24" s="47">
        <v>2.933872612370573</v>
      </c>
      <c r="BS24" s="44">
        <v>4.5900950909069884</v>
      </c>
      <c r="BT24" s="45">
        <v>40.209194561504376</v>
      </c>
      <c r="BU24" s="46">
        <v>14.650454863000348</v>
      </c>
      <c r="BV24" s="45">
        <v>128.3378619253219</v>
      </c>
      <c r="BW24" s="393">
        <v>34071.429205431596</v>
      </c>
      <c r="BX24" s="295">
        <f t="shared" si="17"/>
        <v>0</v>
      </c>
      <c r="BY24" s="295">
        <f t="shared" si="23"/>
        <v>34071.429205431596</v>
      </c>
      <c r="BZ24" s="39">
        <v>11132.200454046713</v>
      </c>
      <c r="CA24" s="41">
        <v>23.3245394002087</v>
      </c>
      <c r="CB24" s="39">
        <v>22939.228751384882</v>
      </c>
      <c r="CC24" s="47">
        <v>3.060619447707317</v>
      </c>
      <c r="CD24" s="41">
        <f t="shared" si="24"/>
        <v>3.060619447707317</v>
      </c>
      <c r="CE24" s="39">
        <v>10898.955060044627</v>
      </c>
      <c r="CF24" s="47">
        <v>3.1261188818308683</v>
      </c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</row>
    <row r="25" spans="1:242" s="22" customFormat="1" ht="15" customHeight="1">
      <c r="A25" s="324" t="str">
        <f t="shared" si="0"/>
        <v>BNI - Efficient Product Rebates; Variable Speed Drive for Kitchen exhaust fans (Demand Controlled Ventilation) ; COM-Motors; Other Commercial</v>
      </c>
      <c r="B25" s="36" t="s">
        <v>52</v>
      </c>
      <c r="C25" s="15" t="s">
        <v>53</v>
      </c>
      <c r="D25" s="15" t="s">
        <v>54</v>
      </c>
      <c r="E25" s="37">
        <v>15</v>
      </c>
      <c r="F25" s="38">
        <v>19911.631434449802</v>
      </c>
      <c r="G25" s="38">
        <v>2273.019459751094</v>
      </c>
      <c r="H25" s="39">
        <v>9500</v>
      </c>
      <c r="I25" s="40">
        <v>0.5</v>
      </c>
      <c r="J25" s="39">
        <v>637.17220590239367</v>
      </c>
      <c r="K25" s="39">
        <v>5387.1722059023941</v>
      </c>
      <c r="L25" s="39">
        <v>4750</v>
      </c>
      <c r="M25" s="39">
        <v>10137.172205902394</v>
      </c>
      <c r="N25" s="39">
        <v>18096.527800036682</v>
      </c>
      <c r="O25" s="41">
        <v>0.82</v>
      </c>
      <c r="P25" s="41">
        <v>1.7608697714325492</v>
      </c>
      <c r="Q25" s="261">
        <f t="shared" si="1"/>
        <v>1.7608697714325492</v>
      </c>
      <c r="R25" s="262">
        <f t="shared" si="18"/>
        <v>0</v>
      </c>
      <c r="S25" s="262">
        <f t="shared" si="2"/>
        <v>0</v>
      </c>
      <c r="T25" s="261">
        <f t="shared" si="3"/>
        <v>1.7608697714325492</v>
      </c>
      <c r="U25" s="266">
        <f t="shared" si="4"/>
        <v>0</v>
      </c>
      <c r="V25" s="42" t="s">
        <v>38</v>
      </c>
      <c r="W25" s="198" t="s">
        <v>38</v>
      </c>
      <c r="X25" s="198"/>
      <c r="Y25" s="333">
        <v>0</v>
      </c>
      <c r="Z25" s="335">
        <v>0</v>
      </c>
      <c r="AA25" s="246">
        <f>Z25*0.006</f>
        <v>0</v>
      </c>
      <c r="AB25" s="246">
        <f>Z25*0</f>
        <v>0</v>
      </c>
      <c r="AC25" s="246">
        <f>Z25*0</f>
        <v>0</v>
      </c>
      <c r="AD25" s="246">
        <f>Z25*0.049</f>
        <v>0</v>
      </c>
      <c r="AE25" s="246">
        <f>Z25*0.002</f>
        <v>0</v>
      </c>
      <c r="AF25" s="246">
        <f>Z25*0.948</f>
        <v>0</v>
      </c>
      <c r="AG25" s="246" t="s">
        <v>38</v>
      </c>
      <c r="AH25" s="246">
        <f>Z25*0</f>
        <v>0</v>
      </c>
      <c r="AI25" s="246">
        <f>Z25*-0.005</f>
        <v>0</v>
      </c>
      <c r="AJ25" s="246">
        <f>Z25*0</f>
        <v>0</v>
      </c>
      <c r="AK25" s="246">
        <f t="shared" si="14"/>
        <v>0</v>
      </c>
      <c r="AL25" s="246" t="s">
        <v>446</v>
      </c>
      <c r="AM25" s="234" t="s">
        <v>330</v>
      </c>
      <c r="AN25" s="102" t="s">
        <v>38</v>
      </c>
      <c r="AO25" s="241"/>
      <c r="AP25" s="48" t="s">
        <v>52</v>
      </c>
      <c r="AQ25" s="44">
        <v>6.3137292534232001</v>
      </c>
      <c r="AR25" s="45">
        <v>55.308215392416045</v>
      </c>
      <c r="AS25" s="46">
        <v>6.3137292534232001</v>
      </c>
      <c r="AT25" s="45">
        <v>55.308215392416045</v>
      </c>
      <c r="AU25" s="393">
        <v>50266.431493283111</v>
      </c>
      <c r="AV25" s="295">
        <f t="shared" si="15"/>
        <v>0</v>
      </c>
      <c r="AW25" s="295">
        <f t="shared" si="19"/>
        <v>50266.431493283111</v>
      </c>
      <c r="AX25" s="39">
        <v>28546.365159297977</v>
      </c>
      <c r="AY25" s="41">
        <v>3.3874192269743935</v>
      </c>
      <c r="AZ25" s="39">
        <v>21720.066333985134</v>
      </c>
      <c r="BA25" s="47">
        <v>1.7608697714325492</v>
      </c>
      <c r="BB25" s="41">
        <f t="shared" si="20"/>
        <v>1.7608697714325492</v>
      </c>
      <c r="BC25" s="39">
        <v>18248.610709295826</v>
      </c>
      <c r="BD25" s="47">
        <v>2.7545347037118519</v>
      </c>
      <c r="BE25" s="46">
        <v>6.1793205436639163</v>
      </c>
      <c r="BF25" s="45">
        <v>54.130796220386671</v>
      </c>
      <c r="BG25" s="46">
        <v>12.493049797087115</v>
      </c>
      <c r="BH25" s="45">
        <v>109.43901161280272</v>
      </c>
      <c r="BI25" s="393">
        <v>51992.536134900431</v>
      </c>
      <c r="BJ25" s="295">
        <f t="shared" si="16"/>
        <v>0</v>
      </c>
      <c r="BK25" s="295">
        <f t="shared" si="21"/>
        <v>51992.536134900431</v>
      </c>
      <c r="BL25" s="39">
        <v>27938.66090791623</v>
      </c>
      <c r="BM25" s="41">
        <v>3.3153067512193459</v>
      </c>
      <c r="BN25" s="39">
        <v>24053.875226984201</v>
      </c>
      <c r="BO25" s="47">
        <v>1.8609530466139377</v>
      </c>
      <c r="BP25" s="41">
        <f t="shared" si="22"/>
        <v>1.8609530466139377</v>
      </c>
      <c r="BQ25" s="39">
        <v>17860.12838420942</v>
      </c>
      <c r="BR25" s="47">
        <v>2.9110953189378144</v>
      </c>
      <c r="BS25" s="44">
        <v>6.9242946442835169</v>
      </c>
      <c r="BT25" s="45">
        <v>60.656763103825739</v>
      </c>
      <c r="BU25" s="46">
        <v>19.417344441370634</v>
      </c>
      <c r="BV25" s="45">
        <v>170.09577471662845</v>
      </c>
      <c r="BW25" s="393">
        <v>61851.201189179788</v>
      </c>
      <c r="BX25" s="295">
        <f t="shared" si="17"/>
        <v>0</v>
      </c>
      <c r="BY25" s="295">
        <f t="shared" si="23"/>
        <v>61851.201189179788</v>
      </c>
      <c r="BZ25" s="39">
        <v>31306.924236435814</v>
      </c>
      <c r="CA25" s="41">
        <v>3.714997566385132</v>
      </c>
      <c r="CB25" s="39">
        <v>30544.276952743974</v>
      </c>
      <c r="CC25" s="47">
        <v>1.9756396611199432</v>
      </c>
      <c r="CD25" s="41">
        <f t="shared" si="24"/>
        <v>1.9756396611199432</v>
      </c>
      <c r="CE25" s="39">
        <v>20013.331634625014</v>
      </c>
      <c r="CF25" s="47">
        <v>3.0904999886261408</v>
      </c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</row>
    <row r="26" spans="1:242" s="22" customFormat="1" ht="15" customHeight="1">
      <c r="A26" s="324" t="str">
        <f t="shared" si="0"/>
        <v>BNI - Efficient Product Rebates; Variable Speed Drive for Kitchen exhaust fans (Demand Controlled Ventilation) ; COM-Motors; Retail</v>
      </c>
      <c r="B26" s="36" t="s">
        <v>52</v>
      </c>
      <c r="C26" s="15" t="s">
        <v>53</v>
      </c>
      <c r="D26" s="15" t="s">
        <v>28</v>
      </c>
      <c r="E26" s="37">
        <v>15</v>
      </c>
      <c r="F26" s="38">
        <v>6637.2104781499329</v>
      </c>
      <c r="G26" s="38">
        <v>757.69397269368289</v>
      </c>
      <c r="H26" s="39">
        <v>4416.666666666667</v>
      </c>
      <c r="I26" s="40">
        <v>0.34905660377358488</v>
      </c>
      <c r="J26" s="39">
        <v>212.39073530079784</v>
      </c>
      <c r="K26" s="39">
        <v>1754.0574019674646</v>
      </c>
      <c r="L26" s="39">
        <v>2875</v>
      </c>
      <c r="M26" s="39">
        <v>4629.0574019674641</v>
      </c>
      <c r="N26" s="39">
        <v>6032.2085455377264</v>
      </c>
      <c r="O26" s="41">
        <v>0.82</v>
      </c>
      <c r="P26" s="41">
        <v>1.2901244005378381</v>
      </c>
      <c r="Q26" s="261">
        <f t="shared" si="1"/>
        <v>1.2901244005378381</v>
      </c>
      <c r="R26" s="262">
        <f t="shared" si="18"/>
        <v>0</v>
      </c>
      <c r="S26" s="262">
        <f t="shared" si="2"/>
        <v>0</v>
      </c>
      <c r="T26" s="261">
        <f t="shared" si="3"/>
        <v>1.2901244005378381</v>
      </c>
      <c r="U26" s="266">
        <f t="shared" si="4"/>
        <v>0</v>
      </c>
      <c r="V26" s="42" t="s">
        <v>38</v>
      </c>
      <c r="W26" s="198" t="s">
        <v>38</v>
      </c>
      <c r="X26" s="198"/>
      <c r="Y26" s="333">
        <v>0</v>
      </c>
      <c r="Z26" s="335">
        <v>0</v>
      </c>
      <c r="AA26" s="246">
        <f>Z26*0.006</f>
        <v>0</v>
      </c>
      <c r="AB26" s="246">
        <f>Z26*0</f>
        <v>0</v>
      </c>
      <c r="AC26" s="246">
        <f>Z26*0</f>
        <v>0</v>
      </c>
      <c r="AD26" s="246">
        <f>Z26*0.049</f>
        <v>0</v>
      </c>
      <c r="AE26" s="246">
        <f>Z26*0.002</f>
        <v>0</v>
      </c>
      <c r="AF26" s="246">
        <f>Z26*0.948</f>
        <v>0</v>
      </c>
      <c r="AG26" s="246" t="s">
        <v>38</v>
      </c>
      <c r="AH26" s="246">
        <f>Z26*0</f>
        <v>0</v>
      </c>
      <c r="AI26" s="246">
        <f>Z26*-0.005</f>
        <v>0</v>
      </c>
      <c r="AJ26" s="246">
        <f>Z26*0</f>
        <v>0</v>
      </c>
      <c r="AK26" s="246">
        <f t="shared" si="14"/>
        <v>0</v>
      </c>
      <c r="AL26" s="246" t="s">
        <v>446</v>
      </c>
      <c r="AM26" s="234" t="s">
        <v>330</v>
      </c>
      <c r="AN26" s="102" t="s">
        <v>38</v>
      </c>
      <c r="AO26" s="241"/>
      <c r="AP26" s="48" t="s">
        <v>52</v>
      </c>
      <c r="AQ26" s="44">
        <v>7.7446714387332811</v>
      </c>
      <c r="AR26" s="45">
        <v>67.841392799055598</v>
      </c>
      <c r="AS26" s="46">
        <v>7.7446714387332811</v>
      </c>
      <c r="AT26" s="45">
        <v>67.841392799055598</v>
      </c>
      <c r="AU26" s="393">
        <v>61657.44339897974</v>
      </c>
      <c r="AV26" s="295">
        <f t="shared" si="15"/>
        <v>0</v>
      </c>
      <c r="AW26" s="295">
        <f t="shared" si="19"/>
        <v>61657.44339897974</v>
      </c>
      <c r="AX26" s="39">
        <v>47791.858965907057</v>
      </c>
      <c r="AY26" s="41">
        <v>12.465086970628672</v>
      </c>
      <c r="AZ26" s="39">
        <v>13865.584433072683</v>
      </c>
      <c r="BA26" s="47">
        <v>1.2901244005378381</v>
      </c>
      <c r="BB26" s="41">
        <f t="shared" si="20"/>
        <v>1.2901244005378381</v>
      </c>
      <c r="BC26" s="39">
        <v>21864.478066999422</v>
      </c>
      <c r="BD26" s="47">
        <v>2.8199824029662426</v>
      </c>
      <c r="BE26" s="46">
        <v>7.846331078767057</v>
      </c>
      <c r="BF26" s="45">
        <v>68.731905924873885</v>
      </c>
      <c r="BG26" s="46">
        <v>15.591002517500339</v>
      </c>
      <c r="BH26" s="45">
        <v>136.5732987239295</v>
      </c>
      <c r="BI26" s="393">
        <v>66017.253691891921</v>
      </c>
      <c r="BJ26" s="295">
        <f t="shared" si="16"/>
        <v>0</v>
      </c>
      <c r="BK26" s="295">
        <f t="shared" si="21"/>
        <v>66017.253691891921</v>
      </c>
      <c r="BL26" s="39">
        <v>48419.193930011592</v>
      </c>
      <c r="BM26" s="41">
        <v>12.628708663872652</v>
      </c>
      <c r="BN26" s="39">
        <v>17598.059761880329</v>
      </c>
      <c r="BO26" s="47">
        <v>1.363452142291294</v>
      </c>
      <c r="BP26" s="41">
        <f t="shared" si="22"/>
        <v>1.363452142291294</v>
      </c>
      <c r="BQ26" s="39">
        <v>22151.479909156475</v>
      </c>
      <c r="BR26" s="47">
        <v>2.9802638000995687</v>
      </c>
      <c r="BS26" s="44">
        <v>9.1293066331881594</v>
      </c>
      <c r="BT26" s="45">
        <v>79.970452224431853</v>
      </c>
      <c r="BU26" s="46">
        <v>24.7203091506885</v>
      </c>
      <c r="BV26" s="45">
        <v>216.54375094836135</v>
      </c>
      <c r="BW26" s="393">
        <v>81545.697919289116</v>
      </c>
      <c r="BX26" s="295">
        <f t="shared" si="17"/>
        <v>0</v>
      </c>
      <c r="BY26" s="295">
        <f t="shared" si="23"/>
        <v>81545.697919289116</v>
      </c>
      <c r="BZ26" s="39">
        <v>56336.351841571566</v>
      </c>
      <c r="CA26" s="41">
        <v>14.693664161799536</v>
      </c>
      <c r="CB26" s="39">
        <v>25209.34607771755</v>
      </c>
      <c r="CC26" s="47">
        <v>1.4474792075392275</v>
      </c>
      <c r="CD26" s="41">
        <f t="shared" si="24"/>
        <v>1.4474792075392275</v>
      </c>
      <c r="CE26" s="39">
        <v>25773.530385028538</v>
      </c>
      <c r="CF26" s="47">
        <v>3.1639320147874583</v>
      </c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</row>
    <row r="27" spans="1:242" s="22" customFormat="1" ht="15" customHeight="1">
      <c r="A27" s="324" t="str">
        <f t="shared" si="0"/>
        <v>BNI - Efficient Product Rebates; ENERGY STAR®, CEE Tier 2 or CEE Tier 3 Commercial Clothes Washer; COM-Other; Other Commercial</v>
      </c>
      <c r="B27" s="36" t="s">
        <v>55</v>
      </c>
      <c r="C27" s="15" t="s">
        <v>27</v>
      </c>
      <c r="D27" s="15" t="s">
        <v>54</v>
      </c>
      <c r="E27" s="37">
        <v>7</v>
      </c>
      <c r="F27" s="38">
        <v>1370.4243799999997</v>
      </c>
      <c r="G27" s="38">
        <v>156.44128880710176</v>
      </c>
      <c r="H27" s="39">
        <v>400</v>
      </c>
      <c r="I27" s="40">
        <v>0.54166666666666663</v>
      </c>
      <c r="J27" s="39">
        <v>43.853580159999993</v>
      </c>
      <c r="K27" s="39">
        <v>260.52024682666666</v>
      </c>
      <c r="L27" s="39">
        <v>183.33333333333334</v>
      </c>
      <c r="M27" s="39">
        <v>443.85358015999998</v>
      </c>
      <c r="N27" s="39">
        <v>605.55122690767632</v>
      </c>
      <c r="O27" s="41">
        <v>0.82</v>
      </c>
      <c r="P27" s="41">
        <v>1.3353428138318306</v>
      </c>
      <c r="Q27" s="261">
        <f t="shared" si="1"/>
        <v>1.3353428138318306</v>
      </c>
      <c r="R27" s="262">
        <f t="shared" si="18"/>
        <v>0</v>
      </c>
      <c r="S27" s="262">
        <f t="shared" si="2"/>
        <v>-58.029399865737275</v>
      </c>
      <c r="T27" s="261">
        <f t="shared" si="3"/>
        <v>1.2073781782098469</v>
      </c>
      <c r="U27" s="267">
        <f>(T27-Q27)/Q27</f>
        <v>-9.5829051758464165E-2</v>
      </c>
      <c r="V27" s="42" t="s">
        <v>29</v>
      </c>
      <c r="W27" s="198" t="s">
        <v>29</v>
      </c>
      <c r="X27" s="209">
        <f>3984/264.172</f>
        <v>15.081083536483805</v>
      </c>
      <c r="Y27" s="333">
        <v>0</v>
      </c>
      <c r="Z27" s="334">
        <f>((X27*Z3)-51.8526)</f>
        <v>-10.696323028935701</v>
      </c>
      <c r="AA27" s="308">
        <f>Z27*0.01</f>
        <v>-0.10696323028935702</v>
      </c>
      <c r="AB27" s="308">
        <f>Z27*0</f>
        <v>0</v>
      </c>
      <c r="AC27" s="308">
        <f>AA27*0</f>
        <v>0</v>
      </c>
      <c r="AD27" s="308">
        <f t="shared" ref="AD27:AE27" si="42">AB27*0</f>
        <v>0</v>
      </c>
      <c r="AE27" s="308">
        <f t="shared" si="42"/>
        <v>0</v>
      </c>
      <c r="AF27" s="308">
        <f>Z27*0.99</f>
        <v>-10.589359798646344</v>
      </c>
      <c r="AG27" s="308" t="s">
        <v>38</v>
      </c>
      <c r="AH27" s="308">
        <f>AE27*0</f>
        <v>0</v>
      </c>
      <c r="AI27" s="308">
        <f t="shared" ref="AI27" si="43">AF27*0</f>
        <v>0</v>
      </c>
      <c r="AJ27" s="308">
        <f t="shared" ref="AJ27" si="44">AH27*0</f>
        <v>0</v>
      </c>
      <c r="AK27" s="308">
        <f t="shared" si="14"/>
        <v>-10.696323028935701</v>
      </c>
      <c r="AL27" s="246" t="s">
        <v>447</v>
      </c>
      <c r="AM27" s="234" t="s">
        <v>409</v>
      </c>
      <c r="AN27" s="102" t="s">
        <v>29</v>
      </c>
      <c r="AO27" s="246" t="s">
        <v>436</v>
      </c>
      <c r="AP27" s="48" t="s">
        <v>55</v>
      </c>
      <c r="AQ27" s="44">
        <v>6.3916583185557414</v>
      </c>
      <c r="AR27" s="45">
        <v>55.990873350443522</v>
      </c>
      <c r="AS27" s="46">
        <v>6.3916583185557414</v>
      </c>
      <c r="AT27" s="45">
        <v>55.990873350443522</v>
      </c>
      <c r="AU27" s="393">
        <v>26859.280126549518</v>
      </c>
      <c r="AV27" s="295">
        <f t="shared" si="15"/>
        <v>-2370.8836663316956</v>
      </c>
      <c r="AW27" s="295">
        <f t="shared" si="19"/>
        <v>24488.396460217824</v>
      </c>
      <c r="AX27" s="39">
        <v>18527.647539554957</v>
      </c>
      <c r="AY27" s="41">
        <v>49.825115389726619</v>
      </c>
      <c r="AZ27" s="39">
        <v>8331.6325869945613</v>
      </c>
      <c r="BA27" s="47">
        <v>1.4496864790420496</v>
      </c>
      <c r="BB27" s="41">
        <f t="shared" si="20"/>
        <v>1.3217218434200657</v>
      </c>
      <c r="BC27" s="39">
        <v>12980.451359498726</v>
      </c>
      <c r="BD27" s="47">
        <v>2.0692100284243704</v>
      </c>
      <c r="BE27" s="46">
        <v>4.9694732128298789</v>
      </c>
      <c r="BF27" s="45">
        <v>43.532543732852673</v>
      </c>
      <c r="BG27" s="46">
        <v>11.36113153138562</v>
      </c>
      <c r="BH27" s="45">
        <v>99.523417083296195</v>
      </c>
      <c r="BI27" s="393">
        <v>22588.636605606094</v>
      </c>
      <c r="BJ27" s="295">
        <f t="shared" si="16"/>
        <v>-1843.346794112349</v>
      </c>
      <c r="BK27" s="295">
        <f t="shared" si="21"/>
        <v>20745.289811493745</v>
      </c>
      <c r="BL27" s="39">
        <v>14405.126737966257</v>
      </c>
      <c r="BM27" s="41">
        <v>38.73870659459044</v>
      </c>
      <c r="BN27" s="39">
        <v>8183.5098676398375</v>
      </c>
      <c r="BO27" s="47">
        <v>1.5680970404842964</v>
      </c>
      <c r="BP27" s="41">
        <f t="shared" si="22"/>
        <v>1.4401324048623125</v>
      </c>
      <c r="BQ27" s="39">
        <v>10092.21740376852</v>
      </c>
      <c r="BR27" s="47">
        <v>2.2382233459587688</v>
      </c>
      <c r="BS27" s="44">
        <v>5.118123029156366</v>
      </c>
      <c r="BT27" s="45">
        <v>44.83471487916384</v>
      </c>
      <c r="BU27" s="46">
        <v>16.479254560541989</v>
      </c>
      <c r="BV27" s="45">
        <v>144.35813196246005</v>
      </c>
      <c r="BW27" s="393">
        <v>25219.129744495993</v>
      </c>
      <c r="BX27" s="295">
        <f t="shared" si="17"/>
        <v>-1898.4860715841319</v>
      </c>
      <c r="BY27" s="295">
        <f t="shared" si="23"/>
        <v>23320.643672911861</v>
      </c>
      <c r="BZ27" s="39">
        <v>14836.021392600902</v>
      </c>
      <c r="CA27" s="41">
        <v>39.897481654519247</v>
      </c>
      <c r="CB27" s="39">
        <v>10383.108351895091</v>
      </c>
      <c r="CC27" s="47">
        <v>1.6998580062086868</v>
      </c>
      <c r="CD27" s="41">
        <f t="shared" si="24"/>
        <v>1.5718933705867029</v>
      </c>
      <c r="CE27" s="39">
        <v>10394.101768397759</v>
      </c>
      <c r="CF27" s="47">
        <v>2.4262923633451683</v>
      </c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</row>
    <row r="28" spans="1:242" s="30" customFormat="1" ht="15" customHeight="1">
      <c r="A28" s="324" t="str">
        <f t="shared" si="0"/>
        <v>BNI - Efficient Product Rebates; Night Covers for 3' Refrigerated Display Cases; COM-Refrigeration; Other Commercial</v>
      </c>
      <c r="B28" s="36" t="s">
        <v>56</v>
      </c>
      <c r="C28" s="15" t="s">
        <v>44</v>
      </c>
      <c r="D28" s="15" t="s">
        <v>54</v>
      </c>
      <c r="E28" s="37">
        <v>10</v>
      </c>
      <c r="F28" s="38">
        <v>133.79323500000001</v>
      </c>
      <c r="G28" s="26">
        <v>13.546647171245569</v>
      </c>
      <c r="H28" s="27">
        <v>52.859000000000002</v>
      </c>
      <c r="I28" s="28">
        <v>0.45403810136400613</v>
      </c>
      <c r="J28" s="27">
        <v>4.2813835200000003</v>
      </c>
      <c r="K28" s="27">
        <v>28.281383519999999</v>
      </c>
      <c r="L28" s="27">
        <v>28.859000000000002</v>
      </c>
      <c r="M28" s="27">
        <v>57.14038352</v>
      </c>
      <c r="N28" s="27">
        <v>83.127116615642365</v>
      </c>
      <c r="O28" s="29">
        <v>0.82</v>
      </c>
      <c r="P28" s="29">
        <v>1.4312470937332435</v>
      </c>
      <c r="Q28" s="261">
        <f t="shared" si="1"/>
        <v>1.4312470937332435</v>
      </c>
      <c r="R28" s="262">
        <f t="shared" si="18"/>
        <v>0</v>
      </c>
      <c r="S28" s="262">
        <f t="shared" si="2"/>
        <v>0</v>
      </c>
      <c r="T28" s="261">
        <f t="shared" si="3"/>
        <v>1.4312470937332435</v>
      </c>
      <c r="U28" s="267">
        <f t="shared" ref="U28:U91" si="45">(T28-Q28)/Q28</f>
        <v>0</v>
      </c>
      <c r="V28" s="42" t="s">
        <v>38</v>
      </c>
      <c r="W28" s="198" t="s">
        <v>38</v>
      </c>
      <c r="X28" s="198"/>
      <c r="Y28" s="333">
        <v>0</v>
      </c>
      <c r="Z28" s="335">
        <v>0</v>
      </c>
      <c r="AA28" s="288">
        <f>Z28*0</f>
        <v>0</v>
      </c>
      <c r="AB28" s="288">
        <f>AA28*0</f>
        <v>0</v>
      </c>
      <c r="AC28" s="288">
        <f t="shared" ref="AC28:AE28" si="46">AB28*0</f>
        <v>0</v>
      </c>
      <c r="AD28" s="288">
        <f t="shared" si="46"/>
        <v>0</v>
      </c>
      <c r="AE28" s="288">
        <f t="shared" si="46"/>
        <v>0</v>
      </c>
      <c r="AF28" s="288">
        <f t="shared" ref="AF28:AF55" si="47">Z28*1</f>
        <v>0</v>
      </c>
      <c r="AG28" s="288" t="s">
        <v>38</v>
      </c>
      <c r="AH28" s="288">
        <f t="shared" ref="AH28:AH55" si="48">AF28*0</f>
        <v>0</v>
      </c>
      <c r="AI28" s="288">
        <f t="shared" ref="AI28:AJ28" si="49">AH28*0</f>
        <v>0</v>
      </c>
      <c r="AJ28" s="288">
        <f t="shared" si="49"/>
        <v>0</v>
      </c>
      <c r="AK28" s="288">
        <f t="shared" si="14"/>
        <v>0</v>
      </c>
      <c r="AL28" s="246" t="s">
        <v>448</v>
      </c>
      <c r="AM28" s="234" t="s">
        <v>330</v>
      </c>
      <c r="AN28" s="102" t="s">
        <v>38</v>
      </c>
      <c r="AO28" s="241"/>
      <c r="AP28" s="48" t="s">
        <v>56</v>
      </c>
      <c r="AQ28" s="44">
        <v>1.5278916857674574</v>
      </c>
      <c r="AR28" s="45">
        <v>15.09019676856585</v>
      </c>
      <c r="AS28" s="46">
        <v>1.5278916857674574</v>
      </c>
      <c r="AT28" s="45">
        <v>15.09019676856585</v>
      </c>
      <c r="AU28" s="393">
        <v>9375.6948662879895</v>
      </c>
      <c r="AV28" s="295">
        <f t="shared" si="15"/>
        <v>0</v>
      </c>
      <c r="AW28" s="295">
        <f t="shared" si="19"/>
        <v>9375.6948662879895</v>
      </c>
      <c r="AX28" s="39">
        <v>6550.7171384589983</v>
      </c>
      <c r="AY28" s="41">
        <v>137.54566130384629</v>
      </c>
      <c r="AZ28" s="39">
        <v>2824.9777278289912</v>
      </c>
      <c r="BA28" s="47">
        <v>1.4312470937332433</v>
      </c>
      <c r="BB28" s="41">
        <f t="shared" si="20"/>
        <v>1.4312470937332433</v>
      </c>
      <c r="BC28" s="39">
        <v>3889.9815988461005</v>
      </c>
      <c r="BD28" s="47">
        <v>2.4102157370279427</v>
      </c>
      <c r="BE28" s="46">
        <v>1.4674865322173516</v>
      </c>
      <c r="BF28" s="45">
        <v>14.493606276322499</v>
      </c>
      <c r="BG28" s="46">
        <v>2.995378217984809</v>
      </c>
      <c r="BH28" s="45">
        <v>29.583803044888349</v>
      </c>
      <c r="BI28" s="393">
        <v>9569.5801533350968</v>
      </c>
      <c r="BJ28" s="295">
        <f t="shared" si="16"/>
        <v>0</v>
      </c>
      <c r="BK28" s="295">
        <f t="shared" si="21"/>
        <v>9569.5801533350968</v>
      </c>
      <c r="BL28" s="39">
        <v>6291.7347260943634</v>
      </c>
      <c r="BM28" s="41">
        <v>132.10779756742812</v>
      </c>
      <c r="BN28" s="39">
        <v>3277.8454272407334</v>
      </c>
      <c r="BO28" s="47">
        <v>1.5209764190543802</v>
      </c>
      <c r="BP28" s="41">
        <f t="shared" si="22"/>
        <v>1.5209764190543802</v>
      </c>
      <c r="BQ28" s="39">
        <v>3736.1912889869577</v>
      </c>
      <c r="BR28" s="47">
        <v>2.5613196469739168</v>
      </c>
      <c r="BS28" s="44">
        <v>1.6124860710795286</v>
      </c>
      <c r="BT28" s="45">
        <v>15.925691805135687</v>
      </c>
      <c r="BU28" s="46">
        <v>4.6078642890643371</v>
      </c>
      <c r="BV28" s="45">
        <v>45.509494850024033</v>
      </c>
      <c r="BW28" s="393">
        <v>11230.652949440042</v>
      </c>
      <c r="BX28" s="295">
        <f t="shared" si="17"/>
        <v>0</v>
      </c>
      <c r="BY28" s="295">
        <f t="shared" si="23"/>
        <v>11230.652949440042</v>
      </c>
      <c r="BZ28" s="39">
        <v>6913.4090065038454</v>
      </c>
      <c r="CA28" s="41">
        <v>145.16111649528983</v>
      </c>
      <c r="CB28" s="39">
        <v>4317.2439429361966</v>
      </c>
      <c r="CC28" s="47">
        <v>1.62447396629864</v>
      </c>
      <c r="CD28" s="41">
        <f t="shared" si="24"/>
        <v>1.62447396629864</v>
      </c>
      <c r="CE28" s="39">
        <v>4105.3572077946901</v>
      </c>
      <c r="CF28" s="47">
        <v>2.7356092006115365</v>
      </c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</row>
    <row r="29" spans="1:242" s="30" customFormat="1" ht="15" customHeight="1">
      <c r="A29" s="324" t="str">
        <f t="shared" si="0"/>
        <v>BNI - Efficient Product Rebates; Night Covers for 3' Refrigerated Display Cases; COM-Refrigeration; Retail</v>
      </c>
      <c r="B29" s="36" t="s">
        <v>56</v>
      </c>
      <c r="C29" s="15" t="s">
        <v>44</v>
      </c>
      <c r="D29" s="15" t="s">
        <v>28</v>
      </c>
      <c r="E29" s="37">
        <v>10</v>
      </c>
      <c r="F29" s="38">
        <v>103.2837</v>
      </c>
      <c r="G29" s="26">
        <v>10.464498905599465</v>
      </c>
      <c r="H29" s="27">
        <v>52.859000000000002</v>
      </c>
      <c r="I29" s="28">
        <v>0.45403810136400613</v>
      </c>
      <c r="J29" s="27">
        <v>3.3050783999999997</v>
      </c>
      <c r="K29" s="27">
        <v>27.305078399999999</v>
      </c>
      <c r="L29" s="27">
        <v>28.859000000000002</v>
      </c>
      <c r="M29" s="27">
        <v>56.164078400000001</v>
      </c>
      <c r="N29" s="27">
        <v>64.179007963785665</v>
      </c>
      <c r="O29" s="29">
        <v>0.82</v>
      </c>
      <c r="P29" s="29">
        <v>1.1281328515982136</v>
      </c>
      <c r="Q29" s="261">
        <f t="shared" si="1"/>
        <v>1.1281328515982136</v>
      </c>
      <c r="R29" s="262">
        <f t="shared" si="18"/>
        <v>0</v>
      </c>
      <c r="S29" s="262">
        <f t="shared" si="2"/>
        <v>0</v>
      </c>
      <c r="T29" s="261">
        <f t="shared" si="3"/>
        <v>1.1281328515982136</v>
      </c>
      <c r="U29" s="267">
        <f t="shared" si="45"/>
        <v>0</v>
      </c>
      <c r="V29" s="42" t="s">
        <v>38</v>
      </c>
      <c r="W29" s="198" t="s">
        <v>38</v>
      </c>
      <c r="X29" s="198"/>
      <c r="Y29" s="333">
        <v>0</v>
      </c>
      <c r="Z29" s="335">
        <v>0</v>
      </c>
      <c r="AA29" s="288">
        <f t="shared" ref="AA29:AA55" si="50">Z29*0</f>
        <v>0</v>
      </c>
      <c r="AB29" s="288">
        <f t="shared" ref="AB29:AB55" si="51">AA29*0</f>
        <v>0</v>
      </c>
      <c r="AC29" s="288">
        <f t="shared" ref="AC29:AE29" si="52">AB29*0</f>
        <v>0</v>
      </c>
      <c r="AD29" s="288">
        <f t="shared" si="52"/>
        <v>0</v>
      </c>
      <c r="AE29" s="288">
        <f t="shared" si="52"/>
        <v>0</v>
      </c>
      <c r="AF29" s="288">
        <f t="shared" si="47"/>
        <v>0</v>
      </c>
      <c r="AG29" s="288" t="s">
        <v>38</v>
      </c>
      <c r="AH29" s="288">
        <f t="shared" si="48"/>
        <v>0</v>
      </c>
      <c r="AI29" s="288">
        <f t="shared" ref="AI29:AJ29" si="53">AH29*0</f>
        <v>0</v>
      </c>
      <c r="AJ29" s="288">
        <f t="shared" si="53"/>
        <v>0</v>
      </c>
      <c r="AK29" s="288">
        <f t="shared" si="14"/>
        <v>0</v>
      </c>
      <c r="AL29" s="246" t="s">
        <v>448</v>
      </c>
      <c r="AM29" s="234" t="s">
        <v>330</v>
      </c>
      <c r="AN29" s="102" t="s">
        <v>38</v>
      </c>
      <c r="AO29" s="241"/>
      <c r="AP29" s="48" t="s">
        <v>56</v>
      </c>
      <c r="AQ29" s="44">
        <v>1.6859516489937258</v>
      </c>
      <c r="AR29" s="45">
        <v>16.640197098782924</v>
      </c>
      <c r="AS29" s="46">
        <v>1.6859516489937258</v>
      </c>
      <c r="AT29" s="45">
        <v>16.640197098782924</v>
      </c>
      <c r="AU29" s="393">
        <v>10339.979513918963</v>
      </c>
      <c r="AV29" s="295">
        <f t="shared" si="15"/>
        <v>0</v>
      </c>
      <c r="AW29" s="295">
        <f t="shared" si="19"/>
        <v>10339.979513918963</v>
      </c>
      <c r="AX29" s="39">
        <v>9165.5690189949073</v>
      </c>
      <c r="AY29" s="41">
        <v>196.47750120492088</v>
      </c>
      <c r="AZ29" s="39">
        <v>1174.4104949240555</v>
      </c>
      <c r="BA29" s="47">
        <v>1.1281328515982132</v>
      </c>
      <c r="BB29" s="41">
        <f t="shared" si="20"/>
        <v>1.1281328515982132</v>
      </c>
      <c r="BC29" s="39">
        <v>5364.8335742364598</v>
      </c>
      <c r="BD29" s="47">
        <v>1.9273625865254509</v>
      </c>
      <c r="BE29" s="46">
        <v>1.6167824604152363</v>
      </c>
      <c r="BF29" s="45">
        <v>15.957503184164478</v>
      </c>
      <c r="BG29" s="46">
        <v>3.3027341094089619</v>
      </c>
      <c r="BH29" s="45">
        <v>32.5977002829474</v>
      </c>
      <c r="BI29" s="393">
        <v>10537.539978145465</v>
      </c>
      <c r="BJ29" s="295">
        <f t="shared" si="16"/>
        <v>0</v>
      </c>
      <c r="BK29" s="295">
        <f t="shared" si="21"/>
        <v>10537.539978145465</v>
      </c>
      <c r="BL29" s="39">
        <v>8789.5351201091289</v>
      </c>
      <c r="BM29" s="41">
        <v>188.41665951922667</v>
      </c>
      <c r="BN29" s="39">
        <v>1748.0048580363364</v>
      </c>
      <c r="BO29" s="47">
        <v>1.1988734141396358</v>
      </c>
      <c r="BP29" s="41">
        <f t="shared" si="22"/>
        <v>1.1988734141396358</v>
      </c>
      <c r="BQ29" s="39">
        <v>5144.7316600385911</v>
      </c>
      <c r="BR29" s="47">
        <v>2.04821955243948</v>
      </c>
      <c r="BS29" s="44">
        <v>1.7743697318237786</v>
      </c>
      <c r="BT29" s="45">
        <v>17.512875936439237</v>
      </c>
      <c r="BU29" s="46">
        <v>5.0771038412327405</v>
      </c>
      <c r="BV29" s="45">
        <v>50.110576219386637</v>
      </c>
      <c r="BW29" s="393">
        <v>12351.696007474082</v>
      </c>
      <c r="BX29" s="295">
        <f t="shared" si="17"/>
        <v>0</v>
      </c>
      <c r="BY29" s="295">
        <f t="shared" si="23"/>
        <v>12351.696007474082</v>
      </c>
      <c r="BZ29" s="39">
        <v>9646.2483084571832</v>
      </c>
      <c r="CA29" s="41">
        <v>206.78157130452738</v>
      </c>
      <c r="CB29" s="39">
        <v>2705.4476990168987</v>
      </c>
      <c r="CC29" s="47">
        <v>1.2804663131722354</v>
      </c>
      <c r="CD29" s="41">
        <f t="shared" si="24"/>
        <v>1.2804663131722354</v>
      </c>
      <c r="CE29" s="39">
        <v>5646.1870161453098</v>
      </c>
      <c r="CF29" s="47">
        <v>2.187617231266751</v>
      </c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</row>
    <row r="30" spans="1:242" s="30" customFormat="1" ht="15" customHeight="1">
      <c r="A30" s="324" t="str">
        <f t="shared" si="0"/>
        <v>BNI - Efficient Product Rebates; Night Covers for 3' Refrigerated Display Cases; COM-Refrigeration; School</v>
      </c>
      <c r="B30" s="36" t="s">
        <v>56</v>
      </c>
      <c r="C30" s="15" t="s">
        <v>44</v>
      </c>
      <c r="D30" s="15" t="s">
        <v>57</v>
      </c>
      <c r="E30" s="37">
        <v>10</v>
      </c>
      <c r="F30" s="38">
        <v>144.56360999999998</v>
      </c>
      <c r="G30" s="26">
        <v>14.615371209297102</v>
      </c>
      <c r="H30" s="27">
        <v>52.859000000000002</v>
      </c>
      <c r="I30" s="28">
        <v>0.45403810136400613</v>
      </c>
      <c r="J30" s="27">
        <v>4.6260355199999994</v>
      </c>
      <c r="K30" s="27">
        <v>28.626035519999999</v>
      </c>
      <c r="L30" s="27">
        <v>28.859000000000002</v>
      </c>
      <c r="M30" s="27">
        <v>57.485035519999997</v>
      </c>
      <c r="N30" s="27">
        <v>89.794515111205754</v>
      </c>
      <c r="O30" s="29">
        <v>0.82</v>
      </c>
      <c r="P30" s="29">
        <v>1.534935680523551</v>
      </c>
      <c r="Q30" s="261">
        <f t="shared" si="1"/>
        <v>1.534935680523551</v>
      </c>
      <c r="R30" s="262">
        <f t="shared" si="18"/>
        <v>0</v>
      </c>
      <c r="S30" s="262">
        <f t="shared" si="2"/>
        <v>0</v>
      </c>
      <c r="T30" s="261">
        <f t="shared" si="3"/>
        <v>1.534935680523551</v>
      </c>
      <c r="U30" s="267">
        <f t="shared" si="45"/>
        <v>0</v>
      </c>
      <c r="V30" s="42" t="s">
        <v>38</v>
      </c>
      <c r="W30" s="198" t="s">
        <v>38</v>
      </c>
      <c r="X30" s="198"/>
      <c r="Y30" s="333">
        <v>0</v>
      </c>
      <c r="Z30" s="335">
        <v>0</v>
      </c>
      <c r="AA30" s="288">
        <f t="shared" si="50"/>
        <v>0</v>
      </c>
      <c r="AB30" s="288">
        <f t="shared" si="51"/>
        <v>0</v>
      </c>
      <c r="AC30" s="288">
        <f t="shared" ref="AC30:AE30" si="54">AB30*0</f>
        <v>0</v>
      </c>
      <c r="AD30" s="288">
        <f t="shared" si="54"/>
        <v>0</v>
      </c>
      <c r="AE30" s="288">
        <f t="shared" si="54"/>
        <v>0</v>
      </c>
      <c r="AF30" s="288">
        <f t="shared" si="47"/>
        <v>0</v>
      </c>
      <c r="AG30" s="288" t="s">
        <v>38</v>
      </c>
      <c r="AH30" s="288">
        <f t="shared" si="48"/>
        <v>0</v>
      </c>
      <c r="AI30" s="288">
        <f t="shared" ref="AI30:AJ30" si="55">AH30*0</f>
        <v>0</v>
      </c>
      <c r="AJ30" s="288">
        <f t="shared" si="55"/>
        <v>0</v>
      </c>
      <c r="AK30" s="288">
        <f t="shared" si="14"/>
        <v>0</v>
      </c>
      <c r="AL30" s="246" t="s">
        <v>448</v>
      </c>
      <c r="AM30" s="234" t="s">
        <v>330</v>
      </c>
      <c r="AN30" s="102" t="s">
        <v>38</v>
      </c>
      <c r="AO30" s="241"/>
      <c r="AP30" s="48" t="s">
        <v>56</v>
      </c>
      <c r="AQ30" s="44">
        <v>1.880625562966703</v>
      </c>
      <c r="AR30" s="45">
        <v>18.601650040048757</v>
      </c>
      <c r="AS30" s="46">
        <v>1.880625562966703</v>
      </c>
      <c r="AT30" s="45">
        <v>18.601650040048757</v>
      </c>
      <c r="AU30" s="393">
        <v>11554.264213618622</v>
      </c>
      <c r="AV30" s="295">
        <f t="shared" si="15"/>
        <v>0</v>
      </c>
      <c r="AW30" s="295">
        <f t="shared" si="19"/>
        <v>11554.264213618622</v>
      </c>
      <c r="AX30" s="39">
        <v>7527.523374580478</v>
      </c>
      <c r="AY30" s="41">
        <v>156.92012030711044</v>
      </c>
      <c r="AZ30" s="39">
        <v>4026.7408390381443</v>
      </c>
      <c r="BA30" s="47">
        <v>1.5349356805235508</v>
      </c>
      <c r="BB30" s="41">
        <f t="shared" si="20"/>
        <v>1.5349356805235508</v>
      </c>
      <c r="BC30" s="39">
        <v>4492.0009377140168</v>
      </c>
      <c r="BD30" s="47">
        <v>2.5721865097157788</v>
      </c>
      <c r="BE30" s="46">
        <v>1.8060801284723074</v>
      </c>
      <c r="BF30" s="45">
        <v>17.864305981851096</v>
      </c>
      <c r="BG30" s="46">
        <v>3.6867056914390108</v>
      </c>
      <c r="BH30" s="45">
        <v>36.465956021899856</v>
      </c>
      <c r="BI30" s="393">
        <v>11791.611462819221</v>
      </c>
      <c r="BJ30" s="295">
        <f t="shared" si="16"/>
        <v>0</v>
      </c>
      <c r="BK30" s="295">
        <f t="shared" si="21"/>
        <v>11791.611462819221</v>
      </c>
      <c r="BL30" s="39">
        <v>7229.1426061410575</v>
      </c>
      <c r="BM30" s="41">
        <v>150.70002058095696</v>
      </c>
      <c r="BN30" s="39">
        <v>4562.4688566781633</v>
      </c>
      <c r="BO30" s="47">
        <v>1.6311217118337669</v>
      </c>
      <c r="BP30" s="41">
        <f t="shared" si="22"/>
        <v>1.6311217118337669</v>
      </c>
      <c r="BQ30" s="39">
        <v>4313.9441420152052</v>
      </c>
      <c r="BR30" s="47">
        <v>2.733371382345001</v>
      </c>
      <c r="BS30" s="44">
        <v>1.9840324156987217</v>
      </c>
      <c r="BT30" s="45">
        <v>19.624468257636671</v>
      </c>
      <c r="BU30" s="46">
        <v>5.6707381071377325</v>
      </c>
      <c r="BV30" s="45">
        <v>56.090424279536528</v>
      </c>
      <c r="BW30" s="393">
        <v>13834.548831955633</v>
      </c>
      <c r="BX30" s="295">
        <f t="shared" si="17"/>
        <v>0</v>
      </c>
      <c r="BY30" s="295">
        <f t="shared" si="23"/>
        <v>13834.548831955633</v>
      </c>
      <c r="BZ30" s="39">
        <v>7941.4268736928389</v>
      </c>
      <c r="CA30" s="41">
        <v>165.54842787179675</v>
      </c>
      <c r="CB30" s="39">
        <v>5893.1219582627946</v>
      </c>
      <c r="CC30" s="47">
        <v>1.742073439948763</v>
      </c>
      <c r="CD30" s="41">
        <f t="shared" si="24"/>
        <v>1.742073439948763</v>
      </c>
      <c r="CE30" s="39">
        <v>4738.9951765382111</v>
      </c>
      <c r="CF30" s="47">
        <v>2.9193000449647291</v>
      </c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</row>
    <row r="31" spans="1:242" s="22" customFormat="1" ht="15" customHeight="1">
      <c r="A31" s="324" t="str">
        <f t="shared" si="0"/>
        <v>BNI - Efficient Product Rebates; Zero Energy Doors for Reach-In Coolers and Freezers; COM-Refrigeration; Other Commercial</v>
      </c>
      <c r="B31" s="233" t="s">
        <v>58</v>
      </c>
      <c r="C31" s="15" t="s">
        <v>44</v>
      </c>
      <c r="D31" s="15" t="s">
        <v>54</v>
      </c>
      <c r="E31" s="37">
        <v>10</v>
      </c>
      <c r="F31" s="38">
        <v>1617.4025999999999</v>
      </c>
      <c r="G31" s="38">
        <v>163.76300607467354</v>
      </c>
      <c r="H31" s="39">
        <v>618.125</v>
      </c>
      <c r="I31" s="40">
        <v>0.19413549039433772</v>
      </c>
      <c r="J31" s="39">
        <v>51.756883199999997</v>
      </c>
      <c r="K31" s="39">
        <v>171.7568832</v>
      </c>
      <c r="L31" s="39">
        <v>498.125</v>
      </c>
      <c r="M31" s="39">
        <v>669.88188319999995</v>
      </c>
      <c r="N31" s="39">
        <v>1004.9089144502947</v>
      </c>
      <c r="O31" s="41">
        <v>0.82</v>
      </c>
      <c r="P31" s="41">
        <v>1.4751104860144455</v>
      </c>
      <c r="Q31" s="261">
        <f t="shared" si="1"/>
        <v>1.4751104860144455</v>
      </c>
      <c r="R31" s="262">
        <f t="shared" si="18"/>
        <v>0</v>
      </c>
      <c r="S31" s="262">
        <f t="shared" si="2"/>
        <v>0</v>
      </c>
      <c r="T31" s="261">
        <f t="shared" si="3"/>
        <v>1.4751104860144455</v>
      </c>
      <c r="U31" s="267">
        <f t="shared" si="45"/>
        <v>0</v>
      </c>
      <c r="V31" s="183" t="s">
        <v>38</v>
      </c>
      <c r="W31" s="200" t="s">
        <v>38</v>
      </c>
      <c r="X31" s="200"/>
      <c r="Y31" s="333">
        <v>0</v>
      </c>
      <c r="Z31" s="336">
        <v>0</v>
      </c>
      <c r="AA31" s="288">
        <f t="shared" si="50"/>
        <v>0</v>
      </c>
      <c r="AB31" s="288">
        <f t="shared" si="51"/>
        <v>0</v>
      </c>
      <c r="AC31" s="288">
        <f t="shared" ref="AC31:AE31" si="56">AB31*0</f>
        <v>0</v>
      </c>
      <c r="AD31" s="288">
        <f t="shared" si="56"/>
        <v>0</v>
      </c>
      <c r="AE31" s="288">
        <f t="shared" si="56"/>
        <v>0</v>
      </c>
      <c r="AF31" s="288">
        <f t="shared" si="47"/>
        <v>0</v>
      </c>
      <c r="AG31" s="288" t="s">
        <v>38</v>
      </c>
      <c r="AH31" s="288">
        <f t="shared" si="48"/>
        <v>0</v>
      </c>
      <c r="AI31" s="288">
        <f t="shared" ref="AI31:AJ31" si="57">AH31*0</f>
        <v>0</v>
      </c>
      <c r="AJ31" s="288">
        <f t="shared" si="57"/>
        <v>0</v>
      </c>
      <c r="AK31" s="288">
        <f t="shared" si="14"/>
        <v>0</v>
      </c>
      <c r="AL31" s="451" t="s">
        <v>449</v>
      </c>
      <c r="AM31" s="181" t="s">
        <v>267</v>
      </c>
      <c r="AN31" s="181"/>
      <c r="AO31" s="452" t="s">
        <v>428</v>
      </c>
      <c r="AP31" s="43" t="s">
        <v>58</v>
      </c>
      <c r="AQ31" s="44">
        <v>2.2973097799435567</v>
      </c>
      <c r="AR31" s="45">
        <v>22.689341751529906</v>
      </c>
      <c r="AS31" s="46">
        <v>2.2973097799435567</v>
      </c>
      <c r="AT31" s="45">
        <v>22.689341751529906</v>
      </c>
      <c r="AU31" s="393">
        <v>14097.122008534958</v>
      </c>
      <c r="AV31" s="295">
        <f t="shared" si="15"/>
        <v>0</v>
      </c>
      <c r="AW31" s="295">
        <f t="shared" si="19"/>
        <v>14097.122008534958</v>
      </c>
      <c r="AX31" s="39">
        <v>9556.6550046183511</v>
      </c>
      <c r="AY31" s="41">
        <v>17.107632302112272</v>
      </c>
      <c r="AZ31" s="39">
        <v>4540.4670039166067</v>
      </c>
      <c r="BA31" s="47">
        <v>1.4751104860144455</v>
      </c>
      <c r="BB31" s="41">
        <f t="shared" si="20"/>
        <v>1.4751104860144455</v>
      </c>
      <c r="BC31" s="39">
        <v>2938.3536031424446</v>
      </c>
      <c r="BD31" s="47">
        <v>4.7976261241869196</v>
      </c>
      <c r="BE31" s="46">
        <v>2.4435753159547171</v>
      </c>
      <c r="BF31" s="45">
        <v>24.133930880084204</v>
      </c>
      <c r="BG31" s="46">
        <v>4.7408850958982738</v>
      </c>
      <c r="BH31" s="45">
        <v>46.82327263161411</v>
      </c>
      <c r="BI31" s="393">
        <v>15934.721943517208</v>
      </c>
      <c r="BJ31" s="295">
        <f t="shared" si="16"/>
        <v>0</v>
      </c>
      <c r="BK31" s="295">
        <f t="shared" si="21"/>
        <v>15934.721943517208</v>
      </c>
      <c r="BL31" s="39">
        <v>10165.109849902034</v>
      </c>
      <c r="BM31" s="41">
        <v>18.196844140409404</v>
      </c>
      <c r="BN31" s="39">
        <v>5769.6120936151747</v>
      </c>
      <c r="BO31" s="47">
        <v>1.567589743623949</v>
      </c>
      <c r="BP31" s="41">
        <f t="shared" si="22"/>
        <v>1.567589743623949</v>
      </c>
      <c r="BQ31" s="39">
        <v>3125.4332336329026</v>
      </c>
      <c r="BR31" s="47">
        <v>5.0984042058691497</v>
      </c>
      <c r="BS31" s="44">
        <v>2.985339837598973</v>
      </c>
      <c r="BT31" s="45">
        <v>29.484659148320915</v>
      </c>
      <c r="BU31" s="46">
        <v>7.7262249334972459</v>
      </c>
      <c r="BV31" s="45">
        <v>76.307931779935018</v>
      </c>
      <c r="BW31" s="393">
        <v>20792.313343684185</v>
      </c>
      <c r="BX31" s="295">
        <f t="shared" si="17"/>
        <v>0</v>
      </c>
      <c r="BY31" s="295">
        <f t="shared" si="23"/>
        <v>20792.313343684185</v>
      </c>
      <c r="BZ31" s="39">
        <v>12418.81401827216</v>
      </c>
      <c r="CA31" s="41">
        <v>22.231262272232879</v>
      </c>
      <c r="CB31" s="39">
        <v>8373.4993254120254</v>
      </c>
      <c r="CC31" s="47">
        <v>1.6742591774940709</v>
      </c>
      <c r="CD31" s="41">
        <f t="shared" si="24"/>
        <v>1.6742591774940709</v>
      </c>
      <c r="CE31" s="39">
        <v>3818.3723174804691</v>
      </c>
      <c r="CF31" s="47">
        <v>5.4453341934460369</v>
      </c>
    </row>
    <row r="32" spans="1:242" s="22" customFormat="1" ht="15" customHeight="1">
      <c r="A32" s="324" t="str">
        <f t="shared" si="0"/>
        <v>BNI - Efficient Product Rebates; Zero Energy Doors for Reach-In Coolers and Freezers; COM-Refrigeration; Retail</v>
      </c>
      <c r="B32" s="233" t="s">
        <v>58</v>
      </c>
      <c r="C32" s="15" t="s">
        <v>44</v>
      </c>
      <c r="D32" s="15" t="s">
        <v>28</v>
      </c>
      <c r="E32" s="37">
        <v>10</v>
      </c>
      <c r="F32" s="38">
        <v>1617.4025999999999</v>
      </c>
      <c r="G32" s="38">
        <v>163.87201211433873</v>
      </c>
      <c r="H32" s="39">
        <v>618.125</v>
      </c>
      <c r="I32" s="40">
        <v>0.19413549039433772</v>
      </c>
      <c r="J32" s="39">
        <v>51.756883199999997</v>
      </c>
      <c r="K32" s="39">
        <v>171.7568832</v>
      </c>
      <c r="L32" s="39">
        <v>498.125</v>
      </c>
      <c r="M32" s="39">
        <v>669.88188319999995</v>
      </c>
      <c r="N32" s="39">
        <v>1005.0307487633347</v>
      </c>
      <c r="O32" s="41">
        <v>0.82</v>
      </c>
      <c r="P32" s="41">
        <v>1.4752893271712284</v>
      </c>
      <c r="Q32" s="261">
        <f t="shared" si="1"/>
        <v>1.4752893271712284</v>
      </c>
      <c r="R32" s="262">
        <f t="shared" si="18"/>
        <v>0</v>
      </c>
      <c r="S32" s="262">
        <f t="shared" si="2"/>
        <v>0</v>
      </c>
      <c r="T32" s="261">
        <f t="shared" si="3"/>
        <v>1.4752893271712284</v>
      </c>
      <c r="U32" s="267">
        <f t="shared" si="45"/>
        <v>0</v>
      </c>
      <c r="V32" s="183" t="s">
        <v>38</v>
      </c>
      <c r="W32" s="200" t="s">
        <v>38</v>
      </c>
      <c r="X32" s="200"/>
      <c r="Y32" s="333">
        <v>0</v>
      </c>
      <c r="Z32" s="336">
        <v>0</v>
      </c>
      <c r="AA32" s="288">
        <f t="shared" si="50"/>
        <v>0</v>
      </c>
      <c r="AB32" s="288">
        <f t="shared" si="51"/>
        <v>0</v>
      </c>
      <c r="AC32" s="288">
        <f t="shared" ref="AC32:AE32" si="58">AB32*0</f>
        <v>0</v>
      </c>
      <c r="AD32" s="288">
        <f t="shared" si="58"/>
        <v>0</v>
      </c>
      <c r="AE32" s="288">
        <f t="shared" si="58"/>
        <v>0</v>
      </c>
      <c r="AF32" s="288">
        <f t="shared" si="47"/>
        <v>0</v>
      </c>
      <c r="AG32" s="288" t="s">
        <v>38</v>
      </c>
      <c r="AH32" s="288">
        <f t="shared" si="48"/>
        <v>0</v>
      </c>
      <c r="AI32" s="288">
        <f t="shared" ref="AI32:AJ32" si="59">AH32*0</f>
        <v>0</v>
      </c>
      <c r="AJ32" s="288">
        <f t="shared" si="59"/>
        <v>0</v>
      </c>
      <c r="AK32" s="288">
        <f t="shared" si="14"/>
        <v>0</v>
      </c>
      <c r="AL32" s="451" t="s">
        <v>449</v>
      </c>
      <c r="AM32" s="181" t="s">
        <v>267</v>
      </c>
      <c r="AN32" s="181"/>
      <c r="AO32" s="452" t="s">
        <v>428</v>
      </c>
      <c r="AP32" s="43" t="s">
        <v>58</v>
      </c>
      <c r="AQ32" s="44">
        <v>3.2890460181062737</v>
      </c>
      <c r="AR32" s="45">
        <v>32.462600004526713</v>
      </c>
      <c r="AS32" s="46">
        <v>3.2890460181062737</v>
      </c>
      <c r="AT32" s="45">
        <v>32.462600004526713</v>
      </c>
      <c r="AU32" s="393">
        <v>20171.793460301178</v>
      </c>
      <c r="AV32" s="295">
        <f t="shared" si="15"/>
        <v>0</v>
      </c>
      <c r="AW32" s="295">
        <f t="shared" si="19"/>
        <v>20171.793460301178</v>
      </c>
      <c r="AX32" s="39">
        <v>13673.110141031986</v>
      </c>
      <c r="AY32" s="41">
        <v>24.476612434582609</v>
      </c>
      <c r="AZ32" s="39">
        <v>6498.683319269192</v>
      </c>
      <c r="BA32" s="47">
        <v>1.4752893271712284</v>
      </c>
      <c r="BB32" s="41">
        <f t="shared" si="20"/>
        <v>1.4752893271712284</v>
      </c>
      <c r="BC32" s="39">
        <v>4204.0266630582728</v>
      </c>
      <c r="BD32" s="47">
        <v>4.7982077843500042</v>
      </c>
      <c r="BE32" s="46">
        <v>3.4984535969202684</v>
      </c>
      <c r="BF32" s="45">
        <v>34.529434713294066</v>
      </c>
      <c r="BG32" s="46">
        <v>6.787499615026543</v>
      </c>
      <c r="BH32" s="45">
        <v>66.992034717820786</v>
      </c>
      <c r="BI32" s="393">
        <v>22801.518164519246</v>
      </c>
      <c r="BJ32" s="295">
        <f t="shared" si="16"/>
        <v>0</v>
      </c>
      <c r="BK32" s="295">
        <f t="shared" si="21"/>
        <v>22801.518164519246</v>
      </c>
      <c r="BL32" s="39">
        <v>14543.652199041606</v>
      </c>
      <c r="BM32" s="41">
        <v>26.034993837359576</v>
      </c>
      <c r="BN32" s="39">
        <v>8257.8659654776402</v>
      </c>
      <c r="BO32" s="47">
        <v>1.567798641803454</v>
      </c>
      <c r="BP32" s="41">
        <f t="shared" si="22"/>
        <v>1.567798641803454</v>
      </c>
      <c r="BQ32" s="39">
        <v>4471.6893956360882</v>
      </c>
      <c r="BR32" s="47">
        <v>5.0990836230197916</v>
      </c>
      <c r="BS32" s="44">
        <v>4.2740949397735042</v>
      </c>
      <c r="BT32" s="45">
        <v>42.184947746984001</v>
      </c>
      <c r="BU32" s="46">
        <v>11.061594554800047</v>
      </c>
      <c r="BV32" s="45">
        <v>109.17698246480478</v>
      </c>
      <c r="BW32" s="393">
        <v>29752.717517844034</v>
      </c>
      <c r="BX32" s="295">
        <f t="shared" si="17"/>
        <v>0</v>
      </c>
      <c r="BY32" s="295">
        <f t="shared" si="23"/>
        <v>29752.717517844034</v>
      </c>
      <c r="BZ32" s="39">
        <v>17768.12198523101</v>
      </c>
      <c r="CA32" s="41">
        <v>31.807206336894275</v>
      </c>
      <c r="CB32" s="39">
        <v>11984.595532613024</v>
      </c>
      <c r="CC32" s="47">
        <v>1.6744998454296243</v>
      </c>
      <c r="CD32" s="41">
        <f t="shared" si="24"/>
        <v>1.6744998454296243</v>
      </c>
      <c r="CE32" s="39">
        <v>5463.1066237242494</v>
      </c>
      <c r="CF32" s="47">
        <v>5.4461169380511443</v>
      </c>
    </row>
    <row r="33" spans="1:84" s="22" customFormat="1" ht="15" customHeight="1">
      <c r="A33" s="324" t="str">
        <f t="shared" si="0"/>
        <v>BNI - Efficient Product Rebates; Zero Energy Doors for Reach-In Coolers and Freezers; COM-Refrigeration; School</v>
      </c>
      <c r="B33" s="233" t="s">
        <v>58</v>
      </c>
      <c r="C33" s="15" t="s">
        <v>44</v>
      </c>
      <c r="D33" s="15" t="s">
        <v>57</v>
      </c>
      <c r="E33" s="37">
        <v>10</v>
      </c>
      <c r="F33" s="38">
        <v>1617.4025999999999</v>
      </c>
      <c r="G33" s="38">
        <v>163.51929364438448</v>
      </c>
      <c r="H33" s="39">
        <v>618.125</v>
      </c>
      <c r="I33" s="40">
        <v>0.19413549039433772</v>
      </c>
      <c r="J33" s="39">
        <v>51.756883199999997</v>
      </c>
      <c r="K33" s="39">
        <v>171.7568832</v>
      </c>
      <c r="L33" s="39">
        <v>498.125</v>
      </c>
      <c r="M33" s="39">
        <v>669.88188319999995</v>
      </c>
      <c r="N33" s="39">
        <v>1004.6365209515968</v>
      </c>
      <c r="O33" s="41">
        <v>0.82</v>
      </c>
      <c r="P33" s="41">
        <v>1.4747106383262882</v>
      </c>
      <c r="Q33" s="261">
        <f t="shared" si="1"/>
        <v>1.4747106383262882</v>
      </c>
      <c r="R33" s="262">
        <f t="shared" si="18"/>
        <v>0</v>
      </c>
      <c r="S33" s="262">
        <f t="shared" si="2"/>
        <v>0</v>
      </c>
      <c r="T33" s="261">
        <f t="shared" si="3"/>
        <v>1.4747106383262882</v>
      </c>
      <c r="U33" s="267">
        <f t="shared" si="45"/>
        <v>0</v>
      </c>
      <c r="V33" s="183" t="s">
        <v>38</v>
      </c>
      <c r="W33" s="200" t="s">
        <v>38</v>
      </c>
      <c r="X33" s="200"/>
      <c r="Y33" s="333">
        <v>0</v>
      </c>
      <c r="Z33" s="336">
        <v>0</v>
      </c>
      <c r="AA33" s="288">
        <f t="shared" si="50"/>
        <v>0</v>
      </c>
      <c r="AB33" s="288">
        <f t="shared" si="51"/>
        <v>0</v>
      </c>
      <c r="AC33" s="288">
        <f t="shared" ref="AC33:AE33" si="60">AB33*0</f>
        <v>0</v>
      </c>
      <c r="AD33" s="288">
        <f t="shared" si="60"/>
        <v>0</v>
      </c>
      <c r="AE33" s="288">
        <f t="shared" si="60"/>
        <v>0</v>
      </c>
      <c r="AF33" s="288">
        <f t="shared" si="47"/>
        <v>0</v>
      </c>
      <c r="AG33" s="288" t="s">
        <v>38</v>
      </c>
      <c r="AH33" s="288">
        <f t="shared" si="48"/>
        <v>0</v>
      </c>
      <c r="AI33" s="288">
        <f t="shared" ref="AI33:AJ33" si="61">AH33*0</f>
        <v>0</v>
      </c>
      <c r="AJ33" s="288">
        <f t="shared" si="61"/>
        <v>0</v>
      </c>
      <c r="AK33" s="288">
        <f t="shared" si="14"/>
        <v>0</v>
      </c>
      <c r="AL33" s="451" t="s">
        <v>449</v>
      </c>
      <c r="AM33" s="181" t="s">
        <v>267</v>
      </c>
      <c r="AN33" s="181"/>
      <c r="AO33" s="452" t="s">
        <v>428</v>
      </c>
      <c r="AP33" s="43" t="s">
        <v>58</v>
      </c>
      <c r="AQ33" s="44">
        <v>3.2712412871411343</v>
      </c>
      <c r="AR33" s="45">
        <v>32.356513076407332</v>
      </c>
      <c r="AS33" s="46">
        <v>3.2712412871411343</v>
      </c>
      <c r="AT33" s="45">
        <v>32.356513076407332</v>
      </c>
      <c r="AU33" s="393">
        <v>20097.985948091533</v>
      </c>
      <c r="AV33" s="295">
        <f t="shared" si="15"/>
        <v>0</v>
      </c>
      <c r="AW33" s="295">
        <f t="shared" si="19"/>
        <v>20097.985948091533</v>
      </c>
      <c r="AX33" s="39">
        <v>13628.426774558018</v>
      </c>
      <c r="AY33" s="41">
        <v>24.396623505057818</v>
      </c>
      <c r="AZ33" s="39">
        <v>6469.5591735335147</v>
      </c>
      <c r="BA33" s="47">
        <v>1.4747106383262882</v>
      </c>
      <c r="BB33" s="41">
        <f t="shared" si="20"/>
        <v>1.4747106383262882</v>
      </c>
      <c r="BC33" s="39">
        <v>4190.28801383259</v>
      </c>
      <c r="BD33" s="47">
        <v>4.7963256658601807</v>
      </c>
      <c r="BE33" s="46">
        <v>3.4795152711126347</v>
      </c>
      <c r="BF33" s="45">
        <v>34.416593423381308</v>
      </c>
      <c r="BG33" s="46">
        <v>6.7507565582537685</v>
      </c>
      <c r="BH33" s="45">
        <v>66.773106499788639</v>
      </c>
      <c r="BI33" s="393">
        <v>22717.204795676029</v>
      </c>
      <c r="BJ33" s="295">
        <f t="shared" si="16"/>
        <v>0</v>
      </c>
      <c r="BK33" s="295">
        <f t="shared" si="21"/>
        <v>22717.204795676029</v>
      </c>
      <c r="BL33" s="39">
        <v>14496.123923881327</v>
      </c>
      <c r="BM33" s="41">
        <v>25.949912158152497</v>
      </c>
      <c r="BN33" s="39">
        <v>8221.080871794702</v>
      </c>
      <c r="BO33" s="47">
        <v>1.5671226953469306</v>
      </c>
      <c r="BP33" s="41">
        <f t="shared" si="22"/>
        <v>1.5671226953469306</v>
      </c>
      <c r="BQ33" s="39">
        <v>4457.0760315980588</v>
      </c>
      <c r="BR33" s="47">
        <v>5.0968851854050392</v>
      </c>
      <c r="BS33" s="44">
        <v>4.250957802104038</v>
      </c>
      <c r="BT33" s="45">
        <v>42.047088440621287</v>
      </c>
      <c r="BU33" s="46">
        <v>11.001714360357807</v>
      </c>
      <c r="BV33" s="45">
        <v>108.82019494040992</v>
      </c>
      <c r="BW33" s="393">
        <v>29641.694777995763</v>
      </c>
      <c r="BX33" s="295">
        <f t="shared" si="17"/>
        <v>0</v>
      </c>
      <c r="BY33" s="295">
        <f t="shared" si="23"/>
        <v>29641.694777995763</v>
      </c>
      <c r="BZ33" s="39">
        <v>17710.056227109329</v>
      </c>
      <c r="CA33" s="41">
        <v>31.703261218146238</v>
      </c>
      <c r="CB33" s="39">
        <v>11931.638550886433</v>
      </c>
      <c r="CC33" s="47">
        <v>1.673721099350453</v>
      </c>
      <c r="CD33" s="41">
        <f t="shared" si="24"/>
        <v>1.673721099350453</v>
      </c>
      <c r="CE33" s="39">
        <v>5445.2533341042326</v>
      </c>
      <c r="CF33" s="47">
        <v>5.4435841565619185</v>
      </c>
    </row>
    <row r="34" spans="1:84" s="22" customFormat="1" ht="15" customHeight="1">
      <c r="A34" s="324" t="str">
        <f t="shared" si="0"/>
        <v>BNI - Efficient Product Rebates; Humidity-Based Door Heater Controls for Reach-In Coolers and Freezers; COM-Refrigeration; Other Commercial</v>
      </c>
      <c r="B34" s="36" t="s">
        <v>59</v>
      </c>
      <c r="C34" s="15" t="s">
        <v>44</v>
      </c>
      <c r="D34" s="15" t="s">
        <v>54</v>
      </c>
      <c r="E34" s="37">
        <v>10</v>
      </c>
      <c r="F34" s="38">
        <v>1779.1428599999997</v>
      </c>
      <c r="G34" s="26">
        <v>1217.7118226250841</v>
      </c>
      <c r="H34" s="27">
        <v>345</v>
      </c>
      <c r="I34" s="28">
        <v>0.2318840579710145</v>
      </c>
      <c r="J34" s="27">
        <v>56.932571519999989</v>
      </c>
      <c r="K34" s="27">
        <v>136.93257151999998</v>
      </c>
      <c r="L34" s="27">
        <v>265</v>
      </c>
      <c r="M34" s="27">
        <v>401.93257152000001</v>
      </c>
      <c r="N34" s="27">
        <v>2265.0780686539956</v>
      </c>
      <c r="O34" s="29">
        <v>0.82</v>
      </c>
      <c r="P34" s="29">
        <v>5.4655267680454402</v>
      </c>
      <c r="Q34" s="261">
        <f t="shared" si="1"/>
        <v>5.4655267680454402</v>
      </c>
      <c r="R34" s="262">
        <f t="shared" si="18"/>
        <v>0</v>
      </c>
      <c r="S34" s="262">
        <f t="shared" si="2"/>
        <v>0</v>
      </c>
      <c r="T34" s="261">
        <f t="shared" si="3"/>
        <v>5.4655267680454402</v>
      </c>
      <c r="U34" s="267">
        <f t="shared" si="45"/>
        <v>0</v>
      </c>
      <c r="V34" s="42" t="s">
        <v>38</v>
      </c>
      <c r="W34" s="198" t="s">
        <v>38</v>
      </c>
      <c r="X34" s="198"/>
      <c r="Y34" s="333">
        <v>0</v>
      </c>
      <c r="Z34" s="335">
        <v>0</v>
      </c>
      <c r="AA34" s="288">
        <f t="shared" si="50"/>
        <v>0</v>
      </c>
      <c r="AB34" s="288">
        <f t="shared" si="51"/>
        <v>0</v>
      </c>
      <c r="AC34" s="288">
        <f t="shared" ref="AC34:AE34" si="62">AB34*0</f>
        <v>0</v>
      </c>
      <c r="AD34" s="288">
        <f t="shared" si="62"/>
        <v>0</v>
      </c>
      <c r="AE34" s="288">
        <f t="shared" si="62"/>
        <v>0</v>
      </c>
      <c r="AF34" s="288">
        <f t="shared" si="47"/>
        <v>0</v>
      </c>
      <c r="AG34" s="288" t="s">
        <v>38</v>
      </c>
      <c r="AH34" s="288">
        <f t="shared" si="48"/>
        <v>0</v>
      </c>
      <c r="AI34" s="288">
        <f t="shared" ref="AI34:AJ34" si="63">AH34*0</f>
        <v>0</v>
      </c>
      <c r="AJ34" s="288">
        <f t="shared" si="63"/>
        <v>0</v>
      </c>
      <c r="AK34" s="288">
        <f t="shared" si="14"/>
        <v>0</v>
      </c>
      <c r="AL34" s="246" t="s">
        <v>450</v>
      </c>
      <c r="AM34" s="234" t="s">
        <v>330</v>
      </c>
      <c r="AN34" s="102" t="s">
        <v>38</v>
      </c>
      <c r="AO34" s="241"/>
      <c r="AP34" s="43" t="s">
        <v>59</v>
      </c>
      <c r="AQ34" s="44">
        <v>26.412101699646506</v>
      </c>
      <c r="AR34" s="45">
        <v>38.589509671688354</v>
      </c>
      <c r="AS34" s="46">
        <v>26.412101699646506</v>
      </c>
      <c r="AT34" s="45">
        <v>38.589509671688354</v>
      </c>
      <c r="AU34" s="393">
        <v>49129.417318096974</v>
      </c>
      <c r="AV34" s="295">
        <f t="shared" si="15"/>
        <v>0</v>
      </c>
      <c r="AW34" s="295">
        <f t="shared" si="19"/>
        <v>49129.417318096974</v>
      </c>
      <c r="AX34" s="39">
        <v>8988.9628947268757</v>
      </c>
      <c r="AY34" s="41">
        <v>26.451151678960986</v>
      </c>
      <c r="AZ34" s="39">
        <v>40140.454423370102</v>
      </c>
      <c r="BA34" s="47">
        <v>5.4655267680454411</v>
      </c>
      <c r="BB34" s="41">
        <f t="shared" si="20"/>
        <v>5.4655267680454411</v>
      </c>
      <c r="BC34" s="39">
        <v>3622.0242190656927</v>
      </c>
      <c r="BD34" s="47">
        <v>13.564077528661581</v>
      </c>
      <c r="BE34" s="46">
        <v>26.33578675980435</v>
      </c>
      <c r="BF34" s="45">
        <v>38.478009415380747</v>
      </c>
      <c r="BG34" s="46">
        <v>52.747888459450856</v>
      </c>
      <c r="BH34" s="45">
        <v>77.067519087069101</v>
      </c>
      <c r="BI34" s="393">
        <v>54701.449735224531</v>
      </c>
      <c r="BJ34" s="295">
        <f t="shared" si="16"/>
        <v>0</v>
      </c>
      <c r="BK34" s="295">
        <f t="shared" si="21"/>
        <v>54701.449735224531</v>
      </c>
      <c r="BL34" s="39">
        <v>8962.9902489164269</v>
      </c>
      <c r="BM34" s="41">
        <v>26.374723908384787</v>
      </c>
      <c r="BN34" s="39">
        <v>45738.4594863081</v>
      </c>
      <c r="BO34" s="47">
        <v>6.1030357298266189</v>
      </c>
      <c r="BP34" s="41">
        <f t="shared" si="22"/>
        <v>6.1030357298266189</v>
      </c>
      <c r="BQ34" s="39">
        <v>3611.5587679051537</v>
      </c>
      <c r="BR34" s="47">
        <v>15.146216149475404</v>
      </c>
      <c r="BS34" s="44">
        <v>29.994338392549864</v>
      </c>
      <c r="BT34" s="45">
        <v>43.82335130531046</v>
      </c>
      <c r="BU34" s="46">
        <v>82.742226852000712</v>
      </c>
      <c r="BV34" s="45">
        <v>120.89087039237955</v>
      </c>
      <c r="BW34" s="393">
        <v>69343.798867049103</v>
      </c>
      <c r="BX34" s="295">
        <f t="shared" si="17"/>
        <v>0</v>
      </c>
      <c r="BY34" s="295">
        <f t="shared" si="23"/>
        <v>69343.798867049103</v>
      </c>
      <c r="BZ34" s="39">
        <v>10208.123455246312</v>
      </c>
      <c r="CA34" s="41">
        <v>30.03868466635647</v>
      </c>
      <c r="CB34" s="39">
        <v>59135.675411802789</v>
      </c>
      <c r="CC34" s="47">
        <v>6.7930015904549919</v>
      </c>
      <c r="CD34" s="41">
        <f t="shared" si="24"/>
        <v>6.7930015904549919</v>
      </c>
      <c r="CE34" s="39">
        <v>4113.2743364425842</v>
      </c>
      <c r="CF34" s="47">
        <v>16.85853974112068</v>
      </c>
    </row>
    <row r="35" spans="1:84" s="22" customFormat="1" ht="15" customHeight="1">
      <c r="A35" s="324" t="str">
        <f t="shared" si="0"/>
        <v>BNI - Efficient Product Rebates; Humidity-Based Door Heater Controls for Reach-In Coolers and Freezers; COM-Refrigeration; Retail</v>
      </c>
      <c r="B35" s="36" t="s">
        <v>59</v>
      </c>
      <c r="C35" s="15" t="s">
        <v>44</v>
      </c>
      <c r="D35" s="15" t="s">
        <v>28</v>
      </c>
      <c r="E35" s="37">
        <v>10</v>
      </c>
      <c r="F35" s="38">
        <v>1779.1428599999997</v>
      </c>
      <c r="G35" s="26">
        <v>1236.4543298054157</v>
      </c>
      <c r="H35" s="27">
        <v>345</v>
      </c>
      <c r="I35" s="28">
        <v>0.2318840579710145</v>
      </c>
      <c r="J35" s="27">
        <v>56.932571519999989</v>
      </c>
      <c r="K35" s="27">
        <v>136.93257151999998</v>
      </c>
      <c r="L35" s="27">
        <v>265</v>
      </c>
      <c r="M35" s="27">
        <v>401.93257152000001</v>
      </c>
      <c r="N35" s="27">
        <v>2286.0262701846386</v>
      </c>
      <c r="O35" s="29">
        <v>0.82</v>
      </c>
      <c r="P35" s="29">
        <v>5.5160737923588998</v>
      </c>
      <c r="Q35" s="261">
        <f t="shared" si="1"/>
        <v>5.5160737923588998</v>
      </c>
      <c r="R35" s="262">
        <f t="shared" si="18"/>
        <v>0</v>
      </c>
      <c r="S35" s="262">
        <f t="shared" si="2"/>
        <v>0</v>
      </c>
      <c r="T35" s="261">
        <f t="shared" si="3"/>
        <v>5.5160737923588998</v>
      </c>
      <c r="U35" s="267">
        <f t="shared" si="45"/>
        <v>0</v>
      </c>
      <c r="V35" s="42" t="s">
        <v>38</v>
      </c>
      <c r="W35" s="198" t="s">
        <v>38</v>
      </c>
      <c r="X35" s="198"/>
      <c r="Y35" s="333">
        <v>0</v>
      </c>
      <c r="Z35" s="335">
        <v>0</v>
      </c>
      <c r="AA35" s="288">
        <f t="shared" si="50"/>
        <v>0</v>
      </c>
      <c r="AB35" s="288">
        <f t="shared" si="51"/>
        <v>0</v>
      </c>
      <c r="AC35" s="288">
        <f t="shared" ref="AC35:AE35" si="64">AB35*0</f>
        <v>0</v>
      </c>
      <c r="AD35" s="288">
        <f t="shared" si="64"/>
        <v>0</v>
      </c>
      <c r="AE35" s="288">
        <f t="shared" si="64"/>
        <v>0</v>
      </c>
      <c r="AF35" s="288">
        <f t="shared" si="47"/>
        <v>0</v>
      </c>
      <c r="AG35" s="288" t="s">
        <v>38</v>
      </c>
      <c r="AH35" s="288">
        <f t="shared" si="48"/>
        <v>0</v>
      </c>
      <c r="AI35" s="288">
        <f t="shared" ref="AI35:AJ35" si="65">AH35*0</f>
        <v>0</v>
      </c>
      <c r="AJ35" s="288">
        <f t="shared" si="65"/>
        <v>0</v>
      </c>
      <c r="AK35" s="288">
        <f t="shared" si="14"/>
        <v>0</v>
      </c>
      <c r="AL35" s="246" t="s">
        <v>450</v>
      </c>
      <c r="AM35" s="234" t="s">
        <v>330</v>
      </c>
      <c r="AN35" s="102" t="s">
        <v>38</v>
      </c>
      <c r="AO35" s="241"/>
      <c r="AP35" s="43" t="s">
        <v>59</v>
      </c>
      <c r="AQ35" s="44">
        <v>38.370540947692902</v>
      </c>
      <c r="AR35" s="45">
        <v>55.211642125244346</v>
      </c>
      <c r="AS35" s="46">
        <v>38.370540947692902</v>
      </c>
      <c r="AT35" s="45">
        <v>55.211642125244346</v>
      </c>
      <c r="AU35" s="393">
        <v>70941.613040754601</v>
      </c>
      <c r="AV35" s="295">
        <f t="shared" si="15"/>
        <v>0</v>
      </c>
      <c r="AW35" s="295">
        <f t="shared" si="19"/>
        <v>70941.613040754601</v>
      </c>
      <c r="AX35" s="39">
        <v>12860.889051017761</v>
      </c>
      <c r="AY35" s="41">
        <v>37.844780426707466</v>
      </c>
      <c r="AZ35" s="39">
        <v>58080.723989736842</v>
      </c>
      <c r="BA35" s="47">
        <v>5.5160737923589007</v>
      </c>
      <c r="BB35" s="41">
        <f t="shared" si="20"/>
        <v>5.5160737923589007</v>
      </c>
      <c r="BC35" s="39">
        <v>5182.1831024388157</v>
      </c>
      <c r="BD35" s="47">
        <v>13.689522666107337</v>
      </c>
      <c r="BE35" s="46">
        <v>38.259673378067681</v>
      </c>
      <c r="BF35" s="45">
        <v>55.052113996991274</v>
      </c>
      <c r="BG35" s="46">
        <v>76.630214325760591</v>
      </c>
      <c r="BH35" s="45">
        <v>110.26375612223562</v>
      </c>
      <c r="BI35" s="393">
        <v>79020.817197004275</v>
      </c>
      <c r="BJ35" s="295">
        <f t="shared" si="16"/>
        <v>0</v>
      </c>
      <c r="BK35" s="295">
        <f t="shared" si="21"/>
        <v>79020.817197004275</v>
      </c>
      <c r="BL35" s="39">
        <v>12823.728889156873</v>
      </c>
      <c r="BM35" s="41">
        <v>37.735431985812951</v>
      </c>
      <c r="BN35" s="39">
        <v>66197.0883078474</v>
      </c>
      <c r="BO35" s="47">
        <v>6.1620779634401401</v>
      </c>
      <c r="BP35" s="41">
        <f t="shared" si="22"/>
        <v>6.1620779634401401</v>
      </c>
      <c r="BQ35" s="39">
        <v>5167.2097392354281</v>
      </c>
      <c r="BR35" s="47">
        <v>15.29274428266128</v>
      </c>
      <c r="BS35" s="44">
        <v>43.574684157213277</v>
      </c>
      <c r="BT35" s="45">
        <v>62.699920511630651</v>
      </c>
      <c r="BU35" s="46">
        <v>120.20489848297386</v>
      </c>
      <c r="BV35" s="45">
        <v>172.96367663386627</v>
      </c>
      <c r="BW35" s="393">
        <v>100206.57075179729</v>
      </c>
      <c r="BX35" s="295">
        <f t="shared" si="17"/>
        <v>0</v>
      </c>
      <c r="BY35" s="295">
        <f t="shared" si="23"/>
        <v>100206.57075179729</v>
      </c>
      <c r="BZ35" s="39">
        <v>14605.193581790169</v>
      </c>
      <c r="CA35" s="41">
        <v>42.97761546653458</v>
      </c>
      <c r="CB35" s="39">
        <v>85601.377170007123</v>
      </c>
      <c r="CC35" s="47">
        <v>6.8610231141842153</v>
      </c>
      <c r="CD35" s="41">
        <f t="shared" si="24"/>
        <v>6.8610231141842153</v>
      </c>
      <c r="CE35" s="39">
        <v>5885.0354036303042</v>
      </c>
      <c r="CF35" s="47">
        <v>17.027352238184129</v>
      </c>
    </row>
    <row r="36" spans="1:84" s="22" customFormat="1" ht="15" customHeight="1">
      <c r="A36" s="324" t="str">
        <f t="shared" si="0"/>
        <v>BNI - Efficient Product Rebates; Humidity-Based Door Heater Controls for Reach-In Coolers and Freezers; COM-Refrigeration; School</v>
      </c>
      <c r="B36" s="36" t="s">
        <v>59</v>
      </c>
      <c r="C36" s="15" t="s">
        <v>44</v>
      </c>
      <c r="D36" s="15" t="s">
        <v>57</v>
      </c>
      <c r="E36" s="37">
        <v>10</v>
      </c>
      <c r="F36" s="38">
        <v>1779.1428599999997</v>
      </c>
      <c r="G36" s="26">
        <v>1177.710578117792</v>
      </c>
      <c r="H36" s="27">
        <v>345</v>
      </c>
      <c r="I36" s="28">
        <v>0.2318840579710145</v>
      </c>
      <c r="J36" s="27">
        <v>56.932571519999989</v>
      </c>
      <c r="K36" s="27">
        <v>136.93257151999998</v>
      </c>
      <c r="L36" s="27">
        <v>265</v>
      </c>
      <c r="M36" s="27">
        <v>401.93257152000001</v>
      </c>
      <c r="N36" s="27">
        <v>2220.3693152650885</v>
      </c>
      <c r="O36" s="29">
        <v>0.82</v>
      </c>
      <c r="P36" s="29">
        <v>5.357646650448336</v>
      </c>
      <c r="Q36" s="261">
        <f t="shared" si="1"/>
        <v>5.357646650448336</v>
      </c>
      <c r="R36" s="262">
        <f t="shared" si="18"/>
        <v>0</v>
      </c>
      <c r="S36" s="262">
        <f t="shared" si="2"/>
        <v>0</v>
      </c>
      <c r="T36" s="261">
        <f t="shared" si="3"/>
        <v>5.357646650448336</v>
      </c>
      <c r="U36" s="267">
        <f t="shared" si="45"/>
        <v>0</v>
      </c>
      <c r="V36" s="42" t="s">
        <v>38</v>
      </c>
      <c r="W36" s="198" t="s">
        <v>38</v>
      </c>
      <c r="X36" s="198"/>
      <c r="Y36" s="333">
        <v>0</v>
      </c>
      <c r="Z36" s="335">
        <v>0</v>
      </c>
      <c r="AA36" s="288">
        <f t="shared" si="50"/>
        <v>0</v>
      </c>
      <c r="AB36" s="288">
        <f t="shared" si="51"/>
        <v>0</v>
      </c>
      <c r="AC36" s="288">
        <f t="shared" ref="AC36:AE36" si="66">AB36*0</f>
        <v>0</v>
      </c>
      <c r="AD36" s="288">
        <f t="shared" si="66"/>
        <v>0</v>
      </c>
      <c r="AE36" s="288">
        <f t="shared" si="66"/>
        <v>0</v>
      </c>
      <c r="AF36" s="288">
        <f t="shared" si="47"/>
        <v>0</v>
      </c>
      <c r="AG36" s="288" t="s">
        <v>38</v>
      </c>
      <c r="AH36" s="288">
        <f t="shared" si="48"/>
        <v>0</v>
      </c>
      <c r="AI36" s="288">
        <f t="shared" ref="AI36:AJ36" si="67">AH36*0</f>
        <v>0</v>
      </c>
      <c r="AJ36" s="288">
        <f t="shared" si="67"/>
        <v>0</v>
      </c>
      <c r="AK36" s="288">
        <f t="shared" si="14"/>
        <v>0</v>
      </c>
      <c r="AL36" s="246" t="s">
        <v>450</v>
      </c>
      <c r="AM36" s="234" t="s">
        <v>330</v>
      </c>
      <c r="AN36" s="102" t="s">
        <v>38</v>
      </c>
      <c r="AO36" s="241"/>
      <c r="AP36" s="43" t="s">
        <v>59</v>
      </c>
      <c r="AQ36" s="44">
        <v>36.428126073833816</v>
      </c>
      <c r="AR36" s="45">
        <v>55.031211922220692</v>
      </c>
      <c r="AS36" s="46">
        <v>36.428126073833816</v>
      </c>
      <c r="AT36" s="45">
        <v>55.031211922220692</v>
      </c>
      <c r="AU36" s="393">
        <v>68678.922351378293</v>
      </c>
      <c r="AV36" s="295">
        <f t="shared" si="15"/>
        <v>0</v>
      </c>
      <c r="AW36" s="295">
        <f t="shared" si="19"/>
        <v>68678.922351378293</v>
      </c>
      <c r="AX36" s="39">
        <v>12818.860001831428</v>
      </c>
      <c r="AY36" s="41">
        <v>37.721104673679015</v>
      </c>
      <c r="AZ36" s="39">
        <v>55860.062349546861</v>
      </c>
      <c r="BA36" s="47">
        <v>5.3576466504483351</v>
      </c>
      <c r="BB36" s="41">
        <f t="shared" si="20"/>
        <v>5.3576466504483351</v>
      </c>
      <c r="BC36" s="39">
        <v>5165.2478635419575</v>
      </c>
      <c r="BD36" s="47">
        <v>13.296345919067512</v>
      </c>
      <c r="BE36" s="46">
        <v>36.322870904006685</v>
      </c>
      <c r="BF36" s="45">
        <v>54.872205127720036</v>
      </c>
      <c r="BG36" s="46">
        <v>72.750996977840501</v>
      </c>
      <c r="BH36" s="45">
        <v>109.90341704994073</v>
      </c>
      <c r="BI36" s="393">
        <v>76397.261361293335</v>
      </c>
      <c r="BJ36" s="295">
        <f t="shared" si="16"/>
        <v>0</v>
      </c>
      <c r="BK36" s="295">
        <f t="shared" si="21"/>
        <v>76397.261361293335</v>
      </c>
      <c r="BL36" s="39">
        <v>12781.821278407991</v>
      </c>
      <c r="BM36" s="41">
        <v>37.612113580630542</v>
      </c>
      <c r="BN36" s="39">
        <v>63615.44008288534</v>
      </c>
      <c r="BO36" s="47">
        <v>5.9770246897716603</v>
      </c>
      <c r="BP36" s="41">
        <f t="shared" si="22"/>
        <v>5.9770246897716603</v>
      </c>
      <c r="BQ36" s="39">
        <v>5150.3234328980543</v>
      </c>
      <c r="BR36" s="47">
        <v>14.833488101601628</v>
      </c>
      <c r="BS36" s="44">
        <v>41.368822250130258</v>
      </c>
      <c r="BT36" s="45">
        <v>62.495018810612201</v>
      </c>
      <c r="BU36" s="46">
        <v>114.11981922797075</v>
      </c>
      <c r="BV36" s="45">
        <v>172.39843586055292</v>
      </c>
      <c r="BW36" s="393">
        <v>96775.495889926242</v>
      </c>
      <c r="BX36" s="295">
        <f t="shared" si="17"/>
        <v>0</v>
      </c>
      <c r="BY36" s="295">
        <f t="shared" si="23"/>
        <v>96775.495889926242</v>
      </c>
      <c r="BZ36" s="39">
        <v>14557.464190999995</v>
      </c>
      <c r="CA36" s="41">
        <v>42.837165742787704</v>
      </c>
      <c r="CB36" s="39">
        <v>82218.03169892625</v>
      </c>
      <c r="CC36" s="47">
        <v>6.6478264772072535</v>
      </c>
      <c r="CD36" s="41">
        <f t="shared" si="24"/>
        <v>6.6478264772072535</v>
      </c>
      <c r="CE36" s="39">
        <v>5865.8032617883709</v>
      </c>
      <c r="CF36" s="47">
        <v>16.498251231907368</v>
      </c>
    </row>
    <row r="37" spans="1:84" s="22" customFormat="1" ht="15" customHeight="1">
      <c r="A37" s="324" t="str">
        <f t="shared" ref="A37:A68" si="68">CONCATENATE($B$4,"; ",B37,"; ",C37,"; ",D37)</f>
        <v>BNI - Efficient Product Rebates; Evaporator Fan Motor Controls for Walk-In Freezers and Coolers; COM-Refrigeration; Other Commercial</v>
      </c>
      <c r="B37" s="36" t="s">
        <v>60</v>
      </c>
      <c r="C37" s="15" t="s">
        <v>44</v>
      </c>
      <c r="D37" s="15" t="s">
        <v>54</v>
      </c>
      <c r="E37" s="37">
        <v>15</v>
      </c>
      <c r="F37" s="38">
        <v>2719.5889536000013</v>
      </c>
      <c r="G37" s="38">
        <v>1861.3882538242619</v>
      </c>
      <c r="H37" s="39">
        <v>2254</v>
      </c>
      <c r="I37" s="40">
        <v>0.22182786157941436</v>
      </c>
      <c r="J37" s="39">
        <v>87.026846515200049</v>
      </c>
      <c r="K37" s="39">
        <v>587.02684651520008</v>
      </c>
      <c r="L37" s="39">
        <v>1754</v>
      </c>
      <c r="M37" s="39">
        <v>2341.0268465152003</v>
      </c>
      <c r="N37" s="39">
        <v>4901.103501777734</v>
      </c>
      <c r="O37" s="41">
        <v>0.82</v>
      </c>
      <c r="P37" s="41">
        <v>2.07662411709769</v>
      </c>
      <c r="Q37" s="261">
        <f t="shared" ref="Q37:Q68" si="69">N37*O37/(O37*H37+J37)</f>
        <v>2.07662411709769</v>
      </c>
      <c r="R37" s="262">
        <f t="shared" si="18"/>
        <v>0</v>
      </c>
      <c r="S37" s="262">
        <f t="shared" ref="S37:S68" si="70">-PV(RDR,E37,Z37)</f>
        <v>0</v>
      </c>
      <c r="T37" s="261">
        <f t="shared" ref="T37:T68" si="71">(N37+SUM(R37:S37))*O37/(O37*H37+J37)</f>
        <v>2.07662411709769</v>
      </c>
      <c r="U37" s="267">
        <f t="shared" si="45"/>
        <v>0</v>
      </c>
      <c r="V37" s="42" t="s">
        <v>38</v>
      </c>
      <c r="W37" s="198" t="s">
        <v>38</v>
      </c>
      <c r="X37" s="198"/>
      <c r="Y37" s="333">
        <v>0</v>
      </c>
      <c r="Z37" s="335">
        <v>0</v>
      </c>
      <c r="AA37" s="288">
        <f t="shared" si="50"/>
        <v>0</v>
      </c>
      <c r="AB37" s="288">
        <f t="shared" si="51"/>
        <v>0</v>
      </c>
      <c r="AC37" s="288">
        <f t="shared" ref="AC37:AE37" si="72">AB37*0</f>
        <v>0</v>
      </c>
      <c r="AD37" s="288">
        <f t="shared" si="72"/>
        <v>0</v>
      </c>
      <c r="AE37" s="288">
        <f t="shared" si="72"/>
        <v>0</v>
      </c>
      <c r="AF37" s="288">
        <f t="shared" si="47"/>
        <v>0</v>
      </c>
      <c r="AG37" s="288" t="s">
        <v>38</v>
      </c>
      <c r="AH37" s="288">
        <f t="shared" si="48"/>
        <v>0</v>
      </c>
      <c r="AI37" s="288">
        <f t="shared" ref="AI37:AJ37" si="73">AH37*0</f>
        <v>0</v>
      </c>
      <c r="AJ37" s="288">
        <f t="shared" si="73"/>
        <v>0</v>
      </c>
      <c r="AK37" s="288">
        <f t="shared" ref="AK37:AK68" si="74">SUM(AA37:AJ37)</f>
        <v>0</v>
      </c>
      <c r="AL37" s="246" t="s">
        <v>451</v>
      </c>
      <c r="AM37" s="234" t="s">
        <v>330</v>
      </c>
      <c r="AN37" s="102" t="s">
        <v>38</v>
      </c>
      <c r="AO37" s="241"/>
      <c r="AP37" s="43" t="s">
        <v>60</v>
      </c>
      <c r="AQ37" s="44">
        <v>9.3327148598430956</v>
      </c>
      <c r="AR37" s="45">
        <v>13.635601378584912</v>
      </c>
      <c r="AS37" s="46">
        <v>9.3327148598430956</v>
      </c>
      <c r="AT37" s="45">
        <v>13.635601378584912</v>
      </c>
      <c r="AU37" s="393">
        <v>24573.38031799387</v>
      </c>
      <c r="AV37" s="295">
        <f t="shared" ref="AV37:AV68" si="75">SUM(R37:S37)*O37*AY37</f>
        <v>0</v>
      </c>
      <c r="AW37" s="295">
        <f t="shared" si="19"/>
        <v>24573.38031799387</v>
      </c>
      <c r="AX37" s="39">
        <v>11833.330892996593</v>
      </c>
      <c r="AY37" s="41">
        <v>6.1144468714634153</v>
      </c>
      <c r="AZ37" s="39">
        <v>12740.049424997276</v>
      </c>
      <c r="BA37" s="47">
        <v>2.07662411709769</v>
      </c>
      <c r="BB37" s="41">
        <f t="shared" si="20"/>
        <v>2.07662411709769</v>
      </c>
      <c r="BC37" s="39">
        <v>3589.3444651398991</v>
      </c>
      <c r="BD37" s="47">
        <v>6.8462028530984398</v>
      </c>
      <c r="BE37" s="46">
        <v>9.8191399603516754</v>
      </c>
      <c r="BF37" s="45">
        <v>14.346294769595103</v>
      </c>
      <c r="BG37" s="46">
        <v>19.151854820194771</v>
      </c>
      <c r="BH37" s="45">
        <v>27.981896148180013</v>
      </c>
      <c r="BI37" s="393">
        <v>28083.765013525932</v>
      </c>
      <c r="BJ37" s="295">
        <f t="shared" ref="BJ37:BJ68" si="76">SUM(R37:S37)*O37*BM37</f>
        <v>0</v>
      </c>
      <c r="BK37" s="295">
        <f t="shared" si="21"/>
        <v>28083.765013525932</v>
      </c>
      <c r="BL37" s="39">
        <v>12450.089173456254</v>
      </c>
      <c r="BM37" s="41">
        <v>6.4331344643741843</v>
      </c>
      <c r="BN37" s="39">
        <v>15633.675840069678</v>
      </c>
      <c r="BO37" s="47">
        <v>2.2557079409038185</v>
      </c>
      <c r="BP37" s="41">
        <f t="shared" si="22"/>
        <v>2.2557079409038185</v>
      </c>
      <c r="BQ37" s="39">
        <v>3776.4226378298281</v>
      </c>
      <c r="BR37" s="47">
        <v>7.4366054085685294</v>
      </c>
      <c r="BS37" s="44">
        <v>11.963405880982034</v>
      </c>
      <c r="BT37" s="45">
        <v>17.479183300156244</v>
      </c>
      <c r="BU37" s="46">
        <v>31.115260701176805</v>
      </c>
      <c r="BV37" s="45">
        <v>45.461079448336257</v>
      </c>
      <c r="BW37" s="393">
        <v>37182.792253210246</v>
      </c>
      <c r="BX37" s="295">
        <f t="shared" ref="BX37:BX68" si="77">SUM(R37:S37)*O37*CA37</f>
        <v>0</v>
      </c>
      <c r="BY37" s="295">
        <f t="shared" si="23"/>
        <v>37182.792253210246</v>
      </c>
      <c r="BZ37" s="39">
        <v>15168.891637953879</v>
      </c>
      <c r="CA37" s="41">
        <v>7.8379775616810647</v>
      </c>
      <c r="CB37" s="39">
        <v>22013.900615256367</v>
      </c>
      <c r="CC37" s="47">
        <v>2.4512530737694562</v>
      </c>
      <c r="CD37" s="41">
        <f t="shared" si="24"/>
        <v>2.4512530737694562</v>
      </c>
      <c r="CE37" s="39">
        <v>4601.1032510905325</v>
      </c>
      <c r="CF37" s="47">
        <v>8.0812775162994548</v>
      </c>
    </row>
    <row r="38" spans="1:84" s="22" customFormat="1" ht="15" customHeight="1">
      <c r="A38" s="324" t="str">
        <f t="shared" si="68"/>
        <v>BNI - Efficient Product Rebates; Evaporator Fan Motor Controls for Walk-In Freezers and Coolers; COM-Refrigeration; Retail</v>
      </c>
      <c r="B38" s="36" t="s">
        <v>60</v>
      </c>
      <c r="C38" s="15" t="s">
        <v>44</v>
      </c>
      <c r="D38" s="15" t="s">
        <v>28</v>
      </c>
      <c r="E38" s="37">
        <v>15</v>
      </c>
      <c r="F38" s="38">
        <v>2709.4815488000013</v>
      </c>
      <c r="G38" s="38">
        <v>1883.0135948395091</v>
      </c>
      <c r="H38" s="39">
        <v>2254</v>
      </c>
      <c r="I38" s="40">
        <v>0.22182786157941436</v>
      </c>
      <c r="J38" s="39">
        <v>86.70340956160004</v>
      </c>
      <c r="K38" s="39">
        <v>586.70340956159998</v>
      </c>
      <c r="L38" s="39">
        <v>1754</v>
      </c>
      <c r="M38" s="39">
        <v>2340.7034095616</v>
      </c>
      <c r="N38" s="39">
        <v>4927.5994105960199</v>
      </c>
      <c r="O38" s="41">
        <v>0.82</v>
      </c>
      <c r="P38" s="41">
        <v>2.0881995663230017</v>
      </c>
      <c r="Q38" s="261">
        <f t="shared" si="69"/>
        <v>2.0881995663230017</v>
      </c>
      <c r="R38" s="262">
        <f t="shared" si="18"/>
        <v>0</v>
      </c>
      <c r="S38" s="262">
        <f t="shared" si="70"/>
        <v>0</v>
      </c>
      <c r="T38" s="261">
        <f t="shared" si="71"/>
        <v>2.0881995663230017</v>
      </c>
      <c r="U38" s="267">
        <f t="shared" si="45"/>
        <v>0</v>
      </c>
      <c r="V38" s="42" t="s">
        <v>38</v>
      </c>
      <c r="W38" s="198" t="s">
        <v>38</v>
      </c>
      <c r="X38" s="198"/>
      <c r="Y38" s="333">
        <v>0</v>
      </c>
      <c r="Z38" s="335">
        <v>0</v>
      </c>
      <c r="AA38" s="288">
        <f t="shared" si="50"/>
        <v>0</v>
      </c>
      <c r="AB38" s="288">
        <f t="shared" si="51"/>
        <v>0</v>
      </c>
      <c r="AC38" s="288">
        <f t="shared" ref="AC38:AE38" si="78">AB38*0</f>
        <v>0</v>
      </c>
      <c r="AD38" s="288">
        <f t="shared" si="78"/>
        <v>0</v>
      </c>
      <c r="AE38" s="288">
        <f t="shared" si="78"/>
        <v>0</v>
      </c>
      <c r="AF38" s="288">
        <f t="shared" si="47"/>
        <v>0</v>
      </c>
      <c r="AG38" s="288" t="s">
        <v>38</v>
      </c>
      <c r="AH38" s="288">
        <f t="shared" si="48"/>
        <v>0</v>
      </c>
      <c r="AI38" s="288">
        <f t="shared" ref="AI38:AJ38" si="79">AH38*0</f>
        <v>0</v>
      </c>
      <c r="AJ38" s="288">
        <f t="shared" si="79"/>
        <v>0</v>
      </c>
      <c r="AK38" s="288">
        <f t="shared" si="74"/>
        <v>0</v>
      </c>
      <c r="AL38" s="246" t="s">
        <v>451</v>
      </c>
      <c r="AM38" s="234" t="s">
        <v>330</v>
      </c>
      <c r="AN38" s="102" t="s">
        <v>38</v>
      </c>
      <c r="AO38" s="241"/>
      <c r="AP38" s="43" t="s">
        <v>60</v>
      </c>
      <c r="AQ38" s="44">
        <v>13.508036313246365</v>
      </c>
      <c r="AR38" s="45">
        <v>19.436808768436347</v>
      </c>
      <c r="AS38" s="46">
        <v>13.508036313246365</v>
      </c>
      <c r="AT38" s="45">
        <v>19.436808768436347</v>
      </c>
      <c r="AU38" s="393">
        <v>35348.757947302845</v>
      </c>
      <c r="AV38" s="295">
        <f t="shared" si="75"/>
        <v>0</v>
      </c>
      <c r="AW38" s="295">
        <f t="shared" si="19"/>
        <v>35348.757947302845</v>
      </c>
      <c r="AX38" s="39">
        <v>16927.86384854326</v>
      </c>
      <c r="AY38" s="41">
        <v>8.7483250579282874</v>
      </c>
      <c r="AZ38" s="39">
        <v>18420.894098759585</v>
      </c>
      <c r="BA38" s="47">
        <v>2.0881995663230013</v>
      </c>
      <c r="BB38" s="41">
        <f t="shared" si="20"/>
        <v>2.0881995663230013</v>
      </c>
      <c r="BC38" s="39">
        <v>5132.6721394397082</v>
      </c>
      <c r="BD38" s="47">
        <v>6.8870087523575156</v>
      </c>
      <c r="BE38" s="46">
        <v>14.212497162224183</v>
      </c>
      <c r="BF38" s="45">
        <v>20.450462454946276</v>
      </c>
      <c r="BG38" s="46">
        <v>27.72053347547055</v>
      </c>
      <c r="BH38" s="45">
        <v>39.887271223382626</v>
      </c>
      <c r="BI38" s="393">
        <v>40409.716570879194</v>
      </c>
      <c r="BJ38" s="295">
        <f t="shared" si="76"/>
        <v>0</v>
      </c>
      <c r="BK38" s="295">
        <f t="shared" si="21"/>
        <v>40409.716570879194</v>
      </c>
      <c r="BL38" s="39">
        <v>17810.672945408933</v>
      </c>
      <c r="BM38" s="41">
        <v>9.2045610610399038</v>
      </c>
      <c r="BN38" s="39">
        <v>22599.043625470262</v>
      </c>
      <c r="BO38" s="47">
        <v>2.2688483862871465</v>
      </c>
      <c r="BP38" s="41">
        <f t="shared" si="22"/>
        <v>2.2688483862871465</v>
      </c>
      <c r="BQ38" s="39">
        <v>5400.3473580300506</v>
      </c>
      <c r="BR38" s="47">
        <v>7.4827995111818009</v>
      </c>
      <c r="BS38" s="44">
        <v>17.316971842400935</v>
      </c>
      <c r="BT38" s="45">
        <v>24.917512978483582</v>
      </c>
      <c r="BU38" s="46">
        <v>45.037505317871485</v>
      </c>
      <c r="BV38" s="45">
        <v>64.804784201866212</v>
      </c>
      <c r="BW38" s="393">
        <v>53515.867657642259</v>
      </c>
      <c r="BX38" s="295">
        <f t="shared" si="77"/>
        <v>0</v>
      </c>
      <c r="BY38" s="295">
        <f t="shared" si="23"/>
        <v>53515.867657642259</v>
      </c>
      <c r="BZ38" s="39">
        <v>21701.107016551294</v>
      </c>
      <c r="CA38" s="41">
        <v>11.215138542954232</v>
      </c>
      <c r="CB38" s="39">
        <v>31814.760641090965</v>
      </c>
      <c r="CC38" s="47">
        <v>2.4660432123036879</v>
      </c>
      <c r="CD38" s="41">
        <f t="shared" si="24"/>
        <v>2.4660432123036879</v>
      </c>
      <c r="CE38" s="39">
        <v>6579.9600218569631</v>
      </c>
      <c r="CF38" s="47">
        <v>8.1331600009538167</v>
      </c>
    </row>
    <row r="39" spans="1:84" s="22" customFormat="1" ht="15" customHeight="1">
      <c r="A39" s="324" t="str">
        <f t="shared" si="68"/>
        <v>BNI - Efficient Product Rebates; Evaporator Fan Motor Controls for Walk-In Freezers and Coolers; COM-Refrigeration; School</v>
      </c>
      <c r="B39" s="36" t="s">
        <v>60</v>
      </c>
      <c r="C39" s="15" t="s">
        <v>44</v>
      </c>
      <c r="D39" s="15" t="s">
        <v>57</v>
      </c>
      <c r="E39" s="37">
        <v>15</v>
      </c>
      <c r="F39" s="38">
        <v>2719.5889536000013</v>
      </c>
      <c r="G39" s="38">
        <v>1800.2425498236937</v>
      </c>
      <c r="H39" s="39">
        <v>2254</v>
      </c>
      <c r="I39" s="40">
        <v>0.22182786157941436</v>
      </c>
      <c r="J39" s="39">
        <v>87.026846515200049</v>
      </c>
      <c r="K39" s="39">
        <v>587.02684651520008</v>
      </c>
      <c r="L39" s="39">
        <v>1754</v>
      </c>
      <c r="M39" s="39">
        <v>2341.0268465152003</v>
      </c>
      <c r="N39" s="39">
        <v>4805.3230614194435</v>
      </c>
      <c r="O39" s="41">
        <v>0.82</v>
      </c>
      <c r="P39" s="41">
        <v>2.0360414253993575</v>
      </c>
      <c r="Q39" s="261">
        <f t="shared" si="69"/>
        <v>2.0360414253993575</v>
      </c>
      <c r="R39" s="262">
        <f t="shared" si="18"/>
        <v>0</v>
      </c>
      <c r="S39" s="262">
        <f t="shared" si="70"/>
        <v>0</v>
      </c>
      <c r="T39" s="261">
        <f t="shared" si="71"/>
        <v>2.0360414253993575</v>
      </c>
      <c r="U39" s="267">
        <f t="shared" si="45"/>
        <v>0</v>
      </c>
      <c r="V39" s="42" t="s">
        <v>38</v>
      </c>
      <c r="W39" s="198" t="s">
        <v>38</v>
      </c>
      <c r="X39" s="198"/>
      <c r="Y39" s="333">
        <v>0</v>
      </c>
      <c r="Z39" s="335">
        <v>0</v>
      </c>
      <c r="AA39" s="288">
        <f t="shared" si="50"/>
        <v>0</v>
      </c>
      <c r="AB39" s="288">
        <f t="shared" si="51"/>
        <v>0</v>
      </c>
      <c r="AC39" s="288">
        <f t="shared" ref="AC39:AE39" si="80">AB39*0</f>
        <v>0</v>
      </c>
      <c r="AD39" s="288">
        <f t="shared" si="80"/>
        <v>0</v>
      </c>
      <c r="AE39" s="288">
        <f t="shared" si="80"/>
        <v>0</v>
      </c>
      <c r="AF39" s="288">
        <f t="shared" si="47"/>
        <v>0</v>
      </c>
      <c r="AG39" s="288" t="s">
        <v>38</v>
      </c>
      <c r="AH39" s="288">
        <f t="shared" si="48"/>
        <v>0</v>
      </c>
      <c r="AI39" s="288">
        <f t="shared" ref="AI39:AJ39" si="81">AH39*0</f>
        <v>0</v>
      </c>
      <c r="AJ39" s="288">
        <f t="shared" si="81"/>
        <v>0</v>
      </c>
      <c r="AK39" s="288">
        <f t="shared" si="74"/>
        <v>0</v>
      </c>
      <c r="AL39" s="246" t="s">
        <v>451</v>
      </c>
      <c r="AM39" s="234" t="s">
        <v>330</v>
      </c>
      <c r="AN39" s="102" t="s">
        <v>38</v>
      </c>
      <c r="AO39" s="241"/>
      <c r="AP39" s="43" t="s">
        <v>60</v>
      </c>
      <c r="AQ39" s="44">
        <v>12.871876588679674</v>
      </c>
      <c r="AR39" s="45">
        <v>19.445276074662292</v>
      </c>
      <c r="AS39" s="46">
        <v>12.871876588679674</v>
      </c>
      <c r="AT39" s="45">
        <v>19.445276074662292</v>
      </c>
      <c r="AU39" s="393">
        <v>34358.439878773599</v>
      </c>
      <c r="AV39" s="295">
        <f t="shared" si="75"/>
        <v>0</v>
      </c>
      <c r="AW39" s="295">
        <f t="shared" si="19"/>
        <v>34358.439878773599</v>
      </c>
      <c r="AX39" s="39">
        <v>16875.118281070532</v>
      </c>
      <c r="AY39" s="41">
        <v>8.7196086302575857</v>
      </c>
      <c r="AZ39" s="39">
        <v>17483.321597703067</v>
      </c>
      <c r="BA39" s="47">
        <v>2.0360414253993575</v>
      </c>
      <c r="BB39" s="41">
        <f t="shared" si="20"/>
        <v>2.0360414253993575</v>
      </c>
      <c r="BC39" s="39">
        <v>5118.6443570668334</v>
      </c>
      <c r="BD39" s="47">
        <v>6.7124100605540438</v>
      </c>
      <c r="BE39" s="46">
        <v>13.542764316142911</v>
      </c>
      <c r="BF39" s="45">
        <v>20.458772202111071</v>
      </c>
      <c r="BG39" s="46">
        <v>26.414640904822587</v>
      </c>
      <c r="BH39" s="45">
        <v>39.904048276773366</v>
      </c>
      <c r="BI39" s="393">
        <v>39245.09867994699</v>
      </c>
      <c r="BJ39" s="295">
        <f t="shared" si="76"/>
        <v>0</v>
      </c>
      <c r="BK39" s="295">
        <f t="shared" si="21"/>
        <v>39245.09867994699</v>
      </c>
      <c r="BL39" s="39">
        <v>17754.656682193603</v>
      </c>
      <c r="BM39" s="41">
        <v>9.1740783711706637</v>
      </c>
      <c r="BN39" s="39">
        <v>21490.441997753387</v>
      </c>
      <c r="BO39" s="47">
        <v>2.2104115772233692</v>
      </c>
      <c r="BP39" s="41">
        <f t="shared" si="22"/>
        <v>2.2104115772233692</v>
      </c>
      <c r="BQ39" s="39">
        <v>5385.4302959116176</v>
      </c>
      <c r="BR39" s="47">
        <v>7.2872726084190802</v>
      </c>
      <c r="BS39" s="44">
        <v>16.500180964799593</v>
      </c>
      <c r="BT39" s="45">
        <v>24.926479983858108</v>
      </c>
      <c r="BU39" s="46">
        <v>42.914821869622173</v>
      </c>
      <c r="BV39" s="45">
        <v>64.830528260631468</v>
      </c>
      <c r="BW39" s="393">
        <v>51936.697810254977</v>
      </c>
      <c r="BX39" s="295">
        <f t="shared" si="77"/>
        <v>0</v>
      </c>
      <c r="BY39" s="295">
        <f t="shared" si="23"/>
        <v>51936.697810254977</v>
      </c>
      <c r="BZ39" s="39">
        <v>21631.850144130596</v>
      </c>
      <c r="CA39" s="41">
        <v>11.17747822939906</v>
      </c>
      <c r="CB39" s="39">
        <v>30304.84766612438</v>
      </c>
      <c r="CC39" s="47">
        <v>2.4009364647132156</v>
      </c>
      <c r="CD39" s="41">
        <f t="shared" si="24"/>
        <v>2.4009364647132156</v>
      </c>
      <c r="CE39" s="39">
        <v>6561.479796996432</v>
      </c>
      <c r="CF39" s="47">
        <v>7.9153939990837738</v>
      </c>
    </row>
    <row r="40" spans="1:84" s="22" customFormat="1" ht="15" customHeight="1">
      <c r="A40" s="324" t="str">
        <f t="shared" si="68"/>
        <v>BNI - Efficient Product Rebates; Intelligent (Electronic) Defrost Control For Freezer Display Cases; COM-Refrigeration; Other Commercial</v>
      </c>
      <c r="B40" s="36" t="s">
        <v>61</v>
      </c>
      <c r="C40" s="15" t="s">
        <v>44</v>
      </c>
      <c r="D40" s="15" t="s">
        <v>54</v>
      </c>
      <c r="E40" s="37">
        <v>10</v>
      </c>
      <c r="F40" s="38">
        <v>242.52460350264144</v>
      </c>
      <c r="G40" s="26">
        <v>165.99289669331412</v>
      </c>
      <c r="H40" s="27">
        <v>91</v>
      </c>
      <c r="I40" s="28">
        <v>0.5494505494505495</v>
      </c>
      <c r="J40" s="27">
        <v>7.7607873120845259</v>
      </c>
      <c r="K40" s="27">
        <v>57.760787312084531</v>
      </c>
      <c r="L40" s="27">
        <v>40.999999999999993</v>
      </c>
      <c r="M40" s="27">
        <v>98.760787312084517</v>
      </c>
      <c r="N40" s="27">
        <v>308.76506482612609</v>
      </c>
      <c r="O40" s="29">
        <v>0.82</v>
      </c>
      <c r="P40" s="29">
        <v>3.0733786531836542</v>
      </c>
      <c r="Q40" s="261">
        <f t="shared" si="69"/>
        <v>3.0733786531836542</v>
      </c>
      <c r="R40" s="262">
        <f t="shared" si="18"/>
        <v>0</v>
      </c>
      <c r="S40" s="262">
        <f t="shared" si="70"/>
        <v>0</v>
      </c>
      <c r="T40" s="261">
        <f t="shared" si="71"/>
        <v>3.0733786531836542</v>
      </c>
      <c r="U40" s="267">
        <f t="shared" si="45"/>
        <v>0</v>
      </c>
      <c r="V40" s="42" t="s">
        <v>38</v>
      </c>
      <c r="W40" s="198" t="s">
        <v>38</v>
      </c>
      <c r="X40" s="198"/>
      <c r="Y40" s="333">
        <v>0</v>
      </c>
      <c r="Z40" s="335">
        <v>0</v>
      </c>
      <c r="AA40" s="288">
        <f t="shared" si="50"/>
        <v>0</v>
      </c>
      <c r="AB40" s="288">
        <f t="shared" si="51"/>
        <v>0</v>
      </c>
      <c r="AC40" s="288">
        <f t="shared" ref="AC40:AE40" si="82">AB40*0</f>
        <v>0</v>
      </c>
      <c r="AD40" s="288">
        <f t="shared" si="82"/>
        <v>0</v>
      </c>
      <c r="AE40" s="288">
        <f t="shared" si="82"/>
        <v>0</v>
      </c>
      <c r="AF40" s="288">
        <f t="shared" si="47"/>
        <v>0</v>
      </c>
      <c r="AG40" s="288" t="s">
        <v>38</v>
      </c>
      <c r="AH40" s="288">
        <f t="shared" si="48"/>
        <v>0</v>
      </c>
      <c r="AI40" s="288">
        <f t="shared" ref="AI40:AJ40" si="83">AH40*0</f>
        <v>0</v>
      </c>
      <c r="AJ40" s="288">
        <f t="shared" si="83"/>
        <v>0</v>
      </c>
      <c r="AK40" s="288">
        <f t="shared" si="74"/>
        <v>0</v>
      </c>
      <c r="AL40" s="246" t="s">
        <v>452</v>
      </c>
      <c r="AM40" s="234" t="s">
        <v>330</v>
      </c>
      <c r="AN40" s="102" t="s">
        <v>38</v>
      </c>
      <c r="AO40" s="241"/>
      <c r="AP40" s="43" t="s">
        <v>61</v>
      </c>
      <c r="AQ40" s="44">
        <v>1.5177907166096627</v>
      </c>
      <c r="AR40" s="45">
        <v>2.2175743605815086</v>
      </c>
      <c r="AS40" s="46">
        <v>1.5177907166096627</v>
      </c>
      <c r="AT40" s="45">
        <v>2.2175743605815086</v>
      </c>
      <c r="AU40" s="393">
        <v>2823.2578522461008</v>
      </c>
      <c r="AV40" s="295">
        <f t="shared" si="75"/>
        <v>0</v>
      </c>
      <c r="AW40" s="295">
        <f t="shared" si="19"/>
        <v>2823.2578522461008</v>
      </c>
      <c r="AX40" s="39">
        <v>918.6169915384628</v>
      </c>
      <c r="AY40" s="41">
        <v>11.150864437098067</v>
      </c>
      <c r="AZ40" s="39">
        <v>1904.640860707638</v>
      </c>
      <c r="BA40" s="47">
        <v>3.0733786531836538</v>
      </c>
      <c r="BB40" s="41">
        <f t="shared" si="20"/>
        <v>3.0733786531836538</v>
      </c>
      <c r="BC40" s="39">
        <v>644.08270909710859</v>
      </c>
      <c r="BD40" s="47">
        <v>4.3833778059401949</v>
      </c>
      <c r="BE40" s="46">
        <v>1.4286806671989629</v>
      </c>
      <c r="BF40" s="45">
        <v>2.0873797568849444</v>
      </c>
      <c r="BG40" s="46">
        <v>2.9464713838086256</v>
      </c>
      <c r="BH40" s="45">
        <v>4.304954117466453</v>
      </c>
      <c r="BI40" s="393">
        <v>2967.4793624829508</v>
      </c>
      <c r="BJ40" s="295">
        <f t="shared" si="76"/>
        <v>0</v>
      </c>
      <c r="BK40" s="295">
        <f t="shared" si="21"/>
        <v>2967.4793624829508</v>
      </c>
      <c r="BL40" s="39">
        <v>864.68465119028247</v>
      </c>
      <c r="BM40" s="41">
        <v>10.496193097968137</v>
      </c>
      <c r="BN40" s="39">
        <v>2102.7947112926686</v>
      </c>
      <c r="BO40" s="47">
        <v>3.4318631172625351</v>
      </c>
      <c r="BP40" s="41">
        <f t="shared" si="22"/>
        <v>3.4318631172625351</v>
      </c>
      <c r="BQ40" s="39">
        <v>606.26837711830717</v>
      </c>
      <c r="BR40" s="47">
        <v>4.8946629487552462</v>
      </c>
      <c r="BS40" s="44">
        <v>1.5421160125779414</v>
      </c>
      <c r="BT40" s="45">
        <v>2.2531149341681664</v>
      </c>
      <c r="BU40" s="46">
        <v>4.488587396386567</v>
      </c>
      <c r="BV40" s="45">
        <v>6.5580690516346198</v>
      </c>
      <c r="BW40" s="393">
        <v>3565.2122479361592</v>
      </c>
      <c r="BX40" s="295">
        <f t="shared" si="77"/>
        <v>0</v>
      </c>
      <c r="BY40" s="295">
        <f t="shared" si="23"/>
        <v>3565.2122479361592</v>
      </c>
      <c r="BZ40" s="39">
        <v>933.33946279627685</v>
      </c>
      <c r="CA40" s="41">
        <v>11.329576874040926</v>
      </c>
      <c r="CB40" s="39">
        <v>2631.8727851398826</v>
      </c>
      <c r="CC40" s="47">
        <v>3.8198451796464434</v>
      </c>
      <c r="CD40" s="41">
        <f t="shared" si="24"/>
        <v>3.8198451796464434</v>
      </c>
      <c r="CE40" s="39">
        <v>654.40528015738937</v>
      </c>
      <c r="CF40" s="47">
        <v>5.4480187676338723</v>
      </c>
    </row>
    <row r="41" spans="1:84" s="22" customFormat="1" ht="15" customHeight="1">
      <c r="A41" s="324" t="str">
        <f t="shared" si="68"/>
        <v>BNI - Efficient Product Rebates; Intelligent (Electronic) Defrost Control For Freezer Display Cases; COM-Refrigeration; Retail</v>
      </c>
      <c r="B41" s="36" t="s">
        <v>61</v>
      </c>
      <c r="C41" s="15" t="s">
        <v>44</v>
      </c>
      <c r="D41" s="15" t="s">
        <v>28</v>
      </c>
      <c r="E41" s="37">
        <v>10</v>
      </c>
      <c r="F41" s="38">
        <v>242.52460350264144</v>
      </c>
      <c r="G41" s="26">
        <v>168.54778940302901</v>
      </c>
      <c r="H41" s="27">
        <v>91</v>
      </c>
      <c r="I41" s="28">
        <v>0.5494505494505495</v>
      </c>
      <c r="J41" s="27">
        <v>7.7607873120845259</v>
      </c>
      <c r="K41" s="27">
        <v>57.760787312084531</v>
      </c>
      <c r="L41" s="27">
        <v>40.999999999999993</v>
      </c>
      <c r="M41" s="27">
        <v>98.760787312084517</v>
      </c>
      <c r="N41" s="27">
        <v>311.62062768425011</v>
      </c>
      <c r="O41" s="29">
        <v>0.82</v>
      </c>
      <c r="P41" s="29">
        <v>3.1018022895685688</v>
      </c>
      <c r="Q41" s="261">
        <f t="shared" si="69"/>
        <v>3.1018022895685688</v>
      </c>
      <c r="R41" s="262">
        <f t="shared" si="18"/>
        <v>0</v>
      </c>
      <c r="S41" s="262">
        <f t="shared" si="70"/>
        <v>0</v>
      </c>
      <c r="T41" s="261">
        <f t="shared" si="71"/>
        <v>3.1018022895685688</v>
      </c>
      <c r="U41" s="267">
        <f t="shared" si="45"/>
        <v>0</v>
      </c>
      <c r="V41" s="42" t="s">
        <v>38</v>
      </c>
      <c r="W41" s="198" t="s">
        <v>38</v>
      </c>
      <c r="X41" s="198"/>
      <c r="Y41" s="333">
        <v>0</v>
      </c>
      <c r="Z41" s="335">
        <v>0</v>
      </c>
      <c r="AA41" s="288">
        <f t="shared" si="50"/>
        <v>0</v>
      </c>
      <c r="AB41" s="288">
        <f t="shared" si="51"/>
        <v>0</v>
      </c>
      <c r="AC41" s="288">
        <f t="shared" ref="AC41:AE41" si="84">AB41*0</f>
        <v>0</v>
      </c>
      <c r="AD41" s="288">
        <f t="shared" si="84"/>
        <v>0</v>
      </c>
      <c r="AE41" s="288">
        <f t="shared" si="84"/>
        <v>0</v>
      </c>
      <c r="AF41" s="288">
        <f t="shared" si="47"/>
        <v>0</v>
      </c>
      <c r="AG41" s="288" t="s">
        <v>38</v>
      </c>
      <c r="AH41" s="288">
        <f t="shared" si="48"/>
        <v>0</v>
      </c>
      <c r="AI41" s="288">
        <f t="shared" ref="AI41:AJ41" si="85">AH41*0</f>
        <v>0</v>
      </c>
      <c r="AJ41" s="288">
        <f t="shared" si="85"/>
        <v>0</v>
      </c>
      <c r="AK41" s="288">
        <f t="shared" si="74"/>
        <v>0</v>
      </c>
      <c r="AL41" s="246" t="s">
        <v>452</v>
      </c>
      <c r="AM41" s="234" t="s">
        <v>330</v>
      </c>
      <c r="AN41" s="102" t="s">
        <v>38</v>
      </c>
      <c r="AO41" s="241"/>
      <c r="AP41" s="43" t="s">
        <v>61</v>
      </c>
      <c r="AQ41" s="44">
        <v>2.2049911629137289</v>
      </c>
      <c r="AR41" s="45">
        <v>3.1727773434854081</v>
      </c>
      <c r="AS41" s="46">
        <v>2.2049911629137289</v>
      </c>
      <c r="AT41" s="45">
        <v>3.1727773434854081</v>
      </c>
      <c r="AU41" s="393">
        <v>4076.7116119355778</v>
      </c>
      <c r="AV41" s="295">
        <f t="shared" si="75"/>
        <v>0</v>
      </c>
      <c r="AW41" s="295">
        <f t="shared" si="19"/>
        <v>4076.7116119355778</v>
      </c>
      <c r="AX41" s="39">
        <v>1314.3041468650829</v>
      </c>
      <c r="AY41" s="41">
        <v>15.954012940979581</v>
      </c>
      <c r="AZ41" s="39">
        <v>2762.4074650704952</v>
      </c>
      <c r="BA41" s="47">
        <v>3.1018022895685684</v>
      </c>
      <c r="BB41" s="41">
        <f t="shared" si="20"/>
        <v>3.1018022895685684</v>
      </c>
      <c r="BC41" s="39">
        <v>921.51634825816575</v>
      </c>
      <c r="BD41" s="47">
        <v>4.4239167537736117</v>
      </c>
      <c r="BE41" s="46">
        <v>2.075535323365377</v>
      </c>
      <c r="BF41" s="45">
        <v>2.9865024224747772</v>
      </c>
      <c r="BG41" s="46">
        <v>4.2805264862791059</v>
      </c>
      <c r="BH41" s="45">
        <v>6.1592797659601857</v>
      </c>
      <c r="BI41" s="393">
        <v>4286.7720211014521</v>
      </c>
      <c r="BJ41" s="295">
        <f t="shared" si="76"/>
        <v>0</v>
      </c>
      <c r="BK41" s="295">
        <f t="shared" si="21"/>
        <v>4286.7720211014521</v>
      </c>
      <c r="BL41" s="39">
        <v>1237.1408685644717</v>
      </c>
      <c r="BM41" s="41">
        <v>15.017346992300403</v>
      </c>
      <c r="BN41" s="39">
        <v>3049.6311525369802</v>
      </c>
      <c r="BO41" s="47">
        <v>3.4650637854003232</v>
      </c>
      <c r="BP41" s="41">
        <f t="shared" si="22"/>
        <v>3.4650637854003232</v>
      </c>
      <c r="BQ41" s="39">
        <v>867.41378561403599</v>
      </c>
      <c r="BR41" s="47">
        <v>4.9420150938307685</v>
      </c>
      <c r="BS41" s="44">
        <v>2.2403300683756919</v>
      </c>
      <c r="BT41" s="45">
        <v>3.2236267439179827</v>
      </c>
      <c r="BU41" s="46">
        <v>6.5208565546547979</v>
      </c>
      <c r="BV41" s="45">
        <v>9.3829065098781683</v>
      </c>
      <c r="BW41" s="393">
        <v>5151.9775265406024</v>
      </c>
      <c r="BX41" s="295">
        <f t="shared" si="77"/>
        <v>0</v>
      </c>
      <c r="BY41" s="295">
        <f t="shared" si="23"/>
        <v>5151.9775265406024</v>
      </c>
      <c r="BZ41" s="39">
        <v>1335.3682086062447</v>
      </c>
      <c r="CA41" s="41">
        <v>16.209704376184789</v>
      </c>
      <c r="CB41" s="39">
        <v>3816.6093179343579</v>
      </c>
      <c r="CC41" s="47">
        <v>3.8580950881838372</v>
      </c>
      <c r="CD41" s="41">
        <f t="shared" si="24"/>
        <v>3.8580950881838372</v>
      </c>
      <c r="CE41" s="39">
        <v>936.28528686457548</v>
      </c>
      <c r="CF41" s="47">
        <v>5.5025723450098232</v>
      </c>
    </row>
    <row r="42" spans="1:84" s="22" customFormat="1" ht="15" customHeight="1">
      <c r="A42" s="324" t="str">
        <f t="shared" si="68"/>
        <v>BNI - Efficient Product Rebates; Intelligent (Electronic) Defrost Control For Freezer Display Cases; COM-Refrigeration; School</v>
      </c>
      <c r="B42" s="36" t="s">
        <v>61</v>
      </c>
      <c r="C42" s="15" t="s">
        <v>44</v>
      </c>
      <c r="D42" s="15" t="s">
        <v>57</v>
      </c>
      <c r="E42" s="37">
        <v>10</v>
      </c>
      <c r="F42" s="38">
        <v>242.52460350264144</v>
      </c>
      <c r="G42" s="26">
        <v>160.54011030844603</v>
      </c>
      <c r="H42" s="27">
        <v>91</v>
      </c>
      <c r="I42" s="28">
        <v>0.5494505494505495</v>
      </c>
      <c r="J42" s="27">
        <v>7.7607873120845259</v>
      </c>
      <c r="K42" s="27">
        <v>57.760787312084531</v>
      </c>
      <c r="L42" s="27">
        <v>40.999999999999993</v>
      </c>
      <c r="M42" s="27">
        <v>98.760787312084517</v>
      </c>
      <c r="N42" s="27">
        <v>302.67057239804626</v>
      </c>
      <c r="O42" s="29">
        <v>0.82</v>
      </c>
      <c r="P42" s="29">
        <v>3.0127154335898254</v>
      </c>
      <c r="Q42" s="261">
        <f t="shared" si="69"/>
        <v>3.0127154335898254</v>
      </c>
      <c r="R42" s="262">
        <f t="shared" si="18"/>
        <v>0</v>
      </c>
      <c r="S42" s="262">
        <f t="shared" si="70"/>
        <v>0</v>
      </c>
      <c r="T42" s="261">
        <f t="shared" si="71"/>
        <v>3.0127154335898254</v>
      </c>
      <c r="U42" s="267">
        <f t="shared" si="45"/>
        <v>0</v>
      </c>
      <c r="V42" s="42" t="s">
        <v>38</v>
      </c>
      <c r="W42" s="198" t="s">
        <v>38</v>
      </c>
      <c r="X42" s="198"/>
      <c r="Y42" s="333">
        <v>0</v>
      </c>
      <c r="Z42" s="335">
        <v>0</v>
      </c>
      <c r="AA42" s="288">
        <f t="shared" si="50"/>
        <v>0</v>
      </c>
      <c r="AB42" s="288">
        <f t="shared" si="51"/>
        <v>0</v>
      </c>
      <c r="AC42" s="288">
        <f t="shared" ref="AC42:AE42" si="86">AB42*0</f>
        <v>0</v>
      </c>
      <c r="AD42" s="288">
        <f t="shared" si="86"/>
        <v>0</v>
      </c>
      <c r="AE42" s="288">
        <f t="shared" si="86"/>
        <v>0</v>
      </c>
      <c r="AF42" s="288">
        <f t="shared" si="47"/>
        <v>0</v>
      </c>
      <c r="AG42" s="288" t="s">
        <v>38</v>
      </c>
      <c r="AH42" s="288">
        <f t="shared" si="48"/>
        <v>0</v>
      </c>
      <c r="AI42" s="288">
        <f t="shared" ref="AI42:AJ42" si="87">AH42*0</f>
        <v>0</v>
      </c>
      <c r="AJ42" s="288">
        <f t="shared" si="87"/>
        <v>0</v>
      </c>
      <c r="AK42" s="288">
        <f t="shared" si="74"/>
        <v>0</v>
      </c>
      <c r="AL42" s="246" t="s">
        <v>452</v>
      </c>
      <c r="AM42" s="234" t="s">
        <v>330</v>
      </c>
      <c r="AN42" s="102" t="s">
        <v>38</v>
      </c>
      <c r="AO42" s="241"/>
      <c r="AP42" s="43" t="s">
        <v>61</v>
      </c>
      <c r="AQ42" s="44">
        <v>2.093368873371078</v>
      </c>
      <c r="AR42" s="45">
        <v>3.1624087900753244</v>
      </c>
      <c r="AS42" s="46">
        <v>2.093368873371078</v>
      </c>
      <c r="AT42" s="45">
        <v>3.1624087900753244</v>
      </c>
      <c r="AU42" s="393">
        <v>3946.6844387121591</v>
      </c>
      <c r="AV42" s="295">
        <f t="shared" si="75"/>
        <v>0</v>
      </c>
      <c r="AW42" s="295">
        <f t="shared" si="19"/>
        <v>3946.6844387121591</v>
      </c>
      <c r="AX42" s="39">
        <v>1310.0090352740201</v>
      </c>
      <c r="AY42" s="41">
        <v>15.901875643786834</v>
      </c>
      <c r="AZ42" s="39">
        <v>2636.6754034381393</v>
      </c>
      <c r="BA42" s="47">
        <v>3.0127154335898259</v>
      </c>
      <c r="BB42" s="41">
        <f t="shared" si="20"/>
        <v>3.0127154335898259</v>
      </c>
      <c r="BC42" s="39">
        <v>918.50485692398865</v>
      </c>
      <c r="BD42" s="47">
        <v>4.2968574514993216</v>
      </c>
      <c r="BE42" s="46">
        <v>1.9704664193637169</v>
      </c>
      <c r="BF42" s="45">
        <v>2.9767426106366228</v>
      </c>
      <c r="BG42" s="46">
        <v>4.0638352927347947</v>
      </c>
      <c r="BH42" s="45">
        <v>6.1391514007119472</v>
      </c>
      <c r="BI42" s="393">
        <v>4144.4476798549604</v>
      </c>
      <c r="BJ42" s="295">
        <f t="shared" si="76"/>
        <v>0</v>
      </c>
      <c r="BK42" s="295">
        <f t="shared" si="21"/>
        <v>4144.4476798549604</v>
      </c>
      <c r="BL42" s="39">
        <v>1233.0979245495548</v>
      </c>
      <c r="BM42" s="41">
        <v>14.968270694939941</v>
      </c>
      <c r="BN42" s="39">
        <v>2911.3497553054058</v>
      </c>
      <c r="BO42" s="47">
        <v>3.3610045052739088</v>
      </c>
      <c r="BP42" s="41">
        <f t="shared" si="22"/>
        <v>3.3610045052739088</v>
      </c>
      <c r="BQ42" s="39">
        <v>864.57910004013365</v>
      </c>
      <c r="BR42" s="47">
        <v>4.7936015104489291</v>
      </c>
      <c r="BS42" s="44">
        <v>2.1269188330975934</v>
      </c>
      <c r="BT42" s="45">
        <v>3.2130920159966823</v>
      </c>
      <c r="BU42" s="46">
        <v>6.190754125832389</v>
      </c>
      <c r="BV42" s="45">
        <v>9.3522434167086299</v>
      </c>
      <c r="BW42" s="393">
        <v>4975.5737194088169</v>
      </c>
      <c r="BX42" s="295">
        <f t="shared" si="77"/>
        <v>0</v>
      </c>
      <c r="BY42" s="295">
        <f t="shared" si="23"/>
        <v>4975.5737194088169</v>
      </c>
      <c r="BZ42" s="39">
        <v>1331.0042602121066</v>
      </c>
      <c r="CA42" s="41">
        <v>16.156731486066537</v>
      </c>
      <c r="CB42" s="39">
        <v>3644.5694591967103</v>
      </c>
      <c r="CC42" s="47">
        <v>3.7382102132535007</v>
      </c>
      <c r="CD42" s="41">
        <f t="shared" si="24"/>
        <v>3.7382102132535007</v>
      </c>
      <c r="CE42" s="39">
        <v>933.22553102514871</v>
      </c>
      <c r="CF42" s="47">
        <v>5.3315876537830533</v>
      </c>
    </row>
    <row r="43" spans="1:84" s="22" customFormat="1" ht="15" customHeight="1">
      <c r="A43" s="324" t="str">
        <f t="shared" si="68"/>
        <v>BNI - Efficient Product Rebates; Intelligent (Electronic) Defrost Control For Walk-In Freezers; COM-Refrigeration; Other Commercial</v>
      </c>
      <c r="B43" s="36" t="s">
        <v>62</v>
      </c>
      <c r="C43" s="15" t="s">
        <v>44</v>
      </c>
      <c r="D43" s="15" t="s">
        <v>54</v>
      </c>
      <c r="E43" s="37">
        <v>10</v>
      </c>
      <c r="F43" s="38">
        <v>1109.3602874666667</v>
      </c>
      <c r="G43" s="38">
        <v>759.28761426101676</v>
      </c>
      <c r="H43" s="39">
        <v>390</v>
      </c>
      <c r="I43" s="40">
        <v>0.38461538461538464</v>
      </c>
      <c r="J43" s="39">
        <v>35.499529198933338</v>
      </c>
      <c r="K43" s="39">
        <v>185.49952919893335</v>
      </c>
      <c r="L43" s="39">
        <v>240</v>
      </c>
      <c r="M43" s="39">
        <v>425.49952919893337</v>
      </c>
      <c r="N43" s="39">
        <v>1412.3585653916739</v>
      </c>
      <c r="O43" s="41">
        <v>0.82</v>
      </c>
      <c r="P43" s="41">
        <v>3.2595990944100852</v>
      </c>
      <c r="Q43" s="261">
        <f t="shared" si="69"/>
        <v>3.2595990944100852</v>
      </c>
      <c r="R43" s="262">
        <f t="shared" si="18"/>
        <v>0</v>
      </c>
      <c r="S43" s="262">
        <f t="shared" si="70"/>
        <v>0</v>
      </c>
      <c r="T43" s="261">
        <f t="shared" si="71"/>
        <v>3.2595990944100852</v>
      </c>
      <c r="U43" s="267">
        <f t="shared" si="45"/>
        <v>0</v>
      </c>
      <c r="V43" s="42" t="s">
        <v>38</v>
      </c>
      <c r="W43" s="198" t="s">
        <v>38</v>
      </c>
      <c r="X43" s="198"/>
      <c r="Y43" s="333">
        <v>0</v>
      </c>
      <c r="Z43" s="335">
        <v>0</v>
      </c>
      <c r="AA43" s="288">
        <f t="shared" si="50"/>
        <v>0</v>
      </c>
      <c r="AB43" s="288">
        <f t="shared" si="51"/>
        <v>0</v>
      </c>
      <c r="AC43" s="288">
        <f t="shared" ref="AC43:AE43" si="88">AB43*0</f>
        <v>0</v>
      </c>
      <c r="AD43" s="288">
        <f t="shared" si="88"/>
        <v>0</v>
      </c>
      <c r="AE43" s="288">
        <f t="shared" si="88"/>
        <v>0</v>
      </c>
      <c r="AF43" s="288">
        <f t="shared" si="47"/>
        <v>0</v>
      </c>
      <c r="AG43" s="288" t="s">
        <v>38</v>
      </c>
      <c r="AH43" s="288">
        <f t="shared" si="48"/>
        <v>0</v>
      </c>
      <c r="AI43" s="288">
        <f t="shared" ref="AI43:AJ43" si="89">AH43*0</f>
        <v>0</v>
      </c>
      <c r="AJ43" s="288">
        <f t="shared" si="89"/>
        <v>0</v>
      </c>
      <c r="AK43" s="288">
        <f t="shared" si="74"/>
        <v>0</v>
      </c>
      <c r="AL43" s="246" t="s">
        <v>452</v>
      </c>
      <c r="AM43" s="234" t="s">
        <v>330</v>
      </c>
      <c r="AN43" s="102" t="s">
        <v>38</v>
      </c>
      <c r="AO43" s="241"/>
      <c r="AP43" s="43" t="s">
        <v>62</v>
      </c>
      <c r="AQ43" s="44">
        <v>2.5559687361373435</v>
      </c>
      <c r="AR43" s="45">
        <v>3.7344086201600977</v>
      </c>
      <c r="AS43" s="46">
        <v>2.5559687361373435</v>
      </c>
      <c r="AT43" s="45">
        <v>3.7344086201600977</v>
      </c>
      <c r="AU43" s="393">
        <v>4754.3832792140538</v>
      </c>
      <c r="AV43" s="295">
        <f t="shared" si="75"/>
        <v>0</v>
      </c>
      <c r="AW43" s="295">
        <f t="shared" si="19"/>
        <v>4754.3832792140538</v>
      </c>
      <c r="AX43" s="39">
        <v>1458.5791508432392</v>
      </c>
      <c r="AY43" s="41">
        <v>4.1052099171979943</v>
      </c>
      <c r="AZ43" s="39">
        <v>3295.8041283708144</v>
      </c>
      <c r="BA43" s="47">
        <v>3.2595990944100852</v>
      </c>
      <c r="BB43" s="41">
        <f t="shared" si="20"/>
        <v>3.2595990944100852</v>
      </c>
      <c r="BC43" s="39">
        <v>761.51450690301999</v>
      </c>
      <c r="BD43" s="47">
        <v>6.2433259460144885</v>
      </c>
      <c r="BE43" s="46">
        <v>2.1929163202732012</v>
      </c>
      <c r="BF43" s="45">
        <v>3.2039693967829344</v>
      </c>
      <c r="BG43" s="46">
        <v>4.7488850564105443</v>
      </c>
      <c r="BH43" s="45">
        <v>6.938378016943032</v>
      </c>
      <c r="BI43" s="393">
        <v>4554.8554505333186</v>
      </c>
      <c r="BJ43" s="295">
        <f t="shared" si="76"/>
        <v>0</v>
      </c>
      <c r="BK43" s="295">
        <f t="shared" si="21"/>
        <v>4554.8554505333186</v>
      </c>
      <c r="BL43" s="39">
        <v>1251.4010750883047</v>
      </c>
      <c r="BM43" s="41">
        <v>3.5221016979947679</v>
      </c>
      <c r="BN43" s="39">
        <v>3303.4543754450142</v>
      </c>
      <c r="BO43" s="47">
        <v>3.6398046487309488</v>
      </c>
      <c r="BP43" s="41">
        <f t="shared" si="22"/>
        <v>3.6398046487309488</v>
      </c>
      <c r="BQ43" s="39">
        <v>653.34820676879315</v>
      </c>
      <c r="BR43" s="47">
        <v>6.971558815566155</v>
      </c>
      <c r="BS43" s="44">
        <v>2.2240009417941291</v>
      </c>
      <c r="BT43" s="45">
        <v>3.2493857107311226</v>
      </c>
      <c r="BU43" s="46">
        <v>6.9728859982046734</v>
      </c>
      <c r="BV43" s="45">
        <v>10.187763727674154</v>
      </c>
      <c r="BW43" s="393">
        <v>5141.6594681816996</v>
      </c>
      <c r="BX43" s="295">
        <f t="shared" si="77"/>
        <v>0</v>
      </c>
      <c r="BY43" s="295">
        <f t="shared" si="23"/>
        <v>5141.6594681816996</v>
      </c>
      <c r="BZ43" s="39">
        <v>1269.1397039773249</v>
      </c>
      <c r="CA43" s="41">
        <v>3.572027542053763</v>
      </c>
      <c r="CB43" s="39">
        <v>3872.519764204375</v>
      </c>
      <c r="CC43" s="47">
        <v>4.0512951033431408</v>
      </c>
      <c r="CD43" s="41">
        <f t="shared" si="24"/>
        <v>4.0512951033431408</v>
      </c>
      <c r="CE43" s="39">
        <v>662.60942733659613</v>
      </c>
      <c r="CF43" s="47">
        <v>7.759713725850462</v>
      </c>
    </row>
    <row r="44" spans="1:84" s="22" customFormat="1" ht="15" customHeight="1">
      <c r="A44" s="324" t="str">
        <f t="shared" si="68"/>
        <v>BNI - Efficient Product Rebates; Intelligent (Electronic) Defrost Control For Walk-In Freezers; COM-Refrigeration; Retail</v>
      </c>
      <c r="B44" s="36" t="s">
        <v>62</v>
      </c>
      <c r="C44" s="15" t="s">
        <v>44</v>
      </c>
      <c r="D44" s="15" t="s">
        <v>28</v>
      </c>
      <c r="E44" s="37">
        <v>10</v>
      </c>
      <c r="F44" s="38">
        <v>1109.3602874666667</v>
      </c>
      <c r="G44" s="38">
        <v>770.97424922489972</v>
      </c>
      <c r="H44" s="39">
        <v>390</v>
      </c>
      <c r="I44" s="40">
        <v>0.38461538461538464</v>
      </c>
      <c r="J44" s="39">
        <v>35.499529198933338</v>
      </c>
      <c r="K44" s="39">
        <v>185.49952919893335</v>
      </c>
      <c r="L44" s="39">
        <v>240</v>
      </c>
      <c r="M44" s="39">
        <v>425.49952919893337</v>
      </c>
      <c r="N44" s="39">
        <v>1425.4205310125478</v>
      </c>
      <c r="O44" s="41">
        <v>0.82</v>
      </c>
      <c r="P44" s="41">
        <v>3.2897449598810176</v>
      </c>
      <c r="Q44" s="261">
        <f t="shared" si="69"/>
        <v>3.2897449598810176</v>
      </c>
      <c r="R44" s="262">
        <f t="shared" si="18"/>
        <v>0</v>
      </c>
      <c r="S44" s="262">
        <f t="shared" si="70"/>
        <v>0</v>
      </c>
      <c r="T44" s="261">
        <f t="shared" si="71"/>
        <v>3.2897449598810176</v>
      </c>
      <c r="U44" s="267">
        <f t="shared" si="45"/>
        <v>0</v>
      </c>
      <c r="V44" s="42" t="s">
        <v>38</v>
      </c>
      <c r="W44" s="198" t="s">
        <v>38</v>
      </c>
      <c r="X44" s="198"/>
      <c r="Y44" s="333">
        <v>0</v>
      </c>
      <c r="Z44" s="335">
        <v>0</v>
      </c>
      <c r="AA44" s="288">
        <f t="shared" si="50"/>
        <v>0</v>
      </c>
      <c r="AB44" s="288">
        <f t="shared" si="51"/>
        <v>0</v>
      </c>
      <c r="AC44" s="288">
        <f t="shared" ref="AC44:AE44" si="90">AB44*0</f>
        <v>0</v>
      </c>
      <c r="AD44" s="288">
        <f t="shared" si="90"/>
        <v>0</v>
      </c>
      <c r="AE44" s="288">
        <f t="shared" si="90"/>
        <v>0</v>
      </c>
      <c r="AF44" s="288">
        <f t="shared" si="47"/>
        <v>0</v>
      </c>
      <c r="AG44" s="288" t="s">
        <v>38</v>
      </c>
      <c r="AH44" s="288">
        <f t="shared" si="48"/>
        <v>0</v>
      </c>
      <c r="AI44" s="288">
        <f t="shared" ref="AI44:AJ44" si="91">AH44*0</f>
        <v>0</v>
      </c>
      <c r="AJ44" s="288">
        <f t="shared" si="91"/>
        <v>0</v>
      </c>
      <c r="AK44" s="288">
        <f t="shared" si="74"/>
        <v>0</v>
      </c>
      <c r="AL44" s="246" t="s">
        <v>452</v>
      </c>
      <c r="AM44" s="234" t="s">
        <v>330</v>
      </c>
      <c r="AN44" s="102" t="s">
        <v>38</v>
      </c>
      <c r="AO44" s="241"/>
      <c r="AP44" s="43" t="s">
        <v>62</v>
      </c>
      <c r="AQ44" s="44">
        <v>3.7132184392692023</v>
      </c>
      <c r="AR44" s="45">
        <v>5.3429762139987842</v>
      </c>
      <c r="AS44" s="46">
        <v>3.7132184392692023</v>
      </c>
      <c r="AT44" s="45">
        <v>5.3429762139987842</v>
      </c>
      <c r="AU44" s="393">
        <v>6865.2069829698112</v>
      </c>
      <c r="AV44" s="295">
        <f t="shared" si="75"/>
        <v>0</v>
      </c>
      <c r="AW44" s="295">
        <f t="shared" si="19"/>
        <v>6865.2069829698112</v>
      </c>
      <c r="AX44" s="39">
        <v>2086.8508248183807</v>
      </c>
      <c r="AY44" s="41">
        <v>5.8734972982470426</v>
      </c>
      <c r="AZ44" s="39">
        <v>4778.3561581514305</v>
      </c>
      <c r="BA44" s="47">
        <v>3.2897449598810171</v>
      </c>
      <c r="BB44" s="41">
        <f t="shared" si="20"/>
        <v>3.2897449598810171</v>
      </c>
      <c r="BC44" s="39">
        <v>1089.5309835760333</v>
      </c>
      <c r="BD44" s="47">
        <v>6.3010663179462671</v>
      </c>
      <c r="BE44" s="46">
        <v>3.1857890908784845</v>
      </c>
      <c r="BF44" s="45">
        <v>4.5840544028782135</v>
      </c>
      <c r="BG44" s="46">
        <v>6.8990075301476868</v>
      </c>
      <c r="BH44" s="45">
        <v>9.9270306168769977</v>
      </c>
      <c r="BI44" s="393">
        <v>6579.8694853163843</v>
      </c>
      <c r="BJ44" s="295">
        <f t="shared" si="76"/>
        <v>0</v>
      </c>
      <c r="BK44" s="295">
        <f t="shared" si="21"/>
        <v>6579.8694853163843</v>
      </c>
      <c r="BL44" s="39">
        <v>1790.4323973209639</v>
      </c>
      <c r="BM44" s="41">
        <v>5.0392197292175283</v>
      </c>
      <c r="BN44" s="39">
        <v>4789.4370879954204</v>
      </c>
      <c r="BO44" s="47">
        <v>3.6750169931921963</v>
      </c>
      <c r="BP44" s="41">
        <f t="shared" si="22"/>
        <v>3.6750169931921963</v>
      </c>
      <c r="BQ44" s="39">
        <v>934.77288729982786</v>
      </c>
      <c r="BR44" s="47">
        <v>7.039003350132357</v>
      </c>
      <c r="BS44" s="44">
        <v>3.230947698719536</v>
      </c>
      <c r="BT44" s="45">
        <v>4.6490334423552238</v>
      </c>
      <c r="BU44" s="46">
        <v>10.129955228867223</v>
      </c>
      <c r="BV44" s="45">
        <v>14.576064059232221</v>
      </c>
      <c r="BW44" s="393">
        <v>7430.0524588771059</v>
      </c>
      <c r="BX44" s="295">
        <f t="shared" si="77"/>
        <v>0</v>
      </c>
      <c r="BY44" s="295">
        <f t="shared" si="23"/>
        <v>7430.0524588771059</v>
      </c>
      <c r="BZ44" s="39">
        <v>1815.8118032358218</v>
      </c>
      <c r="CA44" s="41">
        <v>5.1106507439787325</v>
      </c>
      <c r="CB44" s="39">
        <v>5614.2406556412843</v>
      </c>
      <c r="CC44" s="47">
        <v>4.0918626289555817</v>
      </c>
      <c r="CD44" s="41">
        <f t="shared" si="24"/>
        <v>4.0918626289555817</v>
      </c>
      <c r="CE44" s="39">
        <v>948.02330690823328</v>
      </c>
      <c r="CF44" s="47">
        <v>7.8374153934132336</v>
      </c>
    </row>
    <row r="45" spans="1:84" s="22" customFormat="1" ht="15" customHeight="1">
      <c r="A45" s="324" t="str">
        <f t="shared" si="68"/>
        <v>BNI - Efficient Product Rebates; Intelligent (Electronic) Defrost Control For Walk-In Freezers; COM-Refrigeration; School</v>
      </c>
      <c r="B45" s="36" t="s">
        <v>62</v>
      </c>
      <c r="C45" s="15" t="s">
        <v>44</v>
      </c>
      <c r="D45" s="15" t="s">
        <v>57</v>
      </c>
      <c r="E45" s="37">
        <v>10</v>
      </c>
      <c r="F45" s="38">
        <v>1109.3602874666667</v>
      </c>
      <c r="G45" s="38">
        <v>734.34538331187639</v>
      </c>
      <c r="H45" s="39">
        <v>390</v>
      </c>
      <c r="I45" s="40">
        <v>0.38461538461538464</v>
      </c>
      <c r="J45" s="39">
        <v>35.499529198933338</v>
      </c>
      <c r="K45" s="39">
        <v>185.49952919893335</v>
      </c>
      <c r="L45" s="39">
        <v>240</v>
      </c>
      <c r="M45" s="39">
        <v>425.49952919893337</v>
      </c>
      <c r="N45" s="39">
        <v>1384.4810314246743</v>
      </c>
      <c r="O45" s="41">
        <v>0.82</v>
      </c>
      <c r="P45" s="41">
        <v>3.1952602029275119</v>
      </c>
      <c r="Q45" s="261">
        <f t="shared" si="69"/>
        <v>3.1952602029275119</v>
      </c>
      <c r="R45" s="262">
        <f t="shared" si="18"/>
        <v>0</v>
      </c>
      <c r="S45" s="262">
        <f t="shared" si="70"/>
        <v>0</v>
      </c>
      <c r="T45" s="261">
        <f t="shared" si="71"/>
        <v>3.1952602029275119</v>
      </c>
      <c r="U45" s="267">
        <f t="shared" si="45"/>
        <v>0</v>
      </c>
      <c r="V45" s="42" t="s">
        <v>38</v>
      </c>
      <c r="W45" s="198" t="s">
        <v>38</v>
      </c>
      <c r="X45" s="198"/>
      <c r="Y45" s="333">
        <v>0</v>
      </c>
      <c r="Z45" s="335">
        <v>0</v>
      </c>
      <c r="AA45" s="288">
        <f t="shared" si="50"/>
        <v>0</v>
      </c>
      <c r="AB45" s="288">
        <f t="shared" si="51"/>
        <v>0</v>
      </c>
      <c r="AC45" s="288">
        <f t="shared" ref="AC45:AE45" si="92">AB45*0</f>
        <v>0</v>
      </c>
      <c r="AD45" s="288">
        <f t="shared" si="92"/>
        <v>0</v>
      </c>
      <c r="AE45" s="288">
        <f t="shared" si="92"/>
        <v>0</v>
      </c>
      <c r="AF45" s="288">
        <f t="shared" si="47"/>
        <v>0</v>
      </c>
      <c r="AG45" s="288" t="s">
        <v>38</v>
      </c>
      <c r="AH45" s="288">
        <f t="shared" si="48"/>
        <v>0</v>
      </c>
      <c r="AI45" s="288">
        <f t="shared" ref="AI45:AJ45" si="93">AH45*0</f>
        <v>0</v>
      </c>
      <c r="AJ45" s="288">
        <f t="shared" si="93"/>
        <v>0</v>
      </c>
      <c r="AK45" s="288">
        <f t="shared" si="74"/>
        <v>0</v>
      </c>
      <c r="AL45" s="246" t="s">
        <v>452</v>
      </c>
      <c r="AM45" s="234" t="s">
        <v>330</v>
      </c>
      <c r="AN45" s="102" t="s">
        <v>38</v>
      </c>
      <c r="AO45" s="241"/>
      <c r="AP45" s="43" t="s">
        <v>62</v>
      </c>
      <c r="AQ45" s="44">
        <v>3.5252458293402271</v>
      </c>
      <c r="AR45" s="45">
        <v>5.3255155074170863</v>
      </c>
      <c r="AS45" s="46">
        <v>3.5252458293402271</v>
      </c>
      <c r="AT45" s="45">
        <v>5.3255155074170863</v>
      </c>
      <c r="AU45" s="393">
        <v>6646.2404377337571</v>
      </c>
      <c r="AV45" s="295">
        <f t="shared" si="75"/>
        <v>0</v>
      </c>
      <c r="AW45" s="295">
        <f t="shared" si="19"/>
        <v>6646.2404377337571</v>
      </c>
      <c r="AX45" s="39">
        <v>2080.0310508810649</v>
      </c>
      <c r="AY45" s="41">
        <v>5.8543028626318536</v>
      </c>
      <c r="AZ45" s="39">
        <v>4566.2093868526918</v>
      </c>
      <c r="BA45" s="47">
        <v>3.1952602029275119</v>
      </c>
      <c r="BB45" s="41">
        <f t="shared" si="20"/>
        <v>3.1952602029275119</v>
      </c>
      <c r="BC45" s="39">
        <v>1085.9704248061764</v>
      </c>
      <c r="BD45" s="47">
        <v>6.1200934076266167</v>
      </c>
      <c r="BE45" s="46">
        <v>3.0245163028941766</v>
      </c>
      <c r="BF45" s="45">
        <v>4.5690738329341647</v>
      </c>
      <c r="BG45" s="46">
        <v>6.5497621322344033</v>
      </c>
      <c r="BH45" s="45">
        <v>9.894589340351251</v>
      </c>
      <c r="BI45" s="393">
        <v>6361.4124305964715</v>
      </c>
      <c r="BJ45" s="295">
        <f t="shared" si="76"/>
        <v>0</v>
      </c>
      <c r="BK45" s="295">
        <f t="shared" si="21"/>
        <v>6361.4124305964715</v>
      </c>
      <c r="BL45" s="39">
        <v>1784.5813110552085</v>
      </c>
      <c r="BM45" s="41">
        <v>5.02275169088675</v>
      </c>
      <c r="BN45" s="39">
        <v>4576.8311195412625</v>
      </c>
      <c r="BO45" s="47">
        <v>3.5646526113371766</v>
      </c>
      <c r="BP45" s="41">
        <f t="shared" si="22"/>
        <v>3.5646526113371766</v>
      </c>
      <c r="BQ45" s="39">
        <v>931.7180739426384</v>
      </c>
      <c r="BR45" s="47">
        <v>6.8276151429344436</v>
      </c>
      <c r="BS45" s="44">
        <v>3.0673888665621005</v>
      </c>
      <c r="BT45" s="45">
        <v>4.6338405226089634</v>
      </c>
      <c r="BU45" s="46">
        <v>9.6171509987965038</v>
      </c>
      <c r="BV45" s="45">
        <v>14.528429862960214</v>
      </c>
      <c r="BW45" s="393">
        <v>7175.6473233378401</v>
      </c>
      <c r="BX45" s="295">
        <f t="shared" si="77"/>
        <v>0</v>
      </c>
      <c r="BY45" s="295">
        <f t="shared" si="23"/>
        <v>7175.6473233378401</v>
      </c>
      <c r="BZ45" s="39">
        <v>1809.8777777350504</v>
      </c>
      <c r="CA45" s="41">
        <v>5.0939492709591923</v>
      </c>
      <c r="CB45" s="39">
        <v>5365.7695456027895</v>
      </c>
      <c r="CC45" s="47">
        <v>3.964713756703349</v>
      </c>
      <c r="CD45" s="41">
        <f t="shared" si="24"/>
        <v>3.964713756703349</v>
      </c>
      <c r="CE45" s="39">
        <v>944.9251915261799</v>
      </c>
      <c r="CF45" s="47">
        <v>7.5938787405468737</v>
      </c>
    </row>
    <row r="46" spans="1:84" s="22" customFormat="1" ht="15" customHeight="1">
      <c r="A46" s="324" t="str">
        <f t="shared" si="68"/>
        <v>BNI - Efficient Product Rebates; Refrigerated Vending Machine Controller; COM-Refrigeration; Office</v>
      </c>
      <c r="B46" s="36" t="s">
        <v>63</v>
      </c>
      <c r="C46" s="15" t="s">
        <v>44</v>
      </c>
      <c r="D46" s="15" t="s">
        <v>64</v>
      </c>
      <c r="E46" s="37">
        <v>5</v>
      </c>
      <c r="F46" s="38">
        <v>1179.8870280000001</v>
      </c>
      <c r="G46" s="38">
        <v>807.55874958662628</v>
      </c>
      <c r="H46" s="39">
        <v>179</v>
      </c>
      <c r="I46" s="40">
        <v>0.27932960893854747</v>
      </c>
      <c r="J46" s="39">
        <v>37.756384896000007</v>
      </c>
      <c r="K46" s="39">
        <v>87.756384896000014</v>
      </c>
      <c r="L46" s="39">
        <v>129</v>
      </c>
      <c r="M46" s="39">
        <v>216.75638489600001</v>
      </c>
      <c r="N46" s="39">
        <v>699.37217147930187</v>
      </c>
      <c r="O46" s="41">
        <v>0.82</v>
      </c>
      <c r="P46" s="41">
        <v>3.1077078969344125</v>
      </c>
      <c r="Q46" s="261">
        <f t="shared" si="69"/>
        <v>3.1077078969344125</v>
      </c>
      <c r="R46" s="262">
        <f t="shared" si="18"/>
        <v>0</v>
      </c>
      <c r="S46" s="262">
        <f t="shared" si="70"/>
        <v>0</v>
      </c>
      <c r="T46" s="261">
        <f t="shared" si="71"/>
        <v>3.1077078969344125</v>
      </c>
      <c r="U46" s="267">
        <f t="shared" si="45"/>
        <v>0</v>
      </c>
      <c r="V46" s="42" t="s">
        <v>38</v>
      </c>
      <c r="W46" s="198" t="s">
        <v>38</v>
      </c>
      <c r="X46" s="198"/>
      <c r="Y46" s="333">
        <v>0</v>
      </c>
      <c r="Z46" s="335">
        <v>0</v>
      </c>
      <c r="AA46" s="288">
        <f t="shared" si="50"/>
        <v>0</v>
      </c>
      <c r="AB46" s="288">
        <f t="shared" si="51"/>
        <v>0</v>
      </c>
      <c r="AC46" s="288">
        <f t="shared" ref="AC46:AE46" si="94">AB46*0</f>
        <v>0</v>
      </c>
      <c r="AD46" s="288">
        <f t="shared" si="94"/>
        <v>0</v>
      </c>
      <c r="AE46" s="288">
        <f t="shared" si="94"/>
        <v>0</v>
      </c>
      <c r="AF46" s="288">
        <f t="shared" si="47"/>
        <v>0</v>
      </c>
      <c r="AG46" s="288" t="s">
        <v>38</v>
      </c>
      <c r="AH46" s="288">
        <f t="shared" si="48"/>
        <v>0</v>
      </c>
      <c r="AI46" s="288">
        <f t="shared" ref="AI46:AJ46" si="95">AH46*0</f>
        <v>0</v>
      </c>
      <c r="AJ46" s="288">
        <f t="shared" si="95"/>
        <v>0</v>
      </c>
      <c r="AK46" s="288">
        <f t="shared" si="74"/>
        <v>0</v>
      </c>
      <c r="AL46" s="246" t="s">
        <v>453</v>
      </c>
      <c r="AM46" s="234" t="s">
        <v>330</v>
      </c>
      <c r="AN46" s="102" t="s">
        <v>38</v>
      </c>
      <c r="AO46" s="241"/>
      <c r="AP46" s="48" t="s">
        <v>63</v>
      </c>
      <c r="AQ46" s="44">
        <v>6.355263499713149</v>
      </c>
      <c r="AR46" s="45">
        <v>9.2853838394689685</v>
      </c>
      <c r="AS46" s="46">
        <v>6.355263499713149</v>
      </c>
      <c r="AT46" s="45">
        <v>9.2853838394689685</v>
      </c>
      <c r="AU46" s="393">
        <v>5503.8651198970774</v>
      </c>
      <c r="AV46" s="295">
        <f t="shared" si="75"/>
        <v>0</v>
      </c>
      <c r="AW46" s="295">
        <f t="shared" si="19"/>
        <v>5503.8651198970774</v>
      </c>
      <c r="AX46" s="39">
        <v>1771.0368227742213</v>
      </c>
      <c r="AY46" s="41">
        <v>9.5972229204139463</v>
      </c>
      <c r="AZ46" s="39">
        <v>3732.8282971228564</v>
      </c>
      <c r="BA46" s="47">
        <v>3.1077078969344116</v>
      </c>
      <c r="BB46" s="41">
        <f t="shared" si="20"/>
        <v>3.1077078969344116</v>
      </c>
      <c r="BC46" s="39">
        <v>842.21758853655956</v>
      </c>
      <c r="BD46" s="47">
        <v>6.5349681540854707</v>
      </c>
      <c r="BE46" s="46">
        <v>6.2910458588937237</v>
      </c>
      <c r="BF46" s="45">
        <v>9.1915583915862129</v>
      </c>
      <c r="BG46" s="46">
        <v>12.646309358606873</v>
      </c>
      <c r="BH46" s="45">
        <v>18.476942231055183</v>
      </c>
      <c r="BI46" s="393">
        <v>6535.0597079833406</v>
      </c>
      <c r="BJ46" s="295">
        <f t="shared" si="76"/>
        <v>0</v>
      </c>
      <c r="BK46" s="295">
        <f t="shared" si="21"/>
        <v>6535.0597079833406</v>
      </c>
      <c r="BL46" s="39">
        <v>1753.1411357475508</v>
      </c>
      <c r="BM46" s="41">
        <v>9.5002464513194855</v>
      </c>
      <c r="BN46" s="39">
        <v>4781.9185722357897</v>
      </c>
      <c r="BO46" s="47">
        <v>3.727628982475931</v>
      </c>
      <c r="BP46" s="41">
        <f t="shared" si="22"/>
        <v>3.727628982475931</v>
      </c>
      <c r="BQ46" s="39">
        <v>833.70728418885096</v>
      </c>
      <c r="BR46" s="47">
        <v>7.8385541687351052</v>
      </c>
      <c r="BS46" s="44">
        <v>7.1107251162874352</v>
      </c>
      <c r="BT46" s="45">
        <v>10.389154137300773</v>
      </c>
      <c r="BU46" s="46">
        <v>19.757034474894308</v>
      </c>
      <c r="BV46" s="45">
        <v>28.866096368355954</v>
      </c>
      <c r="BW46" s="393">
        <v>8951.083831808648</v>
      </c>
      <c r="BX46" s="295">
        <f t="shared" si="77"/>
        <v>0</v>
      </c>
      <c r="BY46" s="295">
        <f t="shared" si="23"/>
        <v>8951.083831808648</v>
      </c>
      <c r="BZ46" s="39">
        <v>1981.5631591261272</v>
      </c>
      <c r="CA46" s="41">
        <v>10.738062091347924</v>
      </c>
      <c r="CB46" s="39">
        <v>6969.5206726825209</v>
      </c>
      <c r="CC46" s="47">
        <v>4.5171832099240739</v>
      </c>
      <c r="CD46" s="41">
        <f t="shared" si="24"/>
        <v>4.5171832099240739</v>
      </c>
      <c r="CE46" s="39">
        <v>942.33350992547514</v>
      </c>
      <c r="CF46" s="47">
        <v>9.4988491203252963</v>
      </c>
    </row>
    <row r="47" spans="1:84" s="22" customFormat="1" ht="15" customHeight="1">
      <c r="A47" s="324" t="str">
        <f t="shared" si="68"/>
        <v>BNI - Efficient Product Rebates; Refrigerated Vending Machine Controller; COM-Refrigeration; Other Commercial</v>
      </c>
      <c r="B47" s="36" t="s">
        <v>63</v>
      </c>
      <c r="C47" s="15" t="s">
        <v>44</v>
      </c>
      <c r="D47" s="15" t="s">
        <v>54</v>
      </c>
      <c r="E47" s="37">
        <v>5</v>
      </c>
      <c r="F47" s="38">
        <v>1179.8870280000001</v>
      </c>
      <c r="G47" s="38">
        <v>807.55874958662628</v>
      </c>
      <c r="H47" s="39">
        <v>179</v>
      </c>
      <c r="I47" s="40">
        <v>0.27932960893854747</v>
      </c>
      <c r="J47" s="39">
        <v>37.756384896000007</v>
      </c>
      <c r="K47" s="39">
        <v>87.756384896000014</v>
      </c>
      <c r="L47" s="39">
        <v>129</v>
      </c>
      <c r="M47" s="39">
        <v>216.75638489600001</v>
      </c>
      <c r="N47" s="39">
        <v>699.37217147930187</v>
      </c>
      <c r="O47" s="41">
        <v>0.82</v>
      </c>
      <c r="P47" s="41">
        <v>3.1077078969344125</v>
      </c>
      <c r="Q47" s="261">
        <f t="shared" si="69"/>
        <v>3.1077078969344125</v>
      </c>
      <c r="R47" s="262">
        <f t="shared" si="18"/>
        <v>0</v>
      </c>
      <c r="S47" s="262">
        <f t="shared" si="70"/>
        <v>0</v>
      </c>
      <c r="T47" s="261">
        <f t="shared" si="71"/>
        <v>3.1077078969344125</v>
      </c>
      <c r="U47" s="267">
        <f t="shared" si="45"/>
        <v>0</v>
      </c>
      <c r="V47" s="42" t="s">
        <v>38</v>
      </c>
      <c r="W47" s="198" t="s">
        <v>38</v>
      </c>
      <c r="X47" s="198"/>
      <c r="Y47" s="333">
        <v>0</v>
      </c>
      <c r="Z47" s="335">
        <v>0</v>
      </c>
      <c r="AA47" s="288">
        <f t="shared" si="50"/>
        <v>0</v>
      </c>
      <c r="AB47" s="288">
        <f t="shared" si="51"/>
        <v>0</v>
      </c>
      <c r="AC47" s="288">
        <f t="shared" ref="AC47:AE47" si="96">AB47*0</f>
        <v>0</v>
      </c>
      <c r="AD47" s="288">
        <f t="shared" si="96"/>
        <v>0</v>
      </c>
      <c r="AE47" s="288">
        <f t="shared" si="96"/>
        <v>0</v>
      </c>
      <c r="AF47" s="288">
        <f t="shared" si="47"/>
        <v>0</v>
      </c>
      <c r="AG47" s="288" t="s">
        <v>38</v>
      </c>
      <c r="AH47" s="288">
        <f t="shared" si="48"/>
        <v>0</v>
      </c>
      <c r="AI47" s="288">
        <f t="shared" ref="AI47:AJ47" si="97">AH47*0</f>
        <v>0</v>
      </c>
      <c r="AJ47" s="288">
        <f t="shared" si="97"/>
        <v>0</v>
      </c>
      <c r="AK47" s="288">
        <f t="shared" si="74"/>
        <v>0</v>
      </c>
      <c r="AL47" s="246" t="s">
        <v>453</v>
      </c>
      <c r="AM47" s="234" t="s">
        <v>330</v>
      </c>
      <c r="AN47" s="102" t="s">
        <v>38</v>
      </c>
      <c r="AO47" s="241"/>
      <c r="AP47" s="43" t="s">
        <v>63</v>
      </c>
      <c r="AQ47" s="44">
        <v>8.6211494870444767</v>
      </c>
      <c r="AR47" s="45">
        <v>12.59596586801824</v>
      </c>
      <c r="AS47" s="46">
        <v>8.6211494870444767</v>
      </c>
      <c r="AT47" s="45">
        <v>12.59596586801824</v>
      </c>
      <c r="AU47" s="393">
        <v>7466.1961628033796</v>
      </c>
      <c r="AV47" s="295">
        <f t="shared" si="75"/>
        <v>0</v>
      </c>
      <c r="AW47" s="295">
        <f t="shared" si="19"/>
        <v>7466.1961628033796</v>
      </c>
      <c r="AX47" s="39">
        <v>2402.4768126272047</v>
      </c>
      <c r="AY47" s="41">
        <v>13.018987090167499</v>
      </c>
      <c r="AZ47" s="39">
        <v>5063.7193501761749</v>
      </c>
      <c r="BA47" s="47">
        <v>3.1077078969344121</v>
      </c>
      <c r="BB47" s="41">
        <f t="shared" si="20"/>
        <v>3.1077078969344121</v>
      </c>
      <c r="BC47" s="39">
        <v>1142.4992420407941</v>
      </c>
      <c r="BD47" s="47">
        <v>6.5349681540854725</v>
      </c>
      <c r="BE47" s="46">
        <v>8.5340358872331432</v>
      </c>
      <c r="BF47" s="45">
        <v>12.468688185208924</v>
      </c>
      <c r="BG47" s="46">
        <v>17.155185374277622</v>
      </c>
      <c r="BH47" s="45">
        <v>25.064654053227166</v>
      </c>
      <c r="BI47" s="393">
        <v>8865.0496791877395</v>
      </c>
      <c r="BJ47" s="295">
        <f t="shared" si="76"/>
        <v>0</v>
      </c>
      <c r="BK47" s="295">
        <f t="shared" si="21"/>
        <v>8865.0496791877395</v>
      </c>
      <c r="BL47" s="39">
        <v>2378.2006527107428</v>
      </c>
      <c r="BM47" s="41">
        <v>12.887434930791757</v>
      </c>
      <c r="BN47" s="39">
        <v>6486.8490264769971</v>
      </c>
      <c r="BO47" s="47">
        <v>3.7276289824759301</v>
      </c>
      <c r="BP47" s="41">
        <f t="shared" si="22"/>
        <v>3.7276289824759301</v>
      </c>
      <c r="BQ47" s="39">
        <v>1130.9547001087167</v>
      </c>
      <c r="BR47" s="47">
        <v>7.8385541687351035</v>
      </c>
      <c r="BS47" s="44">
        <v>9.6459610512707563</v>
      </c>
      <c r="BT47" s="45">
        <v>14.093271013178173</v>
      </c>
      <c r="BU47" s="46">
        <v>26.801146425548382</v>
      </c>
      <c r="BV47" s="45">
        <v>39.15792506640534</v>
      </c>
      <c r="BW47" s="393">
        <v>12142.475569828432</v>
      </c>
      <c r="BX47" s="295">
        <f t="shared" si="77"/>
        <v>0</v>
      </c>
      <c r="BY47" s="295">
        <f t="shared" si="23"/>
        <v>12142.475569828432</v>
      </c>
      <c r="BZ47" s="39">
        <v>2688.0635576506816</v>
      </c>
      <c r="CA47" s="41">
        <v>14.566577529767942</v>
      </c>
      <c r="CB47" s="39">
        <v>9454.4120121777505</v>
      </c>
      <c r="CC47" s="47">
        <v>4.5171832099240739</v>
      </c>
      <c r="CD47" s="41">
        <f t="shared" si="24"/>
        <v>4.5171832099240739</v>
      </c>
      <c r="CE47" s="39">
        <v>1278.3101843197405</v>
      </c>
      <c r="CF47" s="47">
        <v>9.4988491203252945</v>
      </c>
    </row>
    <row r="48" spans="1:84" s="22" customFormat="1" ht="15" customHeight="1">
      <c r="A48" s="324" t="str">
        <f t="shared" si="68"/>
        <v>BNI - Efficient Product Rebates; Refrigerated Vending Machine Controller; COM-Refrigeration; Retail</v>
      </c>
      <c r="B48" s="36" t="s">
        <v>63</v>
      </c>
      <c r="C48" s="15" t="s">
        <v>44</v>
      </c>
      <c r="D48" s="15" t="s">
        <v>28</v>
      </c>
      <c r="E48" s="37">
        <v>5</v>
      </c>
      <c r="F48" s="38">
        <v>1179.8870280000001</v>
      </c>
      <c r="G48" s="38">
        <v>819.98835352201229</v>
      </c>
      <c r="H48" s="39">
        <v>179</v>
      </c>
      <c r="I48" s="40">
        <v>0.27932960893854747</v>
      </c>
      <c r="J48" s="39">
        <v>37.756384896000007</v>
      </c>
      <c r="K48" s="39">
        <v>87.756384896000014</v>
      </c>
      <c r="L48" s="39">
        <v>129</v>
      </c>
      <c r="M48" s="39">
        <v>216.75638489600001</v>
      </c>
      <c r="N48" s="39">
        <v>705.50265876008802</v>
      </c>
      <c r="O48" s="41">
        <v>0.82</v>
      </c>
      <c r="P48" s="41">
        <v>3.1349491348782341</v>
      </c>
      <c r="Q48" s="261">
        <f t="shared" si="69"/>
        <v>3.1349491348782341</v>
      </c>
      <c r="R48" s="262">
        <f t="shared" si="18"/>
        <v>0</v>
      </c>
      <c r="S48" s="262">
        <f t="shared" si="70"/>
        <v>0</v>
      </c>
      <c r="T48" s="261">
        <f t="shared" si="71"/>
        <v>3.1349491348782341</v>
      </c>
      <c r="U48" s="267">
        <f t="shared" si="45"/>
        <v>0</v>
      </c>
      <c r="V48" s="42" t="s">
        <v>38</v>
      </c>
      <c r="W48" s="198" t="s">
        <v>38</v>
      </c>
      <c r="X48" s="198"/>
      <c r="Y48" s="333">
        <v>0</v>
      </c>
      <c r="Z48" s="335">
        <v>0</v>
      </c>
      <c r="AA48" s="288">
        <f t="shared" si="50"/>
        <v>0</v>
      </c>
      <c r="AB48" s="288">
        <f t="shared" si="51"/>
        <v>0</v>
      </c>
      <c r="AC48" s="288">
        <f t="shared" ref="AC48:AE48" si="98">AB48*0</f>
        <v>0</v>
      </c>
      <c r="AD48" s="288">
        <f t="shared" si="98"/>
        <v>0</v>
      </c>
      <c r="AE48" s="288">
        <f t="shared" si="98"/>
        <v>0</v>
      </c>
      <c r="AF48" s="288">
        <f t="shared" si="47"/>
        <v>0</v>
      </c>
      <c r="AG48" s="288" t="s">
        <v>38</v>
      </c>
      <c r="AH48" s="288">
        <f t="shared" si="48"/>
        <v>0</v>
      </c>
      <c r="AI48" s="288">
        <f t="shared" ref="AI48:AJ48" si="99">AH48*0</f>
        <v>0</v>
      </c>
      <c r="AJ48" s="288">
        <f t="shared" si="99"/>
        <v>0</v>
      </c>
      <c r="AK48" s="288">
        <f t="shared" si="74"/>
        <v>0</v>
      </c>
      <c r="AL48" s="246" t="s">
        <v>453</v>
      </c>
      <c r="AM48" s="234" t="s">
        <v>330</v>
      </c>
      <c r="AN48" s="102" t="s">
        <v>38</v>
      </c>
      <c r="AO48" s="241"/>
      <c r="AP48" s="43" t="s">
        <v>63</v>
      </c>
      <c r="AQ48" s="44">
        <v>12.524492491002686</v>
      </c>
      <c r="AR48" s="45">
        <v>18.021580622389635</v>
      </c>
      <c r="AS48" s="46">
        <v>12.524492491002686</v>
      </c>
      <c r="AT48" s="45">
        <v>18.021580622389635</v>
      </c>
      <c r="AU48" s="393">
        <v>10775.839332437485</v>
      </c>
      <c r="AV48" s="295">
        <f t="shared" si="75"/>
        <v>0</v>
      </c>
      <c r="AW48" s="295">
        <f t="shared" si="19"/>
        <v>10775.839332437485</v>
      </c>
      <c r="AX48" s="39">
        <v>3437.3250948634713</v>
      </c>
      <c r="AY48" s="41">
        <v>18.626814960099384</v>
      </c>
      <c r="AZ48" s="39">
        <v>7338.5142375740134</v>
      </c>
      <c r="BA48" s="47">
        <v>3.1349491348782346</v>
      </c>
      <c r="BB48" s="41">
        <f t="shared" si="20"/>
        <v>3.1349491348782346</v>
      </c>
      <c r="BC48" s="39">
        <v>1634.6219430250526</v>
      </c>
      <c r="BD48" s="47">
        <v>6.5922517303882371</v>
      </c>
      <c r="BE48" s="46">
        <v>12.397937020837031</v>
      </c>
      <c r="BF48" s="45">
        <v>17.83947906334976</v>
      </c>
      <c r="BG48" s="46">
        <v>24.922429511839717</v>
      </c>
      <c r="BH48" s="45">
        <v>35.861059685739392</v>
      </c>
      <c r="BI48" s="393">
        <v>12808.382586803842</v>
      </c>
      <c r="BJ48" s="295">
        <f t="shared" si="76"/>
        <v>0</v>
      </c>
      <c r="BK48" s="295">
        <f t="shared" si="21"/>
        <v>12808.382586803842</v>
      </c>
      <c r="BL48" s="39">
        <v>3402.5921670578009</v>
      </c>
      <c r="BM48" s="41">
        <v>18.438597726813686</v>
      </c>
      <c r="BN48" s="39">
        <v>9405.7904197460412</v>
      </c>
      <c r="BO48" s="47">
        <v>3.7643014378297255</v>
      </c>
      <c r="BP48" s="41">
        <f t="shared" si="22"/>
        <v>3.7643014378297255</v>
      </c>
      <c r="BQ48" s="39">
        <v>1618.1046790567725</v>
      </c>
      <c r="BR48" s="47">
        <v>7.9156699517549871</v>
      </c>
      <c r="BS48" s="44">
        <v>14.013301467129709</v>
      </c>
      <c r="BT48" s="45">
        <v>20.163838363682153</v>
      </c>
      <c r="BU48" s="46">
        <v>38.935730978969424</v>
      </c>
      <c r="BV48" s="45">
        <v>56.024898049421544</v>
      </c>
      <c r="BW48" s="393">
        <v>17554.484535426815</v>
      </c>
      <c r="BX48" s="295">
        <f t="shared" si="77"/>
        <v>0</v>
      </c>
      <c r="BY48" s="295">
        <f t="shared" si="23"/>
        <v>17554.484535426815</v>
      </c>
      <c r="BZ48" s="39">
        <v>3845.9261187193861</v>
      </c>
      <c r="CA48" s="41">
        <v>20.841017997002876</v>
      </c>
      <c r="CB48" s="39">
        <v>13708.558416707428</v>
      </c>
      <c r="CC48" s="47">
        <v>4.5644362355229262</v>
      </c>
      <c r="CD48" s="41">
        <f t="shared" si="24"/>
        <v>4.5644362355229262</v>
      </c>
      <c r="CE48" s="39">
        <v>1828.9323969694474</v>
      </c>
      <c r="CF48" s="47">
        <v>9.5982139987867825</v>
      </c>
    </row>
    <row r="49" spans="1:84" s="22" customFormat="1" ht="15" customHeight="1">
      <c r="A49" s="324" t="str">
        <f t="shared" si="68"/>
        <v>BNI - Efficient Product Rebates; Strip Curtains for 3' Open Refrigerated Display Cases; COM-Refrigeration; Other Commercial</v>
      </c>
      <c r="B49" s="233" t="s">
        <v>65</v>
      </c>
      <c r="C49" s="15" t="s">
        <v>44</v>
      </c>
      <c r="D49" s="15" t="s">
        <v>54</v>
      </c>
      <c r="E49" s="37">
        <v>4</v>
      </c>
      <c r="F49" s="38">
        <v>923.60067845719777</v>
      </c>
      <c r="G49" s="38">
        <v>93.51513563583903</v>
      </c>
      <c r="H49" s="39">
        <v>55</v>
      </c>
      <c r="I49" s="40">
        <v>0.43636363636363634</v>
      </c>
      <c r="J49" s="39">
        <v>29.555221710630331</v>
      </c>
      <c r="K49" s="39">
        <v>53.555221710630335</v>
      </c>
      <c r="L49" s="39">
        <v>31</v>
      </c>
      <c r="M49" s="39">
        <v>84.555221710630335</v>
      </c>
      <c r="N49" s="39">
        <v>225.42058521995119</v>
      </c>
      <c r="O49" s="41">
        <v>0.82</v>
      </c>
      <c r="P49" s="41">
        <v>2.4759805897681701</v>
      </c>
      <c r="Q49" s="261">
        <f t="shared" si="69"/>
        <v>2.4759805897681701</v>
      </c>
      <c r="R49" s="262">
        <f t="shared" si="18"/>
        <v>0</v>
      </c>
      <c r="S49" s="262">
        <f t="shared" si="70"/>
        <v>0</v>
      </c>
      <c r="T49" s="261">
        <f t="shared" si="71"/>
        <v>2.4759805897681701</v>
      </c>
      <c r="U49" s="267">
        <f t="shared" si="45"/>
        <v>0</v>
      </c>
      <c r="V49" s="183" t="s">
        <v>38</v>
      </c>
      <c r="W49" s="200" t="s">
        <v>38</v>
      </c>
      <c r="X49" s="200"/>
      <c r="Y49" s="333">
        <v>0</v>
      </c>
      <c r="Z49" s="337">
        <v>0</v>
      </c>
      <c r="AA49" s="288">
        <f t="shared" si="50"/>
        <v>0</v>
      </c>
      <c r="AB49" s="288">
        <f t="shared" si="51"/>
        <v>0</v>
      </c>
      <c r="AC49" s="288">
        <f t="shared" ref="AC49:AE49" si="100">AB49*0</f>
        <v>0</v>
      </c>
      <c r="AD49" s="288">
        <f t="shared" si="100"/>
        <v>0</v>
      </c>
      <c r="AE49" s="288">
        <f t="shared" si="100"/>
        <v>0</v>
      </c>
      <c r="AF49" s="288">
        <f t="shared" si="47"/>
        <v>0</v>
      </c>
      <c r="AG49" s="288" t="s">
        <v>38</v>
      </c>
      <c r="AH49" s="288">
        <f t="shared" si="48"/>
        <v>0</v>
      </c>
      <c r="AI49" s="288">
        <f t="shared" ref="AI49:AJ49" si="101">AH49*0</f>
        <v>0</v>
      </c>
      <c r="AJ49" s="288">
        <f t="shared" si="101"/>
        <v>0</v>
      </c>
      <c r="AK49" s="288">
        <f t="shared" si="74"/>
        <v>0</v>
      </c>
      <c r="AL49" s="451" t="s">
        <v>449</v>
      </c>
      <c r="AM49" s="181" t="s">
        <v>267</v>
      </c>
      <c r="AN49" s="181"/>
      <c r="AO49" s="453" t="s">
        <v>428</v>
      </c>
      <c r="AP49" s="43" t="s">
        <v>65</v>
      </c>
      <c r="AQ49" s="44">
        <v>5.9580800520261414</v>
      </c>
      <c r="AR49" s="45">
        <v>58.844878328387914</v>
      </c>
      <c r="AS49" s="46">
        <v>5.9580800520261414</v>
      </c>
      <c r="AT49" s="45">
        <v>58.844878328387914</v>
      </c>
      <c r="AU49" s="393">
        <v>14362.101738751326</v>
      </c>
      <c r="AV49" s="295">
        <f t="shared" si="75"/>
        <v>0</v>
      </c>
      <c r="AW49" s="295">
        <f t="shared" si="19"/>
        <v>14362.101738751326</v>
      </c>
      <c r="AX49" s="39">
        <v>5800.5712153406166</v>
      </c>
      <c r="AY49" s="41">
        <v>77.698131254958952</v>
      </c>
      <c r="AZ49" s="39">
        <v>8561.5305234107091</v>
      </c>
      <c r="BA49" s="47">
        <v>2.4759805897681693</v>
      </c>
      <c r="BB49" s="41">
        <f t="shared" si="20"/>
        <v>2.4759805897681693</v>
      </c>
      <c r="BC49" s="39">
        <v>4161.1406458609827</v>
      </c>
      <c r="BD49" s="47">
        <v>3.4514819279269182</v>
      </c>
      <c r="BE49" s="46">
        <v>5.4500617591733302</v>
      </c>
      <c r="BF49" s="45">
        <v>53.827444126349462</v>
      </c>
      <c r="BG49" s="46">
        <v>11.408141811199473</v>
      </c>
      <c r="BH49" s="45">
        <v>112.67232245473738</v>
      </c>
      <c r="BI49" s="393">
        <v>14111.02832713542</v>
      </c>
      <c r="BJ49" s="295">
        <f t="shared" si="76"/>
        <v>0</v>
      </c>
      <c r="BK49" s="295">
        <f t="shared" si="21"/>
        <v>14111.02832713542</v>
      </c>
      <c r="BL49" s="39">
        <v>5305.9829821082685</v>
      </c>
      <c r="BM49" s="41">
        <v>71.073166223719596</v>
      </c>
      <c r="BN49" s="39">
        <v>8805.0453450271525</v>
      </c>
      <c r="BO49" s="47">
        <v>2.6594560093233794</v>
      </c>
      <c r="BP49" s="41">
        <f t="shared" si="22"/>
        <v>2.6594560093233794</v>
      </c>
      <c r="BQ49" s="39">
        <v>3806.3391747877859</v>
      </c>
      <c r="BR49" s="47">
        <v>3.707244068159572</v>
      </c>
      <c r="BS49" s="44">
        <v>5.6814786521002265</v>
      </c>
      <c r="BT49" s="45">
        <v>56.113029212233947</v>
      </c>
      <c r="BU49" s="46">
        <v>17.089620463299699</v>
      </c>
      <c r="BV49" s="45">
        <v>168.78535166697134</v>
      </c>
      <c r="BW49" s="393">
        <v>15905.926382110632</v>
      </c>
      <c r="BX49" s="295">
        <f t="shared" si="77"/>
        <v>0</v>
      </c>
      <c r="BY49" s="295">
        <f t="shared" si="23"/>
        <v>15905.926382110632</v>
      </c>
      <c r="BZ49" s="39">
        <v>5531.2820979532844</v>
      </c>
      <c r="CA49" s="41">
        <v>74.091027676442806</v>
      </c>
      <c r="CB49" s="39">
        <v>10374.644284157348</v>
      </c>
      <c r="CC49" s="47">
        <v>2.8756310201564719</v>
      </c>
      <c r="CD49" s="41">
        <f t="shared" si="24"/>
        <v>2.8756310201564719</v>
      </c>
      <c r="CE49" s="39">
        <v>3967.9614139803421</v>
      </c>
      <c r="CF49" s="47">
        <v>4.0085889762106017</v>
      </c>
    </row>
    <row r="50" spans="1:84" s="22" customFormat="1" ht="15" customHeight="1">
      <c r="A50" s="324" t="str">
        <f t="shared" si="68"/>
        <v>BNI - Efficient Product Rebates; Strip Curtains for 3' Open Refrigerated Display Cases; COM-Refrigeration; Retail</v>
      </c>
      <c r="B50" s="233" t="s">
        <v>65</v>
      </c>
      <c r="C50" s="15" t="s">
        <v>44</v>
      </c>
      <c r="D50" s="15" t="s">
        <v>28</v>
      </c>
      <c r="E50" s="37">
        <v>4</v>
      </c>
      <c r="F50" s="38">
        <v>923.60067845719777</v>
      </c>
      <c r="G50" s="38">
        <v>93.577382383921844</v>
      </c>
      <c r="H50" s="39">
        <v>55</v>
      </c>
      <c r="I50" s="40">
        <v>0.43636363636363634</v>
      </c>
      <c r="J50" s="39">
        <v>29.555221710630331</v>
      </c>
      <c r="K50" s="39">
        <v>53.555221710630335</v>
      </c>
      <c r="L50" s="39">
        <v>31</v>
      </c>
      <c r="M50" s="39">
        <v>84.555221710630335</v>
      </c>
      <c r="N50" s="39">
        <v>225.44192394072667</v>
      </c>
      <c r="O50" s="41">
        <v>0.82</v>
      </c>
      <c r="P50" s="41">
        <v>2.4762149705741598</v>
      </c>
      <c r="Q50" s="261">
        <f t="shared" si="69"/>
        <v>2.4762149705741598</v>
      </c>
      <c r="R50" s="262">
        <f t="shared" si="18"/>
        <v>0</v>
      </c>
      <c r="S50" s="262">
        <f t="shared" si="70"/>
        <v>0</v>
      </c>
      <c r="T50" s="261">
        <f t="shared" si="71"/>
        <v>2.4762149705741598</v>
      </c>
      <c r="U50" s="267">
        <f t="shared" si="45"/>
        <v>0</v>
      </c>
      <c r="V50" s="183" t="s">
        <v>38</v>
      </c>
      <c r="W50" s="200" t="s">
        <v>38</v>
      </c>
      <c r="X50" s="200"/>
      <c r="Y50" s="333">
        <v>0</v>
      </c>
      <c r="Z50" s="337">
        <v>0</v>
      </c>
      <c r="AA50" s="288">
        <f t="shared" si="50"/>
        <v>0</v>
      </c>
      <c r="AB50" s="288">
        <f t="shared" si="51"/>
        <v>0</v>
      </c>
      <c r="AC50" s="288">
        <f t="shared" ref="AC50:AE50" si="102">AB50*0</f>
        <v>0</v>
      </c>
      <c r="AD50" s="288">
        <f t="shared" si="102"/>
        <v>0</v>
      </c>
      <c r="AE50" s="288">
        <f t="shared" si="102"/>
        <v>0</v>
      </c>
      <c r="AF50" s="288">
        <f t="shared" si="47"/>
        <v>0</v>
      </c>
      <c r="AG50" s="288" t="s">
        <v>38</v>
      </c>
      <c r="AH50" s="288">
        <f t="shared" si="48"/>
        <v>0</v>
      </c>
      <c r="AI50" s="288">
        <f t="shared" ref="AI50:AJ50" si="103">AH50*0</f>
        <v>0</v>
      </c>
      <c r="AJ50" s="288">
        <f t="shared" si="103"/>
        <v>0</v>
      </c>
      <c r="AK50" s="288">
        <f t="shared" si="74"/>
        <v>0</v>
      </c>
      <c r="AL50" s="451" t="s">
        <v>449</v>
      </c>
      <c r="AM50" s="181" t="s">
        <v>267</v>
      </c>
      <c r="AN50" s="181"/>
      <c r="AO50" s="453" t="s">
        <v>428</v>
      </c>
      <c r="AP50" s="43" t="s">
        <v>65</v>
      </c>
      <c r="AQ50" s="44">
        <v>8.5301510670260914</v>
      </c>
      <c r="AR50" s="45">
        <v>84.191853973052972</v>
      </c>
      <c r="AS50" s="46">
        <v>8.5301510670260914</v>
      </c>
      <c r="AT50" s="45">
        <v>84.191853973052972</v>
      </c>
      <c r="AU50" s="393">
        <v>20550.410997452916</v>
      </c>
      <c r="AV50" s="295">
        <f t="shared" si="75"/>
        <v>0</v>
      </c>
      <c r="AW50" s="295">
        <f t="shared" si="19"/>
        <v>20550.410997452916</v>
      </c>
      <c r="AX50" s="39">
        <v>8299.1223466708525</v>
      </c>
      <c r="AY50" s="41">
        <v>111.16599959797752</v>
      </c>
      <c r="AZ50" s="39">
        <v>12251.288650782064</v>
      </c>
      <c r="BA50" s="47">
        <v>2.4762149705741598</v>
      </c>
      <c r="BB50" s="41">
        <f t="shared" si="20"/>
        <v>2.4762149705741598</v>
      </c>
      <c r="BC50" s="39">
        <v>5953.5197551535275</v>
      </c>
      <c r="BD50" s="47">
        <v>3.4518086514559601</v>
      </c>
      <c r="BE50" s="46">
        <v>7.8028240178748254</v>
      </c>
      <c r="BF50" s="45">
        <v>77.013198843543805</v>
      </c>
      <c r="BG50" s="46">
        <v>16.332975084900916</v>
      </c>
      <c r="BH50" s="45">
        <v>161.20505281659678</v>
      </c>
      <c r="BI50" s="393">
        <v>20191.978809695247</v>
      </c>
      <c r="BJ50" s="295">
        <f t="shared" si="76"/>
        <v>0</v>
      </c>
      <c r="BK50" s="295">
        <f t="shared" si="21"/>
        <v>20191.978809695247</v>
      </c>
      <c r="BL50" s="39">
        <v>7591.4940620695734</v>
      </c>
      <c r="BM50" s="41">
        <v>101.68738218332294</v>
      </c>
      <c r="BN50" s="39">
        <v>12600.484747625673</v>
      </c>
      <c r="BO50" s="47">
        <v>2.6598161896198023</v>
      </c>
      <c r="BP50" s="41">
        <f t="shared" si="22"/>
        <v>2.6598161896198023</v>
      </c>
      <c r="BQ50" s="39">
        <v>5445.89029800146</v>
      </c>
      <c r="BR50" s="47">
        <v>3.7077461543992771</v>
      </c>
      <c r="BS50" s="44">
        <v>8.1341423349989714</v>
      </c>
      <c r="BT50" s="45">
        <v>80.283282005580787</v>
      </c>
      <c r="BU50" s="46">
        <v>24.467117419899889</v>
      </c>
      <c r="BV50" s="45">
        <v>241.48833482217756</v>
      </c>
      <c r="BW50" s="393">
        <v>22761.118247483428</v>
      </c>
      <c r="BX50" s="295">
        <f t="shared" si="77"/>
        <v>0</v>
      </c>
      <c r="BY50" s="295">
        <f t="shared" si="23"/>
        <v>22761.118247483428</v>
      </c>
      <c r="BZ50" s="39">
        <v>7913.8390273463729</v>
      </c>
      <c r="CA50" s="41">
        <v>106.00516408645939</v>
      </c>
      <c r="CB50" s="39">
        <v>14847.279220137054</v>
      </c>
      <c r="CC50" s="47">
        <v>2.8761158988491036</v>
      </c>
      <c r="CD50" s="41">
        <f t="shared" si="24"/>
        <v>2.8761158988491036</v>
      </c>
      <c r="CE50" s="39">
        <v>5677.1300651220809</v>
      </c>
      <c r="CF50" s="47">
        <v>4.0092648902511927</v>
      </c>
    </row>
    <row r="51" spans="1:84" s="22" customFormat="1" ht="15" customHeight="1">
      <c r="A51" s="324" t="str">
        <f t="shared" si="68"/>
        <v>BNI - Efficient Product Rebates; Strip Curtains for 3' Open Refrigerated Display Cases; COM-Refrigeration; School</v>
      </c>
      <c r="B51" s="233" t="s">
        <v>65</v>
      </c>
      <c r="C51" s="15" t="s">
        <v>44</v>
      </c>
      <c r="D51" s="15" t="s">
        <v>57</v>
      </c>
      <c r="E51" s="37">
        <v>4</v>
      </c>
      <c r="F51" s="38">
        <v>923.60067845719777</v>
      </c>
      <c r="G51" s="38">
        <v>93.375966225598546</v>
      </c>
      <c r="H51" s="39">
        <v>55</v>
      </c>
      <c r="I51" s="40">
        <v>0.43636363636363634</v>
      </c>
      <c r="J51" s="39">
        <v>29.555221710630331</v>
      </c>
      <c r="K51" s="39">
        <v>53.555221710630335</v>
      </c>
      <c r="L51" s="39">
        <v>31</v>
      </c>
      <c r="M51" s="39">
        <v>84.555221710630335</v>
      </c>
      <c r="N51" s="39">
        <v>225.37287674879283</v>
      </c>
      <c r="O51" s="41">
        <v>0.82</v>
      </c>
      <c r="P51" s="41">
        <v>2.4754565682000402</v>
      </c>
      <c r="Q51" s="261">
        <f t="shared" si="69"/>
        <v>2.4754565682000402</v>
      </c>
      <c r="R51" s="262">
        <f t="shared" si="18"/>
        <v>0</v>
      </c>
      <c r="S51" s="262">
        <f t="shared" si="70"/>
        <v>0</v>
      </c>
      <c r="T51" s="261">
        <f t="shared" si="71"/>
        <v>2.4754565682000402</v>
      </c>
      <c r="U51" s="267">
        <f t="shared" si="45"/>
        <v>0</v>
      </c>
      <c r="V51" s="183" t="s">
        <v>38</v>
      </c>
      <c r="W51" s="200" t="s">
        <v>38</v>
      </c>
      <c r="X51" s="200"/>
      <c r="Y51" s="333">
        <v>0</v>
      </c>
      <c r="Z51" s="337">
        <v>0</v>
      </c>
      <c r="AA51" s="288">
        <f t="shared" si="50"/>
        <v>0</v>
      </c>
      <c r="AB51" s="288">
        <f t="shared" si="51"/>
        <v>0</v>
      </c>
      <c r="AC51" s="288">
        <f t="shared" ref="AC51:AE51" si="104">AB51*0</f>
        <v>0</v>
      </c>
      <c r="AD51" s="288">
        <f t="shared" si="104"/>
        <v>0</v>
      </c>
      <c r="AE51" s="288">
        <f t="shared" si="104"/>
        <v>0</v>
      </c>
      <c r="AF51" s="288">
        <f t="shared" si="47"/>
        <v>0</v>
      </c>
      <c r="AG51" s="288" t="s">
        <v>38</v>
      </c>
      <c r="AH51" s="288">
        <f t="shared" si="48"/>
        <v>0</v>
      </c>
      <c r="AI51" s="288">
        <f t="shared" ref="AI51:AJ51" si="105">AH51*0</f>
        <v>0</v>
      </c>
      <c r="AJ51" s="288">
        <f t="shared" si="105"/>
        <v>0</v>
      </c>
      <c r="AK51" s="288">
        <f t="shared" si="74"/>
        <v>0</v>
      </c>
      <c r="AL51" s="451" t="s">
        <v>449</v>
      </c>
      <c r="AM51" s="181" t="s">
        <v>267</v>
      </c>
      <c r="AN51" s="181"/>
      <c r="AO51" s="453" t="s">
        <v>428</v>
      </c>
      <c r="AP51" s="43" t="s">
        <v>65</v>
      </c>
      <c r="AQ51" s="44">
        <v>8.4839744419486944</v>
      </c>
      <c r="AR51" s="45">
        <v>83.916717195363219</v>
      </c>
      <c r="AS51" s="46">
        <v>8.4839744419486944</v>
      </c>
      <c r="AT51" s="45">
        <v>83.916717195363219</v>
      </c>
      <c r="AU51" s="393">
        <v>20476.979286357633</v>
      </c>
      <c r="AV51" s="295">
        <f t="shared" si="75"/>
        <v>0</v>
      </c>
      <c r="AW51" s="295">
        <f t="shared" si="19"/>
        <v>20476.979286357633</v>
      </c>
      <c r="AX51" s="39">
        <v>8272.0010318124478</v>
      </c>
      <c r="AY51" s="41">
        <v>110.80271201759192</v>
      </c>
      <c r="AZ51" s="39">
        <v>12204.978254545185</v>
      </c>
      <c r="BA51" s="47">
        <v>2.4754565682000402</v>
      </c>
      <c r="BB51" s="41">
        <f t="shared" si="20"/>
        <v>2.4754565682000402</v>
      </c>
      <c r="BC51" s="39">
        <v>5934.0638082412588</v>
      </c>
      <c r="BD51" s="47">
        <v>3.4507514492714249</v>
      </c>
      <c r="BE51" s="46">
        <v>7.7605846628637405</v>
      </c>
      <c r="BF51" s="45">
        <v>76.761521723140049</v>
      </c>
      <c r="BG51" s="46">
        <v>16.244559104812435</v>
      </c>
      <c r="BH51" s="45">
        <v>160.67823891850327</v>
      </c>
      <c r="BI51" s="393">
        <v>20117.173277391605</v>
      </c>
      <c r="BJ51" s="295">
        <f t="shared" si="76"/>
        <v>0</v>
      </c>
      <c r="BK51" s="295">
        <f t="shared" si="21"/>
        <v>20117.173277391605</v>
      </c>
      <c r="BL51" s="39">
        <v>7566.6852579451615</v>
      </c>
      <c r="BM51" s="41">
        <v>101.35507047684146</v>
      </c>
      <c r="BN51" s="39">
        <v>12550.488019446442</v>
      </c>
      <c r="BO51" s="47">
        <v>2.6586507290320021</v>
      </c>
      <c r="BP51" s="41">
        <f t="shared" si="22"/>
        <v>2.6586507290320021</v>
      </c>
      <c r="BQ51" s="39">
        <v>5428.0932708838072</v>
      </c>
      <c r="BR51" s="47">
        <v>3.7061215188213055</v>
      </c>
      <c r="BS51" s="44">
        <v>8.090109440624877</v>
      </c>
      <c r="BT51" s="45">
        <v>80.020918338895839</v>
      </c>
      <c r="BU51" s="46">
        <v>24.334668545437314</v>
      </c>
      <c r="BV51" s="45">
        <v>240.69915725739912</v>
      </c>
      <c r="BW51" s="393">
        <v>22674.359620250816</v>
      </c>
      <c r="BX51" s="295">
        <f t="shared" si="77"/>
        <v>0</v>
      </c>
      <c r="BY51" s="295">
        <f t="shared" si="23"/>
        <v>22674.359620250816</v>
      </c>
      <c r="BZ51" s="39">
        <v>7887.9768083027529</v>
      </c>
      <c r="CA51" s="41">
        <v>105.65874198160162</v>
      </c>
      <c r="CB51" s="39">
        <v>14786.382811948064</v>
      </c>
      <c r="CC51" s="47">
        <v>2.8745469429352482</v>
      </c>
      <c r="CD51" s="41">
        <f t="shared" si="24"/>
        <v>2.8745469429352482</v>
      </c>
      <c r="CE51" s="39">
        <v>5658.57735249096</v>
      </c>
      <c r="CF51" s="47">
        <v>4.0070777878947519</v>
      </c>
    </row>
    <row r="52" spans="1:84" s="22" customFormat="1" ht="15" customHeight="1">
      <c r="A52" s="324" t="str">
        <f t="shared" si="68"/>
        <v xml:space="preserve">BNI - Efficient Product Rebates; Electronically Commutated (Brushless) DC Motors for Refrigeration Applications; IND; Industrial </v>
      </c>
      <c r="B52" s="36" t="s">
        <v>66</v>
      </c>
      <c r="C52" s="15" t="s">
        <v>67</v>
      </c>
      <c r="D52" s="15" t="s">
        <v>68</v>
      </c>
      <c r="E52" s="37">
        <v>15</v>
      </c>
      <c r="F52" s="38">
        <v>613.21199999999999</v>
      </c>
      <c r="G52" s="38">
        <v>70.00136986301402</v>
      </c>
      <c r="H52" s="39">
        <v>245</v>
      </c>
      <c r="I52" s="40">
        <v>0.24489795918367346</v>
      </c>
      <c r="J52" s="39">
        <v>19.622783999999999</v>
      </c>
      <c r="K52" s="39">
        <v>79.622783999999996</v>
      </c>
      <c r="L52" s="39">
        <v>185</v>
      </c>
      <c r="M52" s="39">
        <v>264.62278400000002</v>
      </c>
      <c r="N52" s="39">
        <v>557.3127422954127</v>
      </c>
      <c r="O52" s="41">
        <v>0.82</v>
      </c>
      <c r="P52" s="41">
        <v>2.0723321209396599</v>
      </c>
      <c r="Q52" s="261">
        <f t="shared" si="69"/>
        <v>2.0723321209396599</v>
      </c>
      <c r="R52" s="262">
        <f t="shared" si="18"/>
        <v>0</v>
      </c>
      <c r="S52" s="262">
        <f t="shared" si="70"/>
        <v>0</v>
      </c>
      <c r="T52" s="261">
        <f t="shared" si="71"/>
        <v>2.0723321209396599</v>
      </c>
      <c r="U52" s="267">
        <f t="shared" si="45"/>
        <v>0</v>
      </c>
      <c r="V52" s="42" t="s">
        <v>38</v>
      </c>
      <c r="W52" s="198" t="s">
        <v>38</v>
      </c>
      <c r="X52" s="198"/>
      <c r="Y52" s="333">
        <v>0</v>
      </c>
      <c r="Z52" s="335">
        <v>0</v>
      </c>
      <c r="AA52" s="288">
        <f t="shared" si="50"/>
        <v>0</v>
      </c>
      <c r="AB52" s="288">
        <f t="shared" si="51"/>
        <v>0</v>
      </c>
      <c r="AC52" s="288">
        <f t="shared" ref="AC52:AE52" si="106">AB52*0</f>
        <v>0</v>
      </c>
      <c r="AD52" s="288">
        <f t="shared" si="106"/>
        <v>0</v>
      </c>
      <c r="AE52" s="288">
        <f t="shared" si="106"/>
        <v>0</v>
      </c>
      <c r="AF52" s="288">
        <f t="shared" si="47"/>
        <v>0</v>
      </c>
      <c r="AG52" s="288" t="s">
        <v>38</v>
      </c>
      <c r="AH52" s="288">
        <f t="shared" si="48"/>
        <v>0</v>
      </c>
      <c r="AI52" s="288">
        <f t="shared" ref="AI52:AJ52" si="107">AH52*0</f>
        <v>0</v>
      </c>
      <c r="AJ52" s="288">
        <f t="shared" si="107"/>
        <v>0</v>
      </c>
      <c r="AK52" s="288">
        <f t="shared" si="74"/>
        <v>0</v>
      </c>
      <c r="AL52" s="246" t="s">
        <v>454</v>
      </c>
      <c r="AM52" s="234" t="s">
        <v>330</v>
      </c>
      <c r="AN52" s="102" t="s">
        <v>38</v>
      </c>
      <c r="AO52" s="241"/>
      <c r="AP52" s="43" t="s">
        <v>66</v>
      </c>
      <c r="AQ52" s="44">
        <v>1.6608730714975728</v>
      </c>
      <c r="AR52" s="45">
        <v>14.549248106318672</v>
      </c>
      <c r="AS52" s="46">
        <v>1.6608730714975728</v>
      </c>
      <c r="AT52" s="45">
        <v>14.549248106318672</v>
      </c>
      <c r="AU52" s="393">
        <v>13222.965891842949</v>
      </c>
      <c r="AV52" s="295">
        <f t="shared" si="75"/>
        <v>0</v>
      </c>
      <c r="AW52" s="295">
        <f t="shared" si="19"/>
        <v>13222.965891842949</v>
      </c>
      <c r="AX52" s="39">
        <v>6380.7175298944112</v>
      </c>
      <c r="AY52" s="41">
        <v>28.934504699044666</v>
      </c>
      <c r="AZ52" s="39">
        <v>6842.2483619485374</v>
      </c>
      <c r="BA52" s="47">
        <v>2.072332120939659</v>
      </c>
      <c r="BB52" s="41">
        <f t="shared" si="20"/>
        <v>2.072332120939659</v>
      </c>
      <c r="BC52" s="39">
        <v>2303.8458177990183</v>
      </c>
      <c r="BD52" s="47">
        <v>5.7395185865673612</v>
      </c>
      <c r="BE52" s="46">
        <v>1.5665263363711928</v>
      </c>
      <c r="BF52" s="45">
        <v>13.722770706611586</v>
      </c>
      <c r="BG52" s="46">
        <v>3.2273994078687656</v>
      </c>
      <c r="BH52" s="45">
        <v>28.272018812930256</v>
      </c>
      <c r="BI52" s="393">
        <v>13180.694908214726</v>
      </c>
      <c r="BJ52" s="295">
        <f t="shared" si="76"/>
        <v>0</v>
      </c>
      <c r="BK52" s="295">
        <f t="shared" si="21"/>
        <v>13180.694908214726</v>
      </c>
      <c r="BL52" s="39">
        <v>6018.2576423568344</v>
      </c>
      <c r="BM52" s="41">
        <v>27.290865520529778</v>
      </c>
      <c r="BN52" s="39">
        <v>7162.4372658578914</v>
      </c>
      <c r="BO52" s="47">
        <v>2.190118085913813</v>
      </c>
      <c r="BP52" s="41">
        <f t="shared" si="22"/>
        <v>2.190118085913813</v>
      </c>
      <c r="BQ52" s="39">
        <v>2172.9746905141901</v>
      </c>
      <c r="BR52" s="47">
        <v>6.065737887216617</v>
      </c>
      <c r="BS52" s="44">
        <v>1.6765760830683063</v>
      </c>
      <c r="BT52" s="45">
        <v>14.686806487678297</v>
      </c>
      <c r="BU52" s="46">
        <v>4.9039754909370714</v>
      </c>
      <c r="BV52" s="45">
        <v>42.958825300608552</v>
      </c>
      <c r="BW52" s="393">
        <v>14976.012362364905</v>
      </c>
      <c r="BX52" s="295">
        <f t="shared" si="77"/>
        <v>0</v>
      </c>
      <c r="BY52" s="295">
        <f t="shared" si="23"/>
        <v>14976.012362364905</v>
      </c>
      <c r="BZ52" s="39">
        <v>6441.0451268197858</v>
      </c>
      <c r="CA52" s="41">
        <v>29.208070975649328</v>
      </c>
      <c r="CB52" s="39">
        <v>8534.9672355451185</v>
      </c>
      <c r="CC52" s="47">
        <v>2.3250904267083112</v>
      </c>
      <c r="CD52" s="41">
        <f t="shared" si="24"/>
        <v>2.3250904267083112</v>
      </c>
      <c r="CE52" s="39">
        <v>2325.6279263507959</v>
      </c>
      <c r="CF52" s="47">
        <v>6.4395564710405591</v>
      </c>
    </row>
    <row r="53" spans="1:84" s="22" customFormat="1" ht="15" customHeight="1">
      <c r="A53" s="324" t="str">
        <f t="shared" si="68"/>
        <v>BNI - Efficient Product Rebates; Electronically Commutated (Brushless) DC Motors for Refrigeration Applications; COM-Refrigeration; Other Commercial</v>
      </c>
      <c r="B53" s="36" t="s">
        <v>66</v>
      </c>
      <c r="C53" s="15" t="s">
        <v>44</v>
      </c>
      <c r="D53" s="15" t="s">
        <v>54</v>
      </c>
      <c r="E53" s="37">
        <v>15</v>
      </c>
      <c r="F53" s="38">
        <v>613.21199999999999</v>
      </c>
      <c r="G53" s="38">
        <v>62.088091413394977</v>
      </c>
      <c r="H53" s="39">
        <v>245</v>
      </c>
      <c r="I53" s="40">
        <v>0.24489795918367346</v>
      </c>
      <c r="J53" s="39">
        <v>19.622783999999999</v>
      </c>
      <c r="K53" s="39">
        <v>79.622783999999996</v>
      </c>
      <c r="L53" s="39">
        <v>185</v>
      </c>
      <c r="M53" s="39">
        <v>264.62278400000002</v>
      </c>
      <c r="N53" s="39">
        <v>544.91714873784667</v>
      </c>
      <c r="O53" s="41">
        <v>0.82</v>
      </c>
      <c r="P53" s="41">
        <v>2.0262398916795568</v>
      </c>
      <c r="Q53" s="261">
        <f t="shared" si="69"/>
        <v>2.0262398916795568</v>
      </c>
      <c r="R53" s="262">
        <f t="shared" si="18"/>
        <v>0</v>
      </c>
      <c r="S53" s="262">
        <f t="shared" si="70"/>
        <v>0</v>
      </c>
      <c r="T53" s="261">
        <f t="shared" si="71"/>
        <v>2.0262398916795568</v>
      </c>
      <c r="U53" s="267">
        <f t="shared" si="45"/>
        <v>0</v>
      </c>
      <c r="V53" s="42" t="s">
        <v>38</v>
      </c>
      <c r="W53" s="198" t="s">
        <v>38</v>
      </c>
      <c r="X53" s="198"/>
      <c r="Y53" s="333">
        <v>0</v>
      </c>
      <c r="Z53" s="335">
        <v>0</v>
      </c>
      <c r="AA53" s="288">
        <f t="shared" si="50"/>
        <v>0</v>
      </c>
      <c r="AB53" s="288">
        <f t="shared" si="51"/>
        <v>0</v>
      </c>
      <c r="AC53" s="288">
        <f t="shared" ref="AC53:AE53" si="108">AB53*0</f>
        <v>0</v>
      </c>
      <c r="AD53" s="288">
        <f t="shared" si="108"/>
        <v>0</v>
      </c>
      <c r="AE53" s="288">
        <f t="shared" si="108"/>
        <v>0</v>
      </c>
      <c r="AF53" s="288">
        <f t="shared" si="47"/>
        <v>0</v>
      </c>
      <c r="AG53" s="288" t="s">
        <v>38</v>
      </c>
      <c r="AH53" s="288">
        <f t="shared" si="48"/>
        <v>0</v>
      </c>
      <c r="AI53" s="288">
        <f t="shared" ref="AI53:AJ53" si="109">AH53*0</f>
        <v>0</v>
      </c>
      <c r="AJ53" s="288">
        <f t="shared" si="109"/>
        <v>0</v>
      </c>
      <c r="AK53" s="288">
        <f t="shared" si="74"/>
        <v>0</v>
      </c>
      <c r="AL53" s="246" t="s">
        <v>454</v>
      </c>
      <c r="AM53" s="234" t="s">
        <v>330</v>
      </c>
      <c r="AN53" s="102" t="s">
        <v>38</v>
      </c>
      <c r="AO53" s="241"/>
      <c r="AP53" s="43" t="s">
        <v>66</v>
      </c>
      <c r="AQ53" s="44">
        <v>2.1292165964102345</v>
      </c>
      <c r="AR53" s="45">
        <v>21.029172226032177</v>
      </c>
      <c r="AS53" s="46">
        <v>2.1292165964102345</v>
      </c>
      <c r="AT53" s="45">
        <v>21.029172226032177</v>
      </c>
      <c r="AU53" s="393">
        <v>18687.104247350948</v>
      </c>
      <c r="AV53" s="295">
        <f t="shared" si="75"/>
        <v>0</v>
      </c>
      <c r="AW53" s="295">
        <f t="shared" si="19"/>
        <v>18687.104247350948</v>
      </c>
      <c r="AX53" s="39">
        <v>9222.5527313358471</v>
      </c>
      <c r="AY53" s="41">
        <v>41.821314623598475</v>
      </c>
      <c r="AZ53" s="39">
        <v>9464.5515160151008</v>
      </c>
      <c r="BA53" s="47">
        <v>2.0262398916795568</v>
      </c>
      <c r="BB53" s="41">
        <f t="shared" si="20"/>
        <v>2.0262398916795568</v>
      </c>
      <c r="BC53" s="39">
        <v>3329.9295008708227</v>
      </c>
      <c r="BD53" s="47">
        <v>5.6118618254422534</v>
      </c>
      <c r="BE53" s="46">
        <v>2.1772877026494726</v>
      </c>
      <c r="BF53" s="45">
        <v>21.503945705585718</v>
      </c>
      <c r="BG53" s="46">
        <v>4.3065042990597071</v>
      </c>
      <c r="BH53" s="45">
        <v>42.533117931617895</v>
      </c>
      <c r="BI53" s="393">
        <v>20169.324764745907</v>
      </c>
      <c r="BJ53" s="295">
        <f t="shared" si="76"/>
        <v>0</v>
      </c>
      <c r="BK53" s="295">
        <f t="shared" si="21"/>
        <v>20169.324764745907</v>
      </c>
      <c r="BL53" s="39">
        <v>9430.7693650463261</v>
      </c>
      <c r="BM53" s="41">
        <v>42.765510184409457</v>
      </c>
      <c r="BN53" s="39">
        <v>10738.55539969958</v>
      </c>
      <c r="BO53" s="47">
        <v>2.1386722529235378</v>
      </c>
      <c r="BP53" s="41">
        <f t="shared" si="22"/>
        <v>2.1386722529235378</v>
      </c>
      <c r="BQ53" s="39">
        <v>3405.1089800630348</v>
      </c>
      <c r="BR53" s="47">
        <v>5.923253817377832</v>
      </c>
      <c r="BS53" s="44">
        <v>2.5626358883415112</v>
      </c>
      <c r="BT53" s="45">
        <v>25.30983063883729</v>
      </c>
      <c r="BU53" s="46">
        <v>6.8691401874012179</v>
      </c>
      <c r="BV53" s="45">
        <v>67.842948570455178</v>
      </c>
      <c r="BW53" s="393">
        <v>25173.888511922949</v>
      </c>
      <c r="BX53" s="295">
        <f t="shared" si="77"/>
        <v>0</v>
      </c>
      <c r="BY53" s="295">
        <f t="shared" si="23"/>
        <v>25173.888511922949</v>
      </c>
      <c r="BZ53" s="39">
        <v>11099.878073132268</v>
      </c>
      <c r="CA53" s="41">
        <v>50.334382106894985</v>
      </c>
      <c r="CB53" s="39">
        <v>14074.010438790681</v>
      </c>
      <c r="CC53" s="47">
        <v>2.2679427959535365</v>
      </c>
      <c r="CD53" s="41">
        <f t="shared" si="24"/>
        <v>2.2679427959535365</v>
      </c>
      <c r="CE53" s="39">
        <v>4007.7636342707642</v>
      </c>
      <c r="CF53" s="47">
        <v>6.281280736383418</v>
      </c>
    </row>
    <row r="54" spans="1:84" s="22" customFormat="1" ht="15" customHeight="1">
      <c r="A54" s="324" t="str">
        <f t="shared" si="68"/>
        <v>BNI - Efficient Product Rebates; Electronically Commutated (Brushless) DC Motors for Refrigeration Applications; COM-Refrigeration; Retail</v>
      </c>
      <c r="B54" s="36" t="s">
        <v>66</v>
      </c>
      <c r="C54" s="15" t="s">
        <v>44</v>
      </c>
      <c r="D54" s="15" t="s">
        <v>28</v>
      </c>
      <c r="E54" s="37">
        <v>15</v>
      </c>
      <c r="F54" s="38">
        <v>613.21199999999999</v>
      </c>
      <c r="G54" s="38">
        <v>62.129419287849473</v>
      </c>
      <c r="H54" s="39">
        <v>245</v>
      </c>
      <c r="I54" s="40">
        <v>0.24489795918367346</v>
      </c>
      <c r="J54" s="39">
        <v>19.622783999999999</v>
      </c>
      <c r="K54" s="39">
        <v>79.622783999999996</v>
      </c>
      <c r="L54" s="39">
        <v>185</v>
      </c>
      <c r="M54" s="39">
        <v>264.62278400000002</v>
      </c>
      <c r="N54" s="39">
        <v>544.98188594349381</v>
      </c>
      <c r="O54" s="41">
        <v>0.82</v>
      </c>
      <c r="P54" s="41">
        <v>2.0264806128770121</v>
      </c>
      <c r="Q54" s="261">
        <f t="shared" si="69"/>
        <v>2.0264806128770121</v>
      </c>
      <c r="R54" s="262">
        <f t="shared" si="18"/>
        <v>0</v>
      </c>
      <c r="S54" s="262">
        <f t="shared" si="70"/>
        <v>0</v>
      </c>
      <c r="T54" s="261">
        <f t="shared" si="71"/>
        <v>2.0264806128770121</v>
      </c>
      <c r="U54" s="267">
        <f t="shared" si="45"/>
        <v>0</v>
      </c>
      <c r="V54" s="42" t="s">
        <v>38</v>
      </c>
      <c r="W54" s="198" t="s">
        <v>38</v>
      </c>
      <c r="X54" s="198"/>
      <c r="Y54" s="333">
        <v>0</v>
      </c>
      <c r="Z54" s="335">
        <v>0</v>
      </c>
      <c r="AA54" s="288">
        <f t="shared" si="50"/>
        <v>0</v>
      </c>
      <c r="AB54" s="288">
        <f t="shared" si="51"/>
        <v>0</v>
      </c>
      <c r="AC54" s="288">
        <f t="shared" ref="AC54:AE54" si="110">AB54*0</f>
        <v>0</v>
      </c>
      <c r="AD54" s="288">
        <f t="shared" si="110"/>
        <v>0</v>
      </c>
      <c r="AE54" s="288">
        <f t="shared" si="110"/>
        <v>0</v>
      </c>
      <c r="AF54" s="288">
        <f t="shared" si="47"/>
        <v>0</v>
      </c>
      <c r="AG54" s="288" t="s">
        <v>38</v>
      </c>
      <c r="AH54" s="288">
        <f t="shared" si="48"/>
        <v>0</v>
      </c>
      <c r="AI54" s="288">
        <f t="shared" ref="AI54:AJ54" si="111">AH54*0</f>
        <v>0</v>
      </c>
      <c r="AJ54" s="288">
        <f t="shared" si="111"/>
        <v>0</v>
      </c>
      <c r="AK54" s="288">
        <f t="shared" si="74"/>
        <v>0</v>
      </c>
      <c r="AL54" s="246" t="s">
        <v>454</v>
      </c>
      <c r="AM54" s="234" t="s">
        <v>330</v>
      </c>
      <c r="AN54" s="102" t="s">
        <v>38</v>
      </c>
      <c r="AO54" s="241"/>
      <c r="AP54" s="43" t="s">
        <v>66</v>
      </c>
      <c r="AQ54" s="44">
        <v>3.0483879140935617</v>
      </c>
      <c r="AR54" s="45">
        <v>30.087325312289181</v>
      </c>
      <c r="AS54" s="46">
        <v>3.0483879140935617</v>
      </c>
      <c r="AT54" s="45">
        <v>30.087325312289181</v>
      </c>
      <c r="AU54" s="393">
        <v>26739.606028073122</v>
      </c>
      <c r="AV54" s="295">
        <f t="shared" si="75"/>
        <v>0</v>
      </c>
      <c r="AW54" s="295">
        <f t="shared" si="19"/>
        <v>26739.606028073122</v>
      </c>
      <c r="AX54" s="39">
        <v>13195.095900824175</v>
      </c>
      <c r="AY54" s="41">
        <v>59.83552203306202</v>
      </c>
      <c r="AZ54" s="39">
        <v>13544.510127248946</v>
      </c>
      <c r="BA54" s="47">
        <v>2.0264806128770121</v>
      </c>
      <c r="BB54" s="41">
        <f t="shared" si="20"/>
        <v>2.0264806128770121</v>
      </c>
      <c r="BC54" s="39">
        <v>4764.2708463657382</v>
      </c>
      <c r="BD54" s="47">
        <v>5.6125285254238895</v>
      </c>
      <c r="BE54" s="46">
        <v>3.1172110575557448</v>
      </c>
      <c r="BF54" s="45">
        <v>30.766603791510146</v>
      </c>
      <c r="BG54" s="46">
        <v>6.1655989716493069</v>
      </c>
      <c r="BH54" s="45">
        <v>60.853929103799331</v>
      </c>
      <c r="BI54" s="393">
        <v>28860.730527425898</v>
      </c>
      <c r="BJ54" s="295">
        <f t="shared" si="76"/>
        <v>0</v>
      </c>
      <c r="BK54" s="295">
        <f t="shared" si="21"/>
        <v>28860.730527425898</v>
      </c>
      <c r="BL54" s="39">
        <v>13493.000237073888</v>
      </c>
      <c r="BM54" s="41">
        <v>61.186422519833087</v>
      </c>
      <c r="BN54" s="39">
        <v>15367.73029035201</v>
      </c>
      <c r="BO54" s="47">
        <v>2.1389409338426484</v>
      </c>
      <c r="BP54" s="41">
        <f t="shared" si="22"/>
        <v>2.1389409338426484</v>
      </c>
      <c r="BQ54" s="39">
        <v>4871.8333040294056</v>
      </c>
      <c r="BR54" s="47">
        <v>5.9239979544365173</v>
      </c>
      <c r="BS54" s="44">
        <v>3.6689119760822919</v>
      </c>
      <c r="BT54" s="45">
        <v>36.211844186951339</v>
      </c>
      <c r="BU54" s="46">
        <v>9.834510947731598</v>
      </c>
      <c r="BV54" s="45">
        <v>97.06577329075067</v>
      </c>
      <c r="BW54" s="393">
        <v>36022.085890143142</v>
      </c>
      <c r="BX54" s="295">
        <f t="shared" si="77"/>
        <v>0</v>
      </c>
      <c r="BY54" s="295">
        <f t="shared" si="23"/>
        <v>36022.085890143142</v>
      </c>
      <c r="BZ54" s="39">
        <v>15881.064595574408</v>
      </c>
      <c r="CA54" s="41">
        <v>72.015527409514334</v>
      </c>
      <c r="CB54" s="39">
        <v>20141.021294568734</v>
      </c>
      <c r="CC54" s="47">
        <v>2.2682412550718705</v>
      </c>
      <c r="CD54" s="41">
        <f t="shared" si="24"/>
        <v>2.2682412550718705</v>
      </c>
      <c r="CE54" s="39">
        <v>5734.0767835738388</v>
      </c>
      <c r="CF54" s="47">
        <v>6.2821073469636906</v>
      </c>
    </row>
    <row r="55" spans="1:84" s="22" customFormat="1" ht="15" customHeight="1">
      <c r="A55" s="324" t="str">
        <f t="shared" si="68"/>
        <v>BNI - Efficient Product Rebates; Electronically Commutated (Brushless) DC Motors for Refrigeration Applications; COM-Refrigeration; School</v>
      </c>
      <c r="B55" s="36" t="s">
        <v>66</v>
      </c>
      <c r="C55" s="15" t="s">
        <v>44</v>
      </c>
      <c r="D55" s="15" t="s">
        <v>57</v>
      </c>
      <c r="E55" s="37">
        <v>15</v>
      </c>
      <c r="F55" s="38">
        <v>613.21199999999999</v>
      </c>
      <c r="G55" s="38">
        <v>61.995691792668261</v>
      </c>
      <c r="H55" s="39">
        <v>245</v>
      </c>
      <c r="I55" s="40">
        <v>0.24489795918367346</v>
      </c>
      <c r="J55" s="39">
        <v>19.622783999999999</v>
      </c>
      <c r="K55" s="39">
        <v>79.622783999999996</v>
      </c>
      <c r="L55" s="39">
        <v>185</v>
      </c>
      <c r="M55" s="39">
        <v>264.62278400000002</v>
      </c>
      <c r="N55" s="39">
        <v>544.77241123736644</v>
      </c>
      <c r="O55" s="41">
        <v>0.82</v>
      </c>
      <c r="P55" s="41">
        <v>2.0257016944545763</v>
      </c>
      <c r="Q55" s="261">
        <f t="shared" si="69"/>
        <v>2.0257016944545763</v>
      </c>
      <c r="R55" s="262">
        <f t="shared" si="18"/>
        <v>0</v>
      </c>
      <c r="S55" s="262">
        <f t="shared" si="70"/>
        <v>0</v>
      </c>
      <c r="T55" s="261">
        <f t="shared" si="71"/>
        <v>2.0257016944545763</v>
      </c>
      <c r="U55" s="267">
        <f t="shared" si="45"/>
        <v>0</v>
      </c>
      <c r="V55" s="42" t="s">
        <v>38</v>
      </c>
      <c r="W55" s="198" t="s">
        <v>38</v>
      </c>
      <c r="X55" s="198"/>
      <c r="Y55" s="333">
        <v>0</v>
      </c>
      <c r="Z55" s="335">
        <v>0</v>
      </c>
      <c r="AA55" s="288">
        <f t="shared" si="50"/>
        <v>0</v>
      </c>
      <c r="AB55" s="288">
        <f t="shared" si="51"/>
        <v>0</v>
      </c>
      <c r="AC55" s="288">
        <f t="shared" ref="AC55:AE55" si="112">AB55*0</f>
        <v>0</v>
      </c>
      <c r="AD55" s="288">
        <f t="shared" si="112"/>
        <v>0</v>
      </c>
      <c r="AE55" s="288">
        <f t="shared" si="112"/>
        <v>0</v>
      </c>
      <c r="AF55" s="288">
        <f t="shared" si="47"/>
        <v>0</v>
      </c>
      <c r="AG55" s="288" t="s">
        <v>38</v>
      </c>
      <c r="AH55" s="288">
        <f t="shared" si="48"/>
        <v>0</v>
      </c>
      <c r="AI55" s="288">
        <f t="shared" ref="AI55:AJ55" si="113">AH55*0</f>
        <v>0</v>
      </c>
      <c r="AJ55" s="288">
        <f t="shared" si="113"/>
        <v>0</v>
      </c>
      <c r="AK55" s="288">
        <f t="shared" si="74"/>
        <v>0</v>
      </c>
      <c r="AL55" s="246" t="s">
        <v>454</v>
      </c>
      <c r="AM55" s="234" t="s">
        <v>330</v>
      </c>
      <c r="AN55" s="102" t="s">
        <v>38</v>
      </c>
      <c r="AO55" s="241"/>
      <c r="AP55" s="43" t="s">
        <v>66</v>
      </c>
      <c r="AQ55" s="44">
        <v>3.0318859477516407</v>
      </c>
      <c r="AR55" s="45">
        <v>29.989000719765347</v>
      </c>
      <c r="AS55" s="46">
        <v>3.0318859477516407</v>
      </c>
      <c r="AT55" s="45">
        <v>29.989000719765347</v>
      </c>
      <c r="AU55" s="393">
        <v>26641.977379284304</v>
      </c>
      <c r="AV55" s="295">
        <f t="shared" si="75"/>
        <v>0</v>
      </c>
      <c r="AW55" s="295">
        <f t="shared" si="19"/>
        <v>26641.977379284304</v>
      </c>
      <c r="AX55" s="39">
        <v>13151.974672390104</v>
      </c>
      <c r="AY55" s="41">
        <v>59.639981111385325</v>
      </c>
      <c r="AZ55" s="39">
        <v>13490.0027068942</v>
      </c>
      <c r="BA55" s="47">
        <v>2.0257016944545763</v>
      </c>
      <c r="BB55" s="41">
        <f t="shared" si="20"/>
        <v>2.0257016944545763</v>
      </c>
      <c r="BC55" s="39">
        <v>4748.7013337959143</v>
      </c>
      <c r="BD55" s="47">
        <v>5.6103712376427382</v>
      </c>
      <c r="BE55" s="46">
        <v>3.1003365280004251</v>
      </c>
      <c r="BF55" s="45">
        <v>30.666059334675129</v>
      </c>
      <c r="BG55" s="46">
        <v>6.1322224757520658</v>
      </c>
      <c r="BH55" s="45">
        <v>60.655060054440476</v>
      </c>
      <c r="BI55" s="393">
        <v>28754.722075373233</v>
      </c>
      <c r="BJ55" s="295">
        <f t="shared" si="76"/>
        <v>0</v>
      </c>
      <c r="BK55" s="295">
        <f t="shared" si="21"/>
        <v>28754.722075373233</v>
      </c>
      <c r="BL55" s="39">
        <v>13448.905465057298</v>
      </c>
      <c r="BM55" s="41">
        <v>60.986466890683275</v>
      </c>
      <c r="BN55" s="39">
        <v>15305.816610315935</v>
      </c>
      <c r="BO55" s="47">
        <v>2.1380715441924423</v>
      </c>
      <c r="BP55" s="41">
        <f t="shared" si="22"/>
        <v>2.1380715441924423</v>
      </c>
      <c r="BQ55" s="39">
        <v>4855.9122801600261</v>
      </c>
      <c r="BR55" s="47">
        <v>5.9215900980867024</v>
      </c>
      <c r="BS55" s="44">
        <v>3.6490509007706926</v>
      </c>
      <c r="BT55" s="45">
        <v>36.093504826863246</v>
      </c>
      <c r="BU55" s="46">
        <v>9.7812733765227584</v>
      </c>
      <c r="BV55" s="45">
        <v>96.748564881303722</v>
      </c>
      <c r="BW55" s="393">
        <v>35889.079716746885</v>
      </c>
      <c r="BX55" s="295">
        <f t="shared" si="77"/>
        <v>0</v>
      </c>
      <c r="BY55" s="295">
        <f t="shared" si="23"/>
        <v>35889.079716746885</v>
      </c>
      <c r="BZ55" s="39">
        <v>15829.165691667293</v>
      </c>
      <c r="CA55" s="41">
        <v>71.780182548698889</v>
      </c>
      <c r="CB55" s="39">
        <v>20059.91402507959</v>
      </c>
      <c r="CC55" s="47">
        <v>2.2672755100187896</v>
      </c>
      <c r="CD55" s="41">
        <f t="shared" si="24"/>
        <v>2.2672755100187896</v>
      </c>
      <c r="CE55" s="39">
        <v>5715.3379705556217</v>
      </c>
      <c r="CF55" s="47">
        <v>6.2794326252692096</v>
      </c>
    </row>
    <row r="56" spans="1:84" s="22" customFormat="1" ht="15" customHeight="1">
      <c r="A56" s="324" t="str">
        <f t="shared" si="68"/>
        <v>BNI - Efficient Product Rebates; Variable Frequency Drives; COM-Motors; Office</v>
      </c>
      <c r="B56" s="36" t="s">
        <v>69</v>
      </c>
      <c r="C56" s="15" t="s">
        <v>53</v>
      </c>
      <c r="D56" s="15" t="s">
        <v>64</v>
      </c>
      <c r="E56" s="37">
        <v>15</v>
      </c>
      <c r="F56" s="38">
        <v>7906.8861712500002</v>
      </c>
      <c r="G56" s="38">
        <v>902.61257662671642</v>
      </c>
      <c r="H56" s="39">
        <v>1415.26801967748</v>
      </c>
      <c r="I56" s="40">
        <v>0.42394796721028977</v>
      </c>
      <c r="J56" s="39">
        <v>253.02035748</v>
      </c>
      <c r="K56" s="39">
        <v>853.02035748000003</v>
      </c>
      <c r="L56" s="39">
        <v>815.26801967747997</v>
      </c>
      <c r="M56" s="39">
        <v>1668.28837715748</v>
      </c>
      <c r="N56" s="39">
        <v>7186.1092332130065</v>
      </c>
      <c r="O56" s="41">
        <v>0.82</v>
      </c>
      <c r="P56" s="41">
        <v>4.1686892583393647</v>
      </c>
      <c r="Q56" s="261">
        <f t="shared" si="69"/>
        <v>4.1686892583393647</v>
      </c>
      <c r="R56" s="262">
        <f t="shared" si="18"/>
        <v>0</v>
      </c>
      <c r="S56" s="262">
        <f t="shared" si="70"/>
        <v>0</v>
      </c>
      <c r="T56" s="261">
        <f t="shared" si="71"/>
        <v>4.1686892583393647</v>
      </c>
      <c r="U56" s="267">
        <f t="shared" si="45"/>
        <v>0</v>
      </c>
      <c r="V56" s="42" t="s">
        <v>38</v>
      </c>
      <c r="W56" s="198" t="s">
        <v>38</v>
      </c>
      <c r="X56" s="198"/>
      <c r="Y56" s="333">
        <v>0</v>
      </c>
      <c r="Z56" s="335">
        <v>0</v>
      </c>
      <c r="AA56" s="246">
        <f>Z56*0.006</f>
        <v>0</v>
      </c>
      <c r="AB56" s="246">
        <f>Z56*0</f>
        <v>0</v>
      </c>
      <c r="AC56" s="246">
        <f>Z56*0</f>
        <v>0</v>
      </c>
      <c r="AD56" s="246">
        <f>Z56*0.049</f>
        <v>0</v>
      </c>
      <c r="AE56" s="246">
        <f>Z56*0.002</f>
        <v>0</v>
      </c>
      <c r="AF56" s="246">
        <f>Z56*0.948</f>
        <v>0</v>
      </c>
      <c r="AG56" s="246" t="s">
        <v>38</v>
      </c>
      <c r="AH56" s="246">
        <f t="shared" ref="AH56:AH87" si="114">Z56*0</f>
        <v>0</v>
      </c>
      <c r="AI56" s="246">
        <f>Z56*-0.005</f>
        <v>0</v>
      </c>
      <c r="AJ56" s="246">
        <f>Z56*0</f>
        <v>0</v>
      </c>
      <c r="AK56" s="246">
        <f t="shared" si="74"/>
        <v>0</v>
      </c>
      <c r="AL56" s="246" t="s">
        <v>455</v>
      </c>
      <c r="AM56" s="234" t="s">
        <v>330</v>
      </c>
      <c r="AN56" s="102" t="s">
        <v>38</v>
      </c>
      <c r="AO56" s="241"/>
      <c r="AP56" s="43" t="s">
        <v>69</v>
      </c>
      <c r="AQ56" s="44">
        <v>16.439457080486346</v>
      </c>
      <c r="AR56" s="45">
        <v>144.00964402505974</v>
      </c>
      <c r="AS56" s="46">
        <v>16.439457080486346</v>
      </c>
      <c r="AT56" s="45">
        <v>144.00964402505974</v>
      </c>
      <c r="AU56" s="393">
        <v>130881.99452814399</v>
      </c>
      <c r="AV56" s="295">
        <f t="shared" si="75"/>
        <v>0</v>
      </c>
      <c r="AW56" s="295">
        <f t="shared" si="19"/>
        <v>130881.99452814399</v>
      </c>
      <c r="AX56" s="39">
        <v>31396.438164902229</v>
      </c>
      <c r="AY56" s="41">
        <v>22.211211000141081</v>
      </c>
      <c r="AZ56" s="39">
        <v>99485.556363241762</v>
      </c>
      <c r="BA56" s="47">
        <v>4.1686892583393647</v>
      </c>
      <c r="BB56" s="41">
        <f t="shared" si="20"/>
        <v>4.1686892583393647</v>
      </c>
      <c r="BC56" s="39">
        <v>18946.615147404053</v>
      </c>
      <c r="BD56" s="47">
        <v>6.907935454955215</v>
      </c>
      <c r="BE56" s="46">
        <v>15.957030349978888</v>
      </c>
      <c r="BF56" s="45">
        <v>139.78358586581442</v>
      </c>
      <c r="BG56" s="46">
        <v>32.396487430465235</v>
      </c>
      <c r="BH56" s="45">
        <v>283.79322989087416</v>
      </c>
      <c r="BI56" s="393">
        <v>134261.86576052403</v>
      </c>
      <c r="BJ56" s="295">
        <f t="shared" si="76"/>
        <v>0</v>
      </c>
      <c r="BK56" s="295">
        <f t="shared" si="21"/>
        <v>134261.86576052403</v>
      </c>
      <c r="BL56" s="39">
        <v>30475.088941547874</v>
      </c>
      <c r="BM56" s="41">
        <v>21.559408337136571</v>
      </c>
      <c r="BN56" s="39">
        <v>103786.77681897616</v>
      </c>
      <c r="BO56" s="47">
        <v>4.4056267077035374</v>
      </c>
      <c r="BP56" s="41">
        <f t="shared" si="22"/>
        <v>4.4056267077035374</v>
      </c>
      <c r="BQ56" s="39">
        <v>18390.614206801529</v>
      </c>
      <c r="BR56" s="47">
        <v>7.3005645298605106</v>
      </c>
      <c r="BS56" s="44">
        <v>17.718314914583615</v>
      </c>
      <c r="BT56" s="45">
        <v>155.21243865175177</v>
      </c>
      <c r="BU56" s="46">
        <v>50.114802345048851</v>
      </c>
      <c r="BV56" s="45">
        <v>439.00566854262593</v>
      </c>
      <c r="BW56" s="393">
        <v>158268.81098975328</v>
      </c>
      <c r="BX56" s="295">
        <f t="shared" si="77"/>
        <v>0</v>
      </c>
      <c r="BY56" s="295">
        <f t="shared" si="23"/>
        <v>158268.81098975328</v>
      </c>
      <c r="BZ56" s="39">
        <v>33838.829097483314</v>
      </c>
      <c r="CA56" s="41">
        <v>23.939064970819626</v>
      </c>
      <c r="CB56" s="39">
        <v>124429.98189226998</v>
      </c>
      <c r="CC56" s="47">
        <v>4.677136154262624</v>
      </c>
      <c r="CD56" s="41">
        <f t="shared" si="24"/>
        <v>4.677136154262624</v>
      </c>
      <c r="CE56" s="39">
        <v>20420.509759145505</v>
      </c>
      <c r="CF56" s="47">
        <v>7.7504828653394027</v>
      </c>
    </row>
    <row r="57" spans="1:84" s="22" customFormat="1" ht="15" customHeight="1">
      <c r="A57" s="324" t="str">
        <f t="shared" si="68"/>
        <v>BNI - Efficient Product Rebates; Variable Frequency Drives; COM-Motors; Other Commercial</v>
      </c>
      <c r="B57" s="36" t="s">
        <v>69</v>
      </c>
      <c r="C57" s="15" t="s">
        <v>53</v>
      </c>
      <c r="D57" s="15" t="s">
        <v>54</v>
      </c>
      <c r="E57" s="37">
        <v>15</v>
      </c>
      <c r="F57" s="38">
        <v>8159.9645964374986</v>
      </c>
      <c r="G57" s="38">
        <v>931.50369820989658</v>
      </c>
      <c r="H57" s="39">
        <v>1415.26801967748</v>
      </c>
      <c r="I57" s="40">
        <v>0.42394796721028977</v>
      </c>
      <c r="J57" s="39">
        <v>261.11886708599997</v>
      </c>
      <c r="K57" s="39">
        <v>861.11886708599991</v>
      </c>
      <c r="L57" s="39">
        <v>815.26801967747997</v>
      </c>
      <c r="M57" s="39">
        <v>1676.3868867634799</v>
      </c>
      <c r="N57" s="39">
        <v>7416.1188977846623</v>
      </c>
      <c r="O57" s="41">
        <v>0.82</v>
      </c>
      <c r="P57" s="41">
        <v>4.2776112798980721</v>
      </c>
      <c r="Q57" s="261">
        <f t="shared" si="69"/>
        <v>4.2776112798980721</v>
      </c>
      <c r="R57" s="262">
        <f t="shared" si="18"/>
        <v>0</v>
      </c>
      <c r="S57" s="262">
        <f t="shared" si="70"/>
        <v>0</v>
      </c>
      <c r="T57" s="261">
        <f t="shared" si="71"/>
        <v>4.2776112798980721</v>
      </c>
      <c r="U57" s="267">
        <f t="shared" si="45"/>
        <v>0</v>
      </c>
      <c r="V57" s="42" t="s">
        <v>38</v>
      </c>
      <c r="W57" s="198" t="s">
        <v>38</v>
      </c>
      <c r="X57" s="198"/>
      <c r="Y57" s="333">
        <v>0</v>
      </c>
      <c r="Z57" s="335">
        <v>0</v>
      </c>
      <c r="AA57" s="246">
        <f>Z57*0.006</f>
        <v>0</v>
      </c>
      <c r="AB57" s="246">
        <f>Z57*0</f>
        <v>0</v>
      </c>
      <c r="AC57" s="246">
        <f>Z57*0</f>
        <v>0</v>
      </c>
      <c r="AD57" s="246">
        <f>Z57*0.049</f>
        <v>0</v>
      </c>
      <c r="AE57" s="246">
        <f>Z57*0.002</f>
        <v>0</v>
      </c>
      <c r="AF57" s="246">
        <f>Z57*0.948</f>
        <v>0</v>
      </c>
      <c r="AG57" s="246" t="s">
        <v>38</v>
      </c>
      <c r="AH57" s="246">
        <f t="shared" si="114"/>
        <v>0</v>
      </c>
      <c r="AI57" s="246">
        <f>Z57*-0.005</f>
        <v>0</v>
      </c>
      <c r="AJ57" s="246">
        <f>Z57*0</f>
        <v>0</v>
      </c>
      <c r="AK57" s="246">
        <f t="shared" si="74"/>
        <v>0</v>
      </c>
      <c r="AL57" s="246" t="s">
        <v>455</v>
      </c>
      <c r="AM57" s="234" t="s">
        <v>330</v>
      </c>
      <c r="AN57" s="102" t="s">
        <v>38</v>
      </c>
      <c r="AO57" s="241"/>
      <c r="AP57" s="43" t="s">
        <v>69</v>
      </c>
      <c r="AQ57" s="44">
        <v>22.994512789313486</v>
      </c>
      <c r="AR57" s="45">
        <v>201.43173949143838</v>
      </c>
      <c r="AS57" s="46">
        <v>22.994512789313486</v>
      </c>
      <c r="AT57" s="45">
        <v>201.43173949143838</v>
      </c>
      <c r="AU57" s="393">
        <v>183069.63372221967</v>
      </c>
      <c r="AV57" s="295">
        <f t="shared" si="75"/>
        <v>0</v>
      </c>
      <c r="AW57" s="295">
        <f t="shared" si="19"/>
        <v>183069.63372221967</v>
      </c>
      <c r="AX57" s="39">
        <v>42797.164525567154</v>
      </c>
      <c r="AY57" s="41">
        <v>30.104108895482582</v>
      </c>
      <c r="AZ57" s="39">
        <v>140272.46919665253</v>
      </c>
      <c r="BA57" s="47">
        <v>4.2776112798980721</v>
      </c>
      <c r="BB57" s="41">
        <f t="shared" si="20"/>
        <v>4.2776112798980721</v>
      </c>
      <c r="BC57" s="39">
        <v>25923.216146711537</v>
      </c>
      <c r="BD57" s="47">
        <v>7.0619954208668965</v>
      </c>
      <c r="BE57" s="46">
        <v>22.296015026767215</v>
      </c>
      <c r="BF57" s="45">
        <v>195.31290494035531</v>
      </c>
      <c r="BG57" s="46">
        <v>45.290527816080704</v>
      </c>
      <c r="BH57" s="45">
        <v>396.74464443179369</v>
      </c>
      <c r="BI57" s="393">
        <v>187597.70734536694</v>
      </c>
      <c r="BJ57" s="295">
        <f t="shared" si="76"/>
        <v>0</v>
      </c>
      <c r="BK57" s="295">
        <f t="shared" si="21"/>
        <v>187597.70734536694</v>
      </c>
      <c r="BL57" s="39">
        <v>41497.127254139239</v>
      </c>
      <c r="BM57" s="41">
        <v>29.189644957950655</v>
      </c>
      <c r="BN57" s="39">
        <v>146100.58009122772</v>
      </c>
      <c r="BO57" s="47">
        <v>4.5207396212385884</v>
      </c>
      <c r="BP57" s="41">
        <f t="shared" si="22"/>
        <v>4.5207396212385884</v>
      </c>
      <c r="BQ57" s="39">
        <v>25135.753996833038</v>
      </c>
      <c r="BR57" s="47">
        <v>7.4633809421035542</v>
      </c>
      <c r="BS57" s="44">
        <v>24.728418142799043</v>
      </c>
      <c r="BT57" s="45">
        <v>216.62073586923643</v>
      </c>
      <c r="BU57" s="46">
        <v>70.01894595887974</v>
      </c>
      <c r="BV57" s="45">
        <v>613.36538030103009</v>
      </c>
      <c r="BW57" s="393">
        <v>220886.37821082913</v>
      </c>
      <c r="BX57" s="295">
        <f t="shared" si="77"/>
        <v>0</v>
      </c>
      <c r="BY57" s="295">
        <f t="shared" si="23"/>
        <v>220886.37821082913</v>
      </c>
      <c r="BZ57" s="39">
        <v>46024.292378407335</v>
      </c>
      <c r="CA57" s="41">
        <v>32.374114616153818</v>
      </c>
      <c r="CB57" s="39">
        <v>174862.08583242178</v>
      </c>
      <c r="CC57" s="47">
        <v>4.7993432771268365</v>
      </c>
      <c r="CD57" s="41">
        <f t="shared" si="24"/>
        <v>4.7993432771268365</v>
      </c>
      <c r="CE57" s="39">
        <v>27877.960901174691</v>
      </c>
      <c r="CF57" s="47">
        <v>7.9233333812991207</v>
      </c>
    </row>
    <row r="58" spans="1:84" s="22" customFormat="1" ht="15" customHeight="1">
      <c r="A58" s="324" t="str">
        <f t="shared" si="68"/>
        <v>BNI - Efficient Product Rebates; Variable Frequency Drives; COM-Motors; Retail</v>
      </c>
      <c r="B58" s="36" t="s">
        <v>69</v>
      </c>
      <c r="C58" s="15" t="s">
        <v>53</v>
      </c>
      <c r="D58" s="15" t="s">
        <v>28</v>
      </c>
      <c r="E58" s="37">
        <v>15</v>
      </c>
      <c r="F58" s="38">
        <v>7280.9646741562501</v>
      </c>
      <c r="G58" s="38">
        <v>831.18398417004278</v>
      </c>
      <c r="H58" s="39">
        <v>1415.26801967748</v>
      </c>
      <c r="I58" s="40">
        <v>0.42394796721028977</v>
      </c>
      <c r="J58" s="39">
        <v>232.990869573</v>
      </c>
      <c r="K58" s="39">
        <v>832.99086957300005</v>
      </c>
      <c r="L58" s="39">
        <v>815.26801967747997</v>
      </c>
      <c r="M58" s="39">
        <v>1648.25888925048</v>
      </c>
      <c r="N58" s="39">
        <v>6617.2825875858107</v>
      </c>
      <c r="O58" s="41">
        <v>0.82</v>
      </c>
      <c r="P58" s="41">
        <v>3.8938860915995486</v>
      </c>
      <c r="Q58" s="261">
        <f t="shared" si="69"/>
        <v>3.8938860915995486</v>
      </c>
      <c r="R58" s="262">
        <f t="shared" si="18"/>
        <v>0</v>
      </c>
      <c r="S58" s="262">
        <f t="shared" si="70"/>
        <v>0</v>
      </c>
      <c r="T58" s="261">
        <f t="shared" si="71"/>
        <v>3.8938860915995486</v>
      </c>
      <c r="U58" s="267">
        <f t="shared" si="45"/>
        <v>0</v>
      </c>
      <c r="V58" s="42" t="s">
        <v>38</v>
      </c>
      <c r="W58" s="198" t="s">
        <v>38</v>
      </c>
      <c r="X58" s="198"/>
      <c r="Y58" s="333">
        <v>0</v>
      </c>
      <c r="Z58" s="335">
        <v>0</v>
      </c>
      <c r="AA58" s="246">
        <f>Z58*0.006</f>
        <v>0</v>
      </c>
      <c r="AB58" s="246">
        <f>Z58*0</f>
        <v>0</v>
      </c>
      <c r="AC58" s="246">
        <f>Z58*0</f>
        <v>0</v>
      </c>
      <c r="AD58" s="246">
        <f>Z58*0.049</f>
        <v>0</v>
      </c>
      <c r="AE58" s="246">
        <f>Z58*0.002</f>
        <v>0</v>
      </c>
      <c r="AF58" s="246">
        <f>Z58*0.948</f>
        <v>0</v>
      </c>
      <c r="AG58" s="246" t="s">
        <v>38</v>
      </c>
      <c r="AH58" s="246">
        <f t="shared" si="114"/>
        <v>0</v>
      </c>
      <c r="AI58" s="246">
        <f>Z58*-0.005</f>
        <v>0</v>
      </c>
      <c r="AJ58" s="246">
        <f>Z58*0</f>
        <v>0</v>
      </c>
      <c r="AK58" s="246">
        <f t="shared" si="74"/>
        <v>0</v>
      </c>
      <c r="AL58" s="246" t="s">
        <v>455</v>
      </c>
      <c r="AM58" s="234" t="s">
        <v>330</v>
      </c>
      <c r="AN58" s="102" t="s">
        <v>38</v>
      </c>
      <c r="AO58" s="241"/>
      <c r="AP58" s="43" t="s">
        <v>69</v>
      </c>
      <c r="AQ58" s="44">
        <v>29.446763162560526</v>
      </c>
      <c r="AR58" s="45">
        <v>257.94631085069955</v>
      </c>
      <c r="AS58" s="46">
        <v>29.446763162560526</v>
      </c>
      <c r="AT58" s="45">
        <v>257.94631085069955</v>
      </c>
      <c r="AU58" s="393">
        <v>234433.71966670532</v>
      </c>
      <c r="AV58" s="295">
        <f t="shared" si="75"/>
        <v>0</v>
      </c>
      <c r="AW58" s="295">
        <f t="shared" si="19"/>
        <v>234433.71966670532</v>
      </c>
      <c r="AX58" s="39">
        <v>60205.592601298602</v>
      </c>
      <c r="AY58" s="41">
        <v>43.204257381677152</v>
      </c>
      <c r="AZ58" s="39">
        <v>174228.1270654067</v>
      </c>
      <c r="BA58" s="47">
        <v>3.8938860915995486</v>
      </c>
      <c r="BB58" s="41">
        <f t="shared" si="20"/>
        <v>3.8938860915995486</v>
      </c>
      <c r="BC58" s="39">
        <v>35988.751925618955</v>
      </c>
      <c r="BD58" s="47">
        <v>6.5140830710447979</v>
      </c>
      <c r="BE58" s="46">
        <v>28.660257359754027</v>
      </c>
      <c r="BF58" s="45">
        <v>251.05671591706871</v>
      </c>
      <c r="BG58" s="46">
        <v>58.107020522314549</v>
      </c>
      <c r="BH58" s="45">
        <v>509.00302676776823</v>
      </c>
      <c r="BI58" s="393">
        <v>241140.91822022721</v>
      </c>
      <c r="BJ58" s="295">
        <f t="shared" si="76"/>
        <v>0</v>
      </c>
      <c r="BK58" s="295">
        <f t="shared" si="21"/>
        <v>241140.91822022721</v>
      </c>
      <c r="BL58" s="39">
        <v>58597.536473671993</v>
      </c>
      <c r="BM58" s="41">
        <v>42.050296963377662</v>
      </c>
      <c r="BN58" s="39">
        <v>182543.38174655521</v>
      </c>
      <c r="BO58" s="47">
        <v>4.1152057361416956</v>
      </c>
      <c r="BP58" s="41">
        <f t="shared" si="22"/>
        <v>4.1152057361416956</v>
      </c>
      <c r="BQ58" s="39">
        <v>35027.513433326836</v>
      </c>
      <c r="BR58" s="47">
        <v>6.8843287628517276</v>
      </c>
      <c r="BS58" s="44">
        <v>31.917977263556391</v>
      </c>
      <c r="BT58" s="45">
        <v>279.59353085770431</v>
      </c>
      <c r="BU58" s="46">
        <v>90.024997785870937</v>
      </c>
      <c r="BV58" s="45">
        <v>788.59655762547254</v>
      </c>
      <c r="BW58" s="393">
        <v>285100.92131934006</v>
      </c>
      <c r="BX58" s="295">
        <f t="shared" si="77"/>
        <v>0</v>
      </c>
      <c r="BY58" s="295">
        <f t="shared" si="23"/>
        <v>285100.92131934006</v>
      </c>
      <c r="BZ58" s="39">
        <v>65258.131264845368</v>
      </c>
      <c r="CA58" s="41">
        <v>46.830019896736943</v>
      </c>
      <c r="CB58" s="39">
        <v>219842.79005449469</v>
      </c>
      <c r="CC58" s="47">
        <v>4.3688183494295716</v>
      </c>
      <c r="CD58" s="41">
        <f t="shared" si="24"/>
        <v>4.3688183494295716</v>
      </c>
      <c r="CE58" s="39">
        <v>39008.978995903795</v>
      </c>
      <c r="CF58" s="47">
        <v>7.3085973706022296</v>
      </c>
    </row>
    <row r="59" spans="1:84" s="22" customFormat="1" ht="15" customHeight="1">
      <c r="A59" s="324" t="str">
        <f t="shared" si="68"/>
        <v>BNI - Efficient Product Rebates; Variable Frequency Drives; COM-Motors; School</v>
      </c>
      <c r="B59" s="36" t="s">
        <v>69</v>
      </c>
      <c r="C59" s="15" t="s">
        <v>53</v>
      </c>
      <c r="D59" s="15" t="s">
        <v>57</v>
      </c>
      <c r="E59" s="37">
        <v>15</v>
      </c>
      <c r="F59" s="38">
        <v>7524.607096875</v>
      </c>
      <c r="G59" s="38">
        <v>858.97341288527787</v>
      </c>
      <c r="H59" s="39">
        <v>1415.26801967748</v>
      </c>
      <c r="I59" s="40">
        <v>0.42394796721028977</v>
      </c>
      <c r="J59" s="39">
        <v>240.7874271</v>
      </c>
      <c r="K59" s="39">
        <v>840.78742710000006</v>
      </c>
      <c r="L59" s="39">
        <v>815.26801967747997</v>
      </c>
      <c r="M59" s="39">
        <v>1656.05544677748</v>
      </c>
      <c r="N59" s="39">
        <v>6838.6780034554613</v>
      </c>
      <c r="O59" s="41">
        <v>0.82</v>
      </c>
      <c r="P59" s="41">
        <v>4.0017748784032516</v>
      </c>
      <c r="Q59" s="261">
        <f t="shared" si="69"/>
        <v>4.0017748784032516</v>
      </c>
      <c r="R59" s="262">
        <f t="shared" si="18"/>
        <v>0</v>
      </c>
      <c r="S59" s="262">
        <f t="shared" si="70"/>
        <v>0</v>
      </c>
      <c r="T59" s="261">
        <f t="shared" si="71"/>
        <v>4.0017748784032516</v>
      </c>
      <c r="U59" s="267">
        <f t="shared" si="45"/>
        <v>0</v>
      </c>
      <c r="V59" s="42" t="s">
        <v>38</v>
      </c>
      <c r="W59" s="198" t="s">
        <v>38</v>
      </c>
      <c r="X59" s="198"/>
      <c r="Y59" s="333">
        <v>0</v>
      </c>
      <c r="Z59" s="335">
        <v>0</v>
      </c>
      <c r="AA59" s="246">
        <f>Z59*0.006</f>
        <v>0</v>
      </c>
      <c r="AB59" s="246">
        <f>Z59*0</f>
        <v>0</v>
      </c>
      <c r="AC59" s="246">
        <f>Z59*0</f>
        <v>0</v>
      </c>
      <c r="AD59" s="246">
        <f>Z59*0.049</f>
        <v>0</v>
      </c>
      <c r="AE59" s="246">
        <f>Z59*0.002</f>
        <v>0</v>
      </c>
      <c r="AF59" s="246">
        <f>Z59*0.948</f>
        <v>0</v>
      </c>
      <c r="AG59" s="246" t="s">
        <v>38</v>
      </c>
      <c r="AH59" s="246">
        <f t="shared" si="114"/>
        <v>0</v>
      </c>
      <c r="AI59" s="246">
        <f>Z59*-0.005</f>
        <v>0</v>
      </c>
      <c r="AJ59" s="246">
        <f>Z59*0</f>
        <v>0</v>
      </c>
      <c r="AK59" s="246">
        <f t="shared" si="74"/>
        <v>0</v>
      </c>
      <c r="AL59" s="246" t="s">
        <v>455</v>
      </c>
      <c r="AM59" s="234" t="s">
        <v>330</v>
      </c>
      <c r="AN59" s="102" t="s">
        <v>38</v>
      </c>
      <c r="AO59" s="241"/>
      <c r="AP59" s="43" t="s">
        <v>69</v>
      </c>
      <c r="AQ59" s="44">
        <v>30.305410436924166</v>
      </c>
      <c r="AR59" s="45">
        <v>265.47539542745449</v>
      </c>
      <c r="AS59" s="46">
        <v>30.305410436924166</v>
      </c>
      <c r="AT59" s="45">
        <v>265.47539542745449</v>
      </c>
      <c r="AU59" s="393">
        <v>241275.15547255063</v>
      </c>
      <c r="AV59" s="295">
        <f t="shared" si="75"/>
        <v>0</v>
      </c>
      <c r="AW59" s="295">
        <f t="shared" si="19"/>
        <v>241275.15547255063</v>
      </c>
      <c r="AX59" s="39">
        <v>60292.036109942746</v>
      </c>
      <c r="AY59" s="41">
        <v>43.02556639310216</v>
      </c>
      <c r="AZ59" s="39">
        <v>180983.11936260789</v>
      </c>
      <c r="BA59" s="47">
        <v>4.0017748784032525</v>
      </c>
      <c r="BB59" s="41">
        <f t="shared" si="20"/>
        <v>4.0017748784032525</v>
      </c>
      <c r="BC59" s="39">
        <v>36175.355267176594</v>
      </c>
      <c r="BD59" s="47">
        <v>6.6696001653774948</v>
      </c>
      <c r="BE59" s="46">
        <v>29.464446037026779</v>
      </c>
      <c r="BF59" s="45">
        <v>258.10854728435339</v>
      </c>
      <c r="BG59" s="46">
        <v>59.769856473950938</v>
      </c>
      <c r="BH59" s="45">
        <v>523.58394271180782</v>
      </c>
      <c r="BI59" s="393">
        <v>247912.7639521427</v>
      </c>
      <c r="BJ59" s="295">
        <f t="shared" si="76"/>
        <v>0</v>
      </c>
      <c r="BK59" s="295">
        <f t="shared" si="21"/>
        <v>247912.7639521427</v>
      </c>
      <c r="BL59" s="39">
        <v>58618.953474374401</v>
      </c>
      <c r="BM59" s="41">
        <v>41.83162217322996</v>
      </c>
      <c r="BN59" s="39">
        <v>189293.8104777683</v>
      </c>
      <c r="BO59" s="47">
        <v>4.229225348769134</v>
      </c>
      <c r="BP59" s="41">
        <f t="shared" si="22"/>
        <v>4.229225348769134</v>
      </c>
      <c r="BQ59" s="39">
        <v>35171.501978449327</v>
      </c>
      <c r="BR59" s="47">
        <v>7.0486828826373857</v>
      </c>
      <c r="BS59" s="44">
        <v>32.77524397519182</v>
      </c>
      <c r="BT59" s="45">
        <v>287.11113722267902</v>
      </c>
      <c r="BU59" s="46">
        <v>92.545100449142751</v>
      </c>
      <c r="BV59" s="45">
        <v>810.69507993448678</v>
      </c>
      <c r="BW59" s="393">
        <v>292764.79839418113</v>
      </c>
      <c r="BX59" s="295">
        <f t="shared" si="77"/>
        <v>0</v>
      </c>
      <c r="BY59" s="295">
        <f t="shared" si="23"/>
        <v>292764.79839418113</v>
      </c>
      <c r="BZ59" s="39">
        <v>65205.722832144253</v>
      </c>
      <c r="CA59" s="41">
        <v>46.532068543991066</v>
      </c>
      <c r="CB59" s="39">
        <v>227559.07556203689</v>
      </c>
      <c r="CC59" s="47">
        <v>4.4898635530477984</v>
      </c>
      <c r="CD59" s="41">
        <f t="shared" si="24"/>
        <v>4.4898635530477984</v>
      </c>
      <c r="CE59" s="39">
        <v>39123.578188743093</v>
      </c>
      <c r="CF59" s="47">
        <v>7.4830782854728106</v>
      </c>
    </row>
    <row r="60" spans="1:84" s="22" customFormat="1" ht="15" customHeight="1">
      <c r="A60" s="324" t="str">
        <f t="shared" si="68"/>
        <v>BNI - Efficient Product Rebates; Fluorescent T5 and HPT8 Fixtures (4 FT) lamps-Retrofit (dual baseline); COM-Lighting; Other Commercial</v>
      </c>
      <c r="B60" s="36" t="s">
        <v>70</v>
      </c>
      <c r="C60" s="15" t="s">
        <v>71</v>
      </c>
      <c r="D60" s="15" t="s">
        <v>54</v>
      </c>
      <c r="E60" s="37">
        <v>10</v>
      </c>
      <c r="F60" s="38">
        <v>64.452516965589012</v>
      </c>
      <c r="G60" s="38">
        <v>7.8138879744639969</v>
      </c>
      <c r="H60" s="39">
        <v>135.68371395995615</v>
      </c>
      <c r="I60" s="40">
        <v>0.3685040639052401</v>
      </c>
      <c r="J60" s="39">
        <v>2.0624805428988484</v>
      </c>
      <c r="K60" s="39">
        <v>52.062480542898847</v>
      </c>
      <c r="L60" s="39">
        <v>85.683713959956151</v>
      </c>
      <c r="M60" s="39">
        <v>137.74619450285499</v>
      </c>
      <c r="N60" s="39">
        <v>41.484625236089428</v>
      </c>
      <c r="O60" s="41">
        <v>0.7</v>
      </c>
      <c r="P60" s="41">
        <v>0.29924685062284234</v>
      </c>
      <c r="Q60" s="261">
        <f t="shared" si="69"/>
        <v>0.29924685062284234</v>
      </c>
      <c r="R60" s="262">
        <f t="shared" si="18"/>
        <v>0</v>
      </c>
      <c r="S60" s="262">
        <f t="shared" si="70"/>
        <v>15.536601968517315</v>
      </c>
      <c r="T60" s="261">
        <f t="shared" si="71"/>
        <v>0.41131919506371323</v>
      </c>
      <c r="U60" s="267">
        <f t="shared" si="45"/>
        <v>0.37451469984598762</v>
      </c>
      <c r="V60" s="42" t="s">
        <v>72</v>
      </c>
      <c r="W60" s="199">
        <f>0.027*W3</f>
        <v>3.4020000000000002E-2</v>
      </c>
      <c r="X60" s="199"/>
      <c r="Y60" s="333">
        <v>0</v>
      </c>
      <c r="Z60" s="334">
        <f t="shared" ref="Z60:Z91" si="115">W60*F60</f>
        <v>2.1926746271693385</v>
      </c>
      <c r="AA60" s="309">
        <f t="shared" ref="AA60:AA91" si="116">Z60*0.05</f>
        <v>0.10963373135846693</v>
      </c>
      <c r="AB60" s="309">
        <f t="shared" ref="AB60:AB91" si="117">Z60*0.029</f>
        <v>6.3587564187910825E-2</v>
      </c>
      <c r="AC60" s="309">
        <f t="shared" ref="AC60:AC91" si="118">Z60*0.004</f>
        <v>8.7706985086773541E-3</v>
      </c>
      <c r="AD60" s="309">
        <f t="shared" ref="AD60:AD91" si="119">Z60*0</f>
        <v>0</v>
      </c>
      <c r="AE60" s="309">
        <f t="shared" ref="AE60:AE91" si="120">Z60*0.073</f>
        <v>0.1600652477833617</v>
      </c>
      <c r="AF60" s="309">
        <f t="shared" ref="AF60:AF91" si="121">Z60*0.737</f>
        <v>1.6160012002238024</v>
      </c>
      <c r="AG60" s="309" t="s">
        <v>38</v>
      </c>
      <c r="AH60" s="309">
        <f t="shared" si="114"/>
        <v>0</v>
      </c>
      <c r="AI60" s="309">
        <f t="shared" ref="AI60:AI91" si="122">Z60*0.083</f>
        <v>0.18199199405505509</v>
      </c>
      <c r="AJ60" s="309">
        <f t="shared" ref="AJ60:AJ91" si="123">Z60*0.023</f>
        <v>5.0431516424894782E-2</v>
      </c>
      <c r="AK60" s="309">
        <f t="shared" si="74"/>
        <v>2.1904819525421693</v>
      </c>
      <c r="AL60" s="246" t="s">
        <v>456</v>
      </c>
      <c r="AM60" s="234" t="s">
        <v>331</v>
      </c>
      <c r="AN60" s="102" t="s">
        <v>72</v>
      </c>
      <c r="AO60" s="246"/>
      <c r="AP60" s="43" t="s">
        <v>70</v>
      </c>
      <c r="AQ60" s="44">
        <v>18.221305722786685</v>
      </c>
      <c r="AR60" s="45">
        <v>150.29765208703967</v>
      </c>
      <c r="AS60" s="46">
        <v>18.221305722786685</v>
      </c>
      <c r="AT60" s="45">
        <v>150.29765208703967</v>
      </c>
      <c r="AU60" s="393">
        <v>74551.560773204459</v>
      </c>
      <c r="AV60" s="295">
        <f t="shared" si="75"/>
        <v>18372.935861057573</v>
      </c>
      <c r="AW60" s="295">
        <f t="shared" si="19"/>
        <v>92924.496634262032</v>
      </c>
      <c r="AX60" s="39">
        <v>167324.63663950813</v>
      </c>
      <c r="AY60" s="41">
        <v>1689.3688390336647</v>
      </c>
      <c r="AZ60" s="39">
        <v>-92773.075866303669</v>
      </c>
      <c r="BA60" s="47">
        <v>0.44555041188478278</v>
      </c>
      <c r="BB60" s="41">
        <f t="shared" si="20"/>
        <v>0.5553545401354304</v>
      </c>
      <c r="BC60" s="39">
        <v>91339.191761376467</v>
      </c>
      <c r="BD60" s="47">
        <v>0.81620561048941975</v>
      </c>
      <c r="BE60" s="46">
        <v>10.381527258733477</v>
      </c>
      <c r="BF60" s="45">
        <v>85.631578537973994</v>
      </c>
      <c r="BG60" s="46">
        <v>28.602832981520159</v>
      </c>
      <c r="BH60" s="45">
        <v>235.92923062501364</v>
      </c>
      <c r="BI60" s="393">
        <v>46197.232540212462</v>
      </c>
      <c r="BJ60" s="295">
        <f t="shared" si="76"/>
        <v>10467.918016764403</v>
      </c>
      <c r="BK60" s="295">
        <f t="shared" si="21"/>
        <v>56665.150556976863</v>
      </c>
      <c r="BL60" s="39">
        <v>95332.645352545354</v>
      </c>
      <c r="BM60" s="41">
        <v>962.51217773874782</v>
      </c>
      <c r="BN60" s="39">
        <v>-49135.412812332892</v>
      </c>
      <c r="BO60" s="47">
        <v>0.48458985239917096</v>
      </c>
      <c r="BP60" s="41">
        <f t="shared" si="22"/>
        <v>0.59439398064981863</v>
      </c>
      <c r="BQ60" s="39">
        <v>52040.19533438763</v>
      </c>
      <c r="BR60" s="47">
        <v>0.88772212024511377</v>
      </c>
      <c r="BS60" s="44">
        <v>8.3747551668469455</v>
      </c>
      <c r="BT60" s="45">
        <v>69.078805741501995</v>
      </c>
      <c r="BU60" s="46">
        <v>17.977223594182536</v>
      </c>
      <c r="BV60" s="45">
        <v>148.28435120708497</v>
      </c>
      <c r="BW60" s="393">
        <v>40122.609444164103</v>
      </c>
      <c r="BX60" s="295">
        <f t="shared" si="77"/>
        <v>8444.4464010127704</v>
      </c>
      <c r="BY60" s="295">
        <f t="shared" si="23"/>
        <v>48567.055845176874</v>
      </c>
      <c r="BZ60" s="39">
        <v>76904.634967246428</v>
      </c>
      <c r="CA60" s="41">
        <v>776.45645315717081</v>
      </c>
      <c r="CB60" s="39">
        <v>-36782.025523082324</v>
      </c>
      <c r="CC60" s="47">
        <v>0.5217190025185382</v>
      </c>
      <c r="CD60" s="41">
        <f t="shared" si="24"/>
        <v>0.63152313076918587</v>
      </c>
      <c r="CE60" s="39">
        <v>41980.710920327198</v>
      </c>
      <c r="CF60" s="47">
        <v>0.95573916126171665</v>
      </c>
    </row>
    <row r="61" spans="1:84" s="22" customFormat="1" ht="15" customHeight="1">
      <c r="A61" s="324" t="str">
        <f t="shared" si="68"/>
        <v xml:space="preserve">BNI - Efficient Product Rebates; Relamp/Reballast-Retrofit (dual baseline); IND; Industrial </v>
      </c>
      <c r="B61" s="36" t="s">
        <v>73</v>
      </c>
      <c r="C61" s="15" t="s">
        <v>67</v>
      </c>
      <c r="D61" s="15" t="s">
        <v>68</v>
      </c>
      <c r="E61" s="37">
        <v>15</v>
      </c>
      <c r="F61" s="38">
        <v>85.14195337391628</v>
      </c>
      <c r="G61" s="38">
        <v>15.357495196937624</v>
      </c>
      <c r="H61" s="39">
        <v>44.476701245850407</v>
      </c>
      <c r="I61" s="40">
        <v>0.56209204594129947</v>
      </c>
      <c r="J61" s="39">
        <v>2.7245425079653209</v>
      </c>
      <c r="K61" s="39">
        <v>27.724542507965317</v>
      </c>
      <c r="L61" s="39">
        <v>19.476701245850411</v>
      </c>
      <c r="M61" s="39">
        <v>47.201243753815731</v>
      </c>
      <c r="N61" s="39">
        <v>86.212249829452645</v>
      </c>
      <c r="O61" s="41">
        <v>0.65</v>
      </c>
      <c r="P61" s="41">
        <v>1.771424947812881</v>
      </c>
      <c r="Q61" s="261">
        <f t="shared" si="69"/>
        <v>1.771424947812881</v>
      </c>
      <c r="R61" s="262">
        <f t="shared" si="18"/>
        <v>0</v>
      </c>
      <c r="S61" s="262">
        <f t="shared" si="70"/>
        <v>26.700875000307253</v>
      </c>
      <c r="T61" s="261">
        <f t="shared" si="71"/>
        <v>2.3200545938033854</v>
      </c>
      <c r="U61" s="267">
        <f t="shared" si="45"/>
        <v>0.30971091756829955</v>
      </c>
      <c r="V61" s="42" t="s">
        <v>72</v>
      </c>
      <c r="W61" s="199">
        <f>0.027*W3</f>
        <v>3.4020000000000002E-2</v>
      </c>
      <c r="X61" s="199"/>
      <c r="Y61" s="333">
        <v>0</v>
      </c>
      <c r="Z61" s="334">
        <f t="shared" si="115"/>
        <v>2.8965292537806322</v>
      </c>
      <c r="AA61" s="309">
        <f t="shared" si="116"/>
        <v>0.14482646268903163</v>
      </c>
      <c r="AB61" s="309">
        <f t="shared" si="117"/>
        <v>8.3999348359638334E-2</v>
      </c>
      <c r="AC61" s="309">
        <f t="shared" si="118"/>
        <v>1.1586117015122528E-2</v>
      </c>
      <c r="AD61" s="309">
        <f t="shared" si="119"/>
        <v>0</v>
      </c>
      <c r="AE61" s="309">
        <f t="shared" si="120"/>
        <v>0.21144663552598614</v>
      </c>
      <c r="AF61" s="309">
        <f t="shared" si="121"/>
        <v>2.1347420600363258</v>
      </c>
      <c r="AG61" s="309" t="s">
        <v>38</v>
      </c>
      <c r="AH61" s="309">
        <f t="shared" si="114"/>
        <v>0</v>
      </c>
      <c r="AI61" s="309">
        <f t="shared" si="122"/>
        <v>0.2404119280637925</v>
      </c>
      <c r="AJ61" s="309">
        <f t="shared" si="123"/>
        <v>6.6620172836954539E-2</v>
      </c>
      <c r="AK61" s="309">
        <f t="shared" si="74"/>
        <v>2.8936327245268512</v>
      </c>
      <c r="AL61" s="246" t="s">
        <v>456</v>
      </c>
      <c r="AM61" s="234" t="s">
        <v>331</v>
      </c>
      <c r="AN61" s="102" t="s">
        <v>72</v>
      </c>
      <c r="AO61" s="246"/>
      <c r="AP61" s="43" t="s">
        <v>73</v>
      </c>
      <c r="AQ61" s="44">
        <v>433.0562647195058</v>
      </c>
      <c r="AR61" s="45">
        <v>2400.8639316639901</v>
      </c>
      <c r="AS61" s="46">
        <v>433.0562647195058</v>
      </c>
      <c r="AT61" s="45">
        <v>2400.8639316639901</v>
      </c>
      <c r="AU61" s="393">
        <v>756459.03353534115</v>
      </c>
      <c r="AV61" s="295">
        <f t="shared" si="75"/>
        <v>136977.29935985137</v>
      </c>
      <c r="AW61" s="295">
        <f t="shared" si="19"/>
        <v>893436.33289519255</v>
      </c>
      <c r="AX61" s="39">
        <v>346364.87156709994</v>
      </c>
      <c r="AY61" s="41">
        <v>7892.4120166488428</v>
      </c>
      <c r="AZ61" s="39">
        <v>410094.16196824121</v>
      </c>
      <c r="BA61" s="47">
        <v>2.1839946704548971</v>
      </c>
      <c r="BB61" s="41">
        <f t="shared" si="20"/>
        <v>2.5794657779610035</v>
      </c>
      <c r="BC61" s="39">
        <v>315506.67859044828</v>
      </c>
      <c r="BD61" s="47">
        <v>2.3976007002922515</v>
      </c>
      <c r="BE61" s="46">
        <v>430.40540090501935</v>
      </c>
      <c r="BF61" s="45">
        <v>2386.1675426761158</v>
      </c>
      <c r="BG61" s="46">
        <v>863.46166562452515</v>
      </c>
      <c r="BH61" s="45">
        <v>4787.0314743401059</v>
      </c>
      <c r="BI61" s="393">
        <v>834110.97021995182</v>
      </c>
      <c r="BJ61" s="295">
        <f t="shared" si="76"/>
        <v>136138.82132394463</v>
      </c>
      <c r="BK61" s="295">
        <f t="shared" si="21"/>
        <v>970249.79154389643</v>
      </c>
      <c r="BL61" s="39">
        <v>344244.67107712157</v>
      </c>
      <c r="BM61" s="41">
        <v>7844.1002587355742</v>
      </c>
      <c r="BN61" s="39">
        <v>489866.29914283025</v>
      </c>
      <c r="BO61" s="47">
        <v>2.4230178134931388</v>
      </c>
      <c r="BP61" s="41">
        <f t="shared" si="22"/>
        <v>2.8184889209992452</v>
      </c>
      <c r="BQ61" s="39">
        <v>313575.37010782887</v>
      </c>
      <c r="BR61" s="47">
        <v>2.6600015490155582</v>
      </c>
      <c r="BS61" s="44">
        <v>471.18339979727381</v>
      </c>
      <c r="BT61" s="45">
        <v>2612.240768540335</v>
      </c>
      <c r="BU61" s="46">
        <v>1334.645065421799</v>
      </c>
      <c r="BV61" s="45">
        <v>7399.2722428804409</v>
      </c>
      <c r="BW61" s="393">
        <v>1012110.6681011497</v>
      </c>
      <c r="BX61" s="295">
        <f t="shared" si="77"/>
        <v>149037.05330120955</v>
      </c>
      <c r="BY61" s="295">
        <f t="shared" si="23"/>
        <v>1161147.7214023592</v>
      </c>
      <c r="BZ61" s="39">
        <v>376859.52392592485</v>
      </c>
      <c r="CA61" s="41">
        <v>8587.2756719363952</v>
      </c>
      <c r="CB61" s="39">
        <v>635251.14417522494</v>
      </c>
      <c r="CC61" s="47">
        <v>2.6856443949127562</v>
      </c>
      <c r="CD61" s="41">
        <f t="shared" si="24"/>
        <v>3.0811155024188621</v>
      </c>
      <c r="CE61" s="39">
        <v>343284.51424962637</v>
      </c>
      <c r="CF61" s="47">
        <v>2.9483143750701575</v>
      </c>
    </row>
    <row r="62" spans="1:84" s="22" customFormat="1" ht="15" customHeight="1">
      <c r="A62" s="324" t="str">
        <f t="shared" si="68"/>
        <v>BNI - Efficient Product Rebates; Relamp/Reballast-Retrofit (dual baseline); COM-Lighting; Office</v>
      </c>
      <c r="B62" s="36" t="s">
        <v>73</v>
      </c>
      <c r="C62" s="15" t="s">
        <v>71</v>
      </c>
      <c r="D62" s="15" t="s">
        <v>64</v>
      </c>
      <c r="E62" s="37">
        <v>15</v>
      </c>
      <c r="F62" s="38">
        <v>87.468158804681281</v>
      </c>
      <c r="G62" s="38">
        <v>9.9963577389163394</v>
      </c>
      <c r="H62" s="39">
        <v>44.476701245850407</v>
      </c>
      <c r="I62" s="40">
        <v>0.56209204594129947</v>
      </c>
      <c r="J62" s="39">
        <v>2.7989810817498011</v>
      </c>
      <c r="K62" s="39">
        <v>27.798981081749798</v>
      </c>
      <c r="L62" s="39">
        <v>19.476701245850411</v>
      </c>
      <c r="M62" s="39">
        <v>47.275682327600208</v>
      </c>
      <c r="N62" s="39">
        <v>79.512595219968418</v>
      </c>
      <c r="O62" s="41">
        <v>0.65</v>
      </c>
      <c r="P62" s="41">
        <v>1.6299300750053118</v>
      </c>
      <c r="Q62" s="261">
        <f t="shared" si="69"/>
        <v>1.6299300750053118</v>
      </c>
      <c r="R62" s="262">
        <f t="shared" si="18"/>
        <v>0</v>
      </c>
      <c r="S62" s="262">
        <f t="shared" si="70"/>
        <v>27.430382816026697</v>
      </c>
      <c r="T62" s="261">
        <f t="shared" si="71"/>
        <v>2.1922259703545137</v>
      </c>
      <c r="U62" s="267">
        <f t="shared" si="45"/>
        <v>0.34498160624919411</v>
      </c>
      <c r="V62" s="42" t="s">
        <v>72</v>
      </c>
      <c r="W62" s="199">
        <f>0.027*W3</f>
        <v>3.4020000000000002E-2</v>
      </c>
      <c r="X62" s="199"/>
      <c r="Y62" s="333">
        <v>0</v>
      </c>
      <c r="Z62" s="334">
        <f t="shared" si="115"/>
        <v>2.9756667625352575</v>
      </c>
      <c r="AA62" s="309">
        <f t="shared" si="116"/>
        <v>0.14878333812676289</v>
      </c>
      <c r="AB62" s="309">
        <f t="shared" si="117"/>
        <v>8.6294336113522468E-2</v>
      </c>
      <c r="AC62" s="309">
        <f t="shared" si="118"/>
        <v>1.1902667050141031E-2</v>
      </c>
      <c r="AD62" s="309">
        <f t="shared" si="119"/>
        <v>0</v>
      </c>
      <c r="AE62" s="309">
        <f t="shared" si="120"/>
        <v>0.21722367366507378</v>
      </c>
      <c r="AF62" s="309">
        <f t="shared" si="121"/>
        <v>2.1930664039884848</v>
      </c>
      <c r="AG62" s="309" t="s">
        <v>38</v>
      </c>
      <c r="AH62" s="309">
        <f t="shared" si="114"/>
        <v>0</v>
      </c>
      <c r="AI62" s="309">
        <f t="shared" si="122"/>
        <v>0.2469803412904264</v>
      </c>
      <c r="AJ62" s="309">
        <f t="shared" si="123"/>
        <v>6.8440335538310929E-2</v>
      </c>
      <c r="AK62" s="309">
        <f t="shared" si="74"/>
        <v>2.9726910957727219</v>
      </c>
      <c r="AL62" s="246" t="s">
        <v>456</v>
      </c>
      <c r="AM62" s="234" t="s">
        <v>331</v>
      </c>
      <c r="AN62" s="102" t="s">
        <v>72</v>
      </c>
      <c r="AO62" s="246"/>
      <c r="AP62" s="43" t="s">
        <v>73</v>
      </c>
      <c r="AQ62" s="44">
        <v>99.768792839810288</v>
      </c>
      <c r="AR62" s="45">
        <v>872.97722268289749</v>
      </c>
      <c r="AS62" s="46">
        <v>99.768792839810288</v>
      </c>
      <c r="AT62" s="45">
        <v>872.97722268289749</v>
      </c>
      <c r="AU62" s="393">
        <v>251857.72008166066</v>
      </c>
      <c r="AV62" s="295">
        <f t="shared" si="75"/>
        <v>50913.975409237195</v>
      </c>
      <c r="AW62" s="295">
        <f t="shared" si="19"/>
        <v>302771.69549089787</v>
      </c>
      <c r="AX62" s="39">
        <v>125531.26183237082</v>
      </c>
      <c r="AY62" s="41">
        <v>2855.5632439632864</v>
      </c>
      <c r="AZ62" s="39">
        <v>126326.45824928985</v>
      </c>
      <c r="BA62" s="47">
        <v>2.0063346484796822</v>
      </c>
      <c r="BB62" s="41">
        <f t="shared" si="20"/>
        <v>2.4119226642938276</v>
      </c>
      <c r="BC62" s="39">
        <v>114366.42129270172</v>
      </c>
      <c r="BD62" s="47">
        <v>2.2021998872997255</v>
      </c>
      <c r="BE62" s="46">
        <v>65.530435891728587</v>
      </c>
      <c r="BF62" s="45">
        <v>573.39150146691964</v>
      </c>
      <c r="BG62" s="46">
        <v>165.29922873153888</v>
      </c>
      <c r="BH62" s="45">
        <v>1446.3687241498171</v>
      </c>
      <c r="BI62" s="393">
        <v>178253.8520108689</v>
      </c>
      <c r="BJ62" s="295">
        <f t="shared" si="76"/>
        <v>33441.469086481207</v>
      </c>
      <c r="BK62" s="295">
        <f t="shared" si="21"/>
        <v>211695.3210973501</v>
      </c>
      <c r="BL62" s="39">
        <v>82451.817565056685</v>
      </c>
      <c r="BM62" s="41">
        <v>1875.5995614156063</v>
      </c>
      <c r="BN62" s="39">
        <v>95802.034445812213</v>
      </c>
      <c r="BO62" s="47">
        <v>2.1619153740331054</v>
      </c>
      <c r="BP62" s="41">
        <f t="shared" si="22"/>
        <v>2.5675033898472504</v>
      </c>
      <c r="BQ62" s="39">
        <v>75118.493722992353</v>
      </c>
      <c r="BR62" s="47">
        <v>2.3729689344970022</v>
      </c>
      <c r="BS62" s="44">
        <v>54.458824062543705</v>
      </c>
      <c r="BT62" s="45">
        <v>476.51486629720705</v>
      </c>
      <c r="BU62" s="46">
        <v>219.7580527940826</v>
      </c>
      <c r="BV62" s="45">
        <v>1922.8835904470243</v>
      </c>
      <c r="BW62" s="393">
        <v>160448.78885470901</v>
      </c>
      <c r="BX62" s="295">
        <f t="shared" si="77"/>
        <v>27791.408016615202</v>
      </c>
      <c r="BY62" s="295">
        <f t="shared" si="23"/>
        <v>188240.19687132421</v>
      </c>
      <c r="BZ62" s="39">
        <v>68521.275119110578</v>
      </c>
      <c r="CA62" s="41">
        <v>1558.7100121793844</v>
      </c>
      <c r="CB62" s="39">
        <v>91927.513735598433</v>
      </c>
      <c r="CC62" s="47">
        <v>2.3415908208917711</v>
      </c>
      <c r="CD62" s="41">
        <f t="shared" si="24"/>
        <v>2.747178836705916</v>
      </c>
      <c r="CE62" s="39">
        <v>62426.94372219326</v>
      </c>
      <c r="CF62" s="47">
        <v>2.5701849119624325</v>
      </c>
    </row>
    <row r="63" spans="1:84" s="22" customFormat="1" ht="15" customHeight="1">
      <c r="A63" s="324" t="str">
        <f t="shared" si="68"/>
        <v>BNI - Efficient Product Rebates; Relamp/Reballast-Retrofit (dual baseline); COM-Lighting; Other Commercial</v>
      </c>
      <c r="B63" s="36" t="s">
        <v>73</v>
      </c>
      <c r="C63" s="15" t="s">
        <v>71</v>
      </c>
      <c r="D63" s="15" t="s">
        <v>54</v>
      </c>
      <c r="E63" s="37">
        <v>15</v>
      </c>
      <c r="F63" s="38">
        <v>84.736735861629398</v>
      </c>
      <c r="G63" s="38">
        <v>10.273041186242946</v>
      </c>
      <c r="H63" s="39">
        <v>44.476701245850407</v>
      </c>
      <c r="I63" s="40">
        <v>0.56209204594129947</v>
      </c>
      <c r="J63" s="39">
        <v>2.7115755475721408</v>
      </c>
      <c r="K63" s="39">
        <v>27.711575547572139</v>
      </c>
      <c r="L63" s="39">
        <v>19.476701245850411</v>
      </c>
      <c r="M63" s="39">
        <v>47.188276793422546</v>
      </c>
      <c r="N63" s="39">
        <v>77.951991390733767</v>
      </c>
      <c r="O63" s="41">
        <v>0.65</v>
      </c>
      <c r="P63" s="41">
        <v>1.6023561309206746</v>
      </c>
      <c r="Q63" s="261">
        <f t="shared" si="69"/>
        <v>1.6023561309206746</v>
      </c>
      <c r="R63" s="262">
        <f t="shared" si="18"/>
        <v>0</v>
      </c>
      <c r="S63" s="262">
        <f t="shared" si="70"/>
        <v>26.573797082609136</v>
      </c>
      <c r="T63" s="261">
        <f t="shared" si="71"/>
        <v>2.1485985798624254</v>
      </c>
      <c r="U63" s="267">
        <f t="shared" si="45"/>
        <v>0.34089952813916169</v>
      </c>
      <c r="V63" s="42" t="s">
        <v>72</v>
      </c>
      <c r="W63" s="199">
        <f>0.027*W3</f>
        <v>3.4020000000000002E-2</v>
      </c>
      <c r="X63" s="199"/>
      <c r="Y63" s="333">
        <v>0</v>
      </c>
      <c r="Z63" s="334">
        <f t="shared" si="115"/>
        <v>2.8827437540126324</v>
      </c>
      <c r="AA63" s="309">
        <f t="shared" si="116"/>
        <v>0.14413718770063164</v>
      </c>
      <c r="AB63" s="309">
        <f t="shared" si="117"/>
        <v>8.3599568866366339E-2</v>
      </c>
      <c r="AC63" s="309">
        <f t="shared" si="118"/>
        <v>1.153097501605053E-2</v>
      </c>
      <c r="AD63" s="309">
        <f t="shared" si="119"/>
        <v>0</v>
      </c>
      <c r="AE63" s="309">
        <f t="shared" si="120"/>
        <v>0.21044029404292214</v>
      </c>
      <c r="AF63" s="309">
        <f t="shared" si="121"/>
        <v>2.12458214670731</v>
      </c>
      <c r="AG63" s="309" t="s">
        <v>38</v>
      </c>
      <c r="AH63" s="309">
        <f t="shared" si="114"/>
        <v>0</v>
      </c>
      <c r="AI63" s="309">
        <f t="shared" si="122"/>
        <v>0.23926773158304851</v>
      </c>
      <c r="AJ63" s="309">
        <f t="shared" si="123"/>
        <v>6.6303106342290544E-2</v>
      </c>
      <c r="AK63" s="309">
        <f t="shared" si="74"/>
        <v>2.8798610102586197</v>
      </c>
      <c r="AL63" s="246" t="s">
        <v>456</v>
      </c>
      <c r="AM63" s="234" t="s">
        <v>331</v>
      </c>
      <c r="AN63" s="102" t="s">
        <v>72</v>
      </c>
      <c r="AO63" s="246"/>
      <c r="AP63" s="43" t="s">
        <v>73</v>
      </c>
      <c r="AQ63" s="44">
        <v>143.43605814490911</v>
      </c>
      <c r="AR63" s="45">
        <v>1183.1261212439031</v>
      </c>
      <c r="AS63" s="46">
        <v>143.43605814490911</v>
      </c>
      <c r="AT63" s="45">
        <v>1183.1261212439031</v>
      </c>
      <c r="AU63" s="393">
        <v>343539.60039435938</v>
      </c>
      <c r="AV63" s="295">
        <f t="shared" si="75"/>
        <v>67238.251855295573</v>
      </c>
      <c r="AW63" s="295">
        <f t="shared" si="19"/>
        <v>410777.85224965494</v>
      </c>
      <c r="AX63" s="39">
        <v>170783.21799360187</v>
      </c>
      <c r="AY63" s="41">
        <v>3892.6866217571746</v>
      </c>
      <c r="AZ63" s="39">
        <v>172756.38240075752</v>
      </c>
      <c r="BA63" s="47">
        <v>2.0115536200238924</v>
      </c>
      <c r="BB63" s="41">
        <f t="shared" si="20"/>
        <v>2.4052588836043838</v>
      </c>
      <c r="BC63" s="39">
        <v>155563.37458978305</v>
      </c>
      <c r="BD63" s="47">
        <v>2.2083578560844748</v>
      </c>
      <c r="BE63" s="46">
        <v>94.513175109862104</v>
      </c>
      <c r="BF63" s="45">
        <v>779.58783670147693</v>
      </c>
      <c r="BG63" s="46">
        <v>237.94923325477126</v>
      </c>
      <c r="BH63" s="45">
        <v>1962.7139579453801</v>
      </c>
      <c r="BI63" s="393">
        <v>244765.24576384207</v>
      </c>
      <c r="BJ63" s="295">
        <f t="shared" si="76"/>
        <v>44304.763766307617</v>
      </c>
      <c r="BK63" s="295">
        <f t="shared" si="21"/>
        <v>289070.00953014969</v>
      </c>
      <c r="BL63" s="39">
        <v>112532.82052514309</v>
      </c>
      <c r="BM63" s="41">
        <v>2564.976876025587</v>
      </c>
      <c r="BN63" s="39">
        <v>132232.42523869898</v>
      </c>
      <c r="BO63" s="47">
        <v>2.1750565268125883</v>
      </c>
      <c r="BP63" s="41">
        <f t="shared" si="22"/>
        <v>2.5687617903930797</v>
      </c>
      <c r="BQ63" s="39">
        <v>102504.1307844047</v>
      </c>
      <c r="BR63" s="47">
        <v>2.3878573857540717</v>
      </c>
      <c r="BS63" s="44">
        <v>78.646108842540798</v>
      </c>
      <c r="BT63" s="45">
        <v>648.70902692959726</v>
      </c>
      <c r="BU63" s="46">
        <v>316.59534209731203</v>
      </c>
      <c r="BV63" s="45">
        <v>2611.4229848749774</v>
      </c>
      <c r="BW63" s="393">
        <v>221223.63009621802</v>
      </c>
      <c r="BX63" s="295">
        <f t="shared" si="77"/>
        <v>36866.788882690933</v>
      </c>
      <c r="BY63" s="295">
        <f t="shared" si="23"/>
        <v>258090.41897890897</v>
      </c>
      <c r="BZ63" s="39">
        <v>93640.579115990549</v>
      </c>
      <c r="CA63" s="41">
        <v>2134.3632814792531</v>
      </c>
      <c r="CB63" s="39">
        <v>127583.05098022748</v>
      </c>
      <c r="CC63" s="47">
        <v>2.3624760994076417</v>
      </c>
      <c r="CD63" s="41">
        <f t="shared" si="24"/>
        <v>2.7561813629881335</v>
      </c>
      <c r="CE63" s="39">
        <v>85295.526439669193</v>
      </c>
      <c r="CF63" s="47">
        <v>2.5936135144519312</v>
      </c>
    </row>
    <row r="64" spans="1:84" s="22" customFormat="1" ht="15" customHeight="1">
      <c r="A64" s="324" t="str">
        <f t="shared" si="68"/>
        <v>BNI - Efficient Product Rebates; Relamp/Reballast-Retrofit (dual baseline); COM-Lighting; Retail</v>
      </c>
      <c r="B64" s="36" t="s">
        <v>73</v>
      </c>
      <c r="C64" s="15" t="s">
        <v>71</v>
      </c>
      <c r="D64" s="15" t="s">
        <v>28</v>
      </c>
      <c r="E64" s="37">
        <v>15</v>
      </c>
      <c r="F64" s="38">
        <v>85.16894192420628</v>
      </c>
      <c r="G64" s="38">
        <v>11.483772532253406</v>
      </c>
      <c r="H64" s="39">
        <v>44.476701245850407</v>
      </c>
      <c r="I64" s="40">
        <v>0.56209204594129947</v>
      </c>
      <c r="J64" s="39">
        <v>2.7254061415746009</v>
      </c>
      <c r="K64" s="39">
        <v>27.725406141574599</v>
      </c>
      <c r="L64" s="39">
        <v>19.476701245850411</v>
      </c>
      <c r="M64" s="39">
        <v>47.202107387425009</v>
      </c>
      <c r="N64" s="39">
        <v>80.16403833992247</v>
      </c>
      <c r="O64" s="41">
        <v>0.65</v>
      </c>
      <c r="P64" s="41">
        <v>1.6471058466668058</v>
      </c>
      <c r="Q64" s="261">
        <f t="shared" si="69"/>
        <v>1.6471058466668058</v>
      </c>
      <c r="R64" s="262">
        <f t="shared" si="18"/>
        <v>0</v>
      </c>
      <c r="S64" s="262">
        <f t="shared" si="70"/>
        <v>26.70933872329195</v>
      </c>
      <c r="T64" s="261">
        <f t="shared" si="71"/>
        <v>2.1958944167384975</v>
      </c>
      <c r="U64" s="267">
        <f t="shared" si="45"/>
        <v>0.33318354808967326</v>
      </c>
      <c r="V64" s="42" t="s">
        <v>72</v>
      </c>
      <c r="W64" s="199">
        <f>0.027*W3</f>
        <v>3.4020000000000002E-2</v>
      </c>
      <c r="X64" s="199"/>
      <c r="Y64" s="333">
        <v>0</v>
      </c>
      <c r="Z64" s="334">
        <f t="shared" si="115"/>
        <v>2.8974474042614977</v>
      </c>
      <c r="AA64" s="309">
        <f t="shared" si="116"/>
        <v>0.14487237021307489</v>
      </c>
      <c r="AB64" s="309">
        <f t="shared" si="117"/>
        <v>8.4025974723583433E-2</v>
      </c>
      <c r="AC64" s="309">
        <f t="shared" si="118"/>
        <v>1.158978961704599E-2</v>
      </c>
      <c r="AD64" s="309">
        <f t="shared" si="119"/>
        <v>0</v>
      </c>
      <c r="AE64" s="309">
        <f t="shared" si="120"/>
        <v>0.21151366051108933</v>
      </c>
      <c r="AF64" s="309">
        <f t="shared" si="121"/>
        <v>2.1354187369407236</v>
      </c>
      <c r="AG64" s="309" t="s">
        <v>38</v>
      </c>
      <c r="AH64" s="309">
        <f t="shared" si="114"/>
        <v>0</v>
      </c>
      <c r="AI64" s="309">
        <f t="shared" si="122"/>
        <v>0.24048813455370432</v>
      </c>
      <c r="AJ64" s="309">
        <f t="shared" si="123"/>
        <v>6.6641290298014452E-2</v>
      </c>
      <c r="AK64" s="309">
        <f t="shared" si="74"/>
        <v>2.8945499568572357</v>
      </c>
      <c r="AL64" s="246" t="s">
        <v>456</v>
      </c>
      <c r="AM64" s="234" t="s">
        <v>331</v>
      </c>
      <c r="AN64" s="102" t="s">
        <v>72</v>
      </c>
      <c r="AO64" s="246"/>
      <c r="AP64" s="43" t="s">
        <v>73</v>
      </c>
      <c r="AQ64" s="44">
        <v>228.27297598211504</v>
      </c>
      <c r="AR64" s="45">
        <v>1692.9774409656934</v>
      </c>
      <c r="AS64" s="46">
        <v>228.27297598211504</v>
      </c>
      <c r="AT64" s="45">
        <v>1692.9774409656934</v>
      </c>
      <c r="AU64" s="393">
        <v>501423.18269927625</v>
      </c>
      <c r="AV64" s="295">
        <f t="shared" si="75"/>
        <v>96615.058527784</v>
      </c>
      <c r="AW64" s="295">
        <f t="shared" si="19"/>
        <v>598038.24122706021</v>
      </c>
      <c r="AX64" s="39">
        <v>244231.09998595127</v>
      </c>
      <c r="AY64" s="41">
        <v>5565.0404946785711</v>
      </c>
      <c r="AZ64" s="39">
        <v>257192.08271332498</v>
      </c>
      <c r="BA64" s="47">
        <v>2.0530685188254862</v>
      </c>
      <c r="BB64" s="41">
        <f t="shared" si="20"/>
        <v>2.4486571991096167</v>
      </c>
      <c r="BC64" s="39">
        <v>222472.59407604457</v>
      </c>
      <c r="BD64" s="47">
        <v>2.2538649525877426</v>
      </c>
      <c r="BE64" s="46">
        <v>150.33663269102854</v>
      </c>
      <c r="BF64" s="45">
        <v>1114.9656528620278</v>
      </c>
      <c r="BG64" s="46">
        <v>378.60960867314355</v>
      </c>
      <c r="BH64" s="45">
        <v>2807.943093827721</v>
      </c>
      <c r="BI64" s="393">
        <v>359340.31955430185</v>
      </c>
      <c r="BJ64" s="295">
        <f t="shared" si="76"/>
        <v>63629.00603465076</v>
      </c>
      <c r="BK64" s="295">
        <f t="shared" si="21"/>
        <v>422969.32558895263</v>
      </c>
      <c r="BL64" s="39">
        <v>160846.37707264366</v>
      </c>
      <c r="BM64" s="41">
        <v>3665.0393904915886</v>
      </c>
      <c r="BN64" s="39">
        <v>198493.94248165819</v>
      </c>
      <c r="BO64" s="47">
        <v>2.2340591444718187</v>
      </c>
      <c r="BP64" s="41">
        <f t="shared" si="22"/>
        <v>2.6296478247559496</v>
      </c>
      <c r="BQ64" s="39">
        <v>146516.60151857417</v>
      </c>
      <c r="BR64" s="47">
        <v>2.4525570196818114</v>
      </c>
      <c r="BS64" s="44">
        <v>125.07157008728495</v>
      </c>
      <c r="BT64" s="45">
        <v>927.58832162648514</v>
      </c>
      <c r="BU64" s="46">
        <v>503.68117876042851</v>
      </c>
      <c r="BV64" s="45">
        <v>3735.5314154542061</v>
      </c>
      <c r="BW64" s="393">
        <v>326363.17979827808</v>
      </c>
      <c r="BX64" s="295">
        <f t="shared" si="77"/>
        <v>52935.731933032788</v>
      </c>
      <c r="BY64" s="295">
        <f t="shared" si="23"/>
        <v>379298.91173131089</v>
      </c>
      <c r="BZ64" s="39">
        <v>133815.08261311176</v>
      </c>
      <c r="CA64" s="41">
        <v>3049.1053497427697</v>
      </c>
      <c r="CB64" s="39">
        <v>192548.09718516632</v>
      </c>
      <c r="CC64" s="47">
        <v>2.4389117685774209</v>
      </c>
      <c r="CD64" s="41">
        <f t="shared" si="24"/>
        <v>2.8345004488615513</v>
      </c>
      <c r="CE64" s="39">
        <v>121893.52034671928</v>
      </c>
      <c r="CF64" s="47">
        <v>2.6774448622860043</v>
      </c>
    </row>
    <row r="65" spans="1:84" s="22" customFormat="1" ht="15" customHeight="1">
      <c r="A65" s="324" t="str">
        <f t="shared" si="68"/>
        <v>BNI - Efficient Product Rebates; Relamp/Reballast-Retrofit (dual baseline); COM-Lighting; School</v>
      </c>
      <c r="B65" s="36" t="s">
        <v>73</v>
      </c>
      <c r="C65" s="15" t="s">
        <v>71</v>
      </c>
      <c r="D65" s="15" t="s">
        <v>57</v>
      </c>
      <c r="E65" s="37">
        <v>15</v>
      </c>
      <c r="F65" s="38">
        <v>87.840289392333787</v>
      </c>
      <c r="G65" s="38">
        <v>11.322798854679398</v>
      </c>
      <c r="H65" s="39">
        <v>44.476701245850407</v>
      </c>
      <c r="I65" s="40">
        <v>0.56209204594129947</v>
      </c>
      <c r="J65" s="39">
        <v>2.8108892605546814</v>
      </c>
      <c r="K65" s="39">
        <v>27.810889260554678</v>
      </c>
      <c r="L65" s="39">
        <v>19.476701245850411</v>
      </c>
      <c r="M65" s="39">
        <v>47.287590506405088</v>
      </c>
      <c r="N65" s="39">
        <v>81.86203673578359</v>
      </c>
      <c r="O65" s="41">
        <v>0.65</v>
      </c>
      <c r="P65" s="41">
        <v>1.6774613509309899</v>
      </c>
      <c r="Q65" s="261">
        <f t="shared" si="69"/>
        <v>1.6774613509309899</v>
      </c>
      <c r="R65" s="262">
        <f t="shared" si="18"/>
        <v>0</v>
      </c>
      <c r="S65" s="262">
        <f t="shared" si="70"/>
        <v>27.547084534873374</v>
      </c>
      <c r="T65" s="261">
        <f t="shared" si="71"/>
        <v>2.241937529152926</v>
      </c>
      <c r="U65" s="267">
        <f t="shared" si="45"/>
        <v>0.33650621989511242</v>
      </c>
      <c r="V65" s="42" t="s">
        <v>72</v>
      </c>
      <c r="W65" s="199">
        <f>0.027*W3</f>
        <v>3.4020000000000002E-2</v>
      </c>
      <c r="X65" s="199"/>
      <c r="Y65" s="333">
        <v>0</v>
      </c>
      <c r="Z65" s="334">
        <f t="shared" si="115"/>
        <v>2.9883266451271955</v>
      </c>
      <c r="AA65" s="309">
        <f t="shared" si="116"/>
        <v>0.14941633225635978</v>
      </c>
      <c r="AB65" s="309">
        <f t="shared" si="117"/>
        <v>8.6661472708688667E-2</v>
      </c>
      <c r="AC65" s="309">
        <f t="shared" si="118"/>
        <v>1.1953306580508782E-2</v>
      </c>
      <c r="AD65" s="309">
        <f t="shared" si="119"/>
        <v>0</v>
      </c>
      <c r="AE65" s="309">
        <f t="shared" si="120"/>
        <v>0.21814784509428525</v>
      </c>
      <c r="AF65" s="309">
        <f t="shared" si="121"/>
        <v>2.2023967374587432</v>
      </c>
      <c r="AG65" s="309" t="s">
        <v>38</v>
      </c>
      <c r="AH65" s="309">
        <f t="shared" si="114"/>
        <v>0</v>
      </c>
      <c r="AI65" s="309">
        <f t="shared" si="122"/>
        <v>0.24803111154555724</v>
      </c>
      <c r="AJ65" s="309">
        <f t="shared" si="123"/>
        <v>6.8731512837925501E-2</v>
      </c>
      <c r="AK65" s="309">
        <f t="shared" si="74"/>
        <v>2.9853383184820683</v>
      </c>
      <c r="AL65" s="246" t="s">
        <v>456</v>
      </c>
      <c r="AM65" s="234" t="s">
        <v>331</v>
      </c>
      <c r="AN65" s="102" t="s">
        <v>72</v>
      </c>
      <c r="AO65" s="246"/>
      <c r="AP65" s="43" t="s">
        <v>73</v>
      </c>
      <c r="AQ65" s="44">
        <v>275.59295471015287</v>
      </c>
      <c r="AR65" s="45">
        <v>2138.001849800909</v>
      </c>
      <c r="AS65" s="46">
        <v>275.59295471015287</v>
      </c>
      <c r="AT65" s="45">
        <v>2138.001849800909</v>
      </c>
      <c r="AU65" s="393">
        <v>630153.15070962382</v>
      </c>
      <c r="AV65" s="295">
        <f t="shared" si="75"/>
        <v>125124.52992373287</v>
      </c>
      <c r="AW65" s="295">
        <f t="shared" si="19"/>
        <v>755277.68063335668</v>
      </c>
      <c r="AX65" s="39">
        <v>307277.81052887219</v>
      </c>
      <c r="AY65" s="41">
        <v>6988.0090781312056</v>
      </c>
      <c r="AZ65" s="39">
        <v>322875.34018075163</v>
      </c>
      <c r="BA65" s="47">
        <v>2.0507603514390893</v>
      </c>
      <c r="BB65" s="41">
        <f t="shared" si="20"/>
        <v>2.4579636236453521</v>
      </c>
      <c r="BC65" s="39">
        <v>279955.70263578638</v>
      </c>
      <c r="BD65" s="47">
        <v>2.2509030706526931</v>
      </c>
      <c r="BE65" s="46">
        <v>180.93922804411369</v>
      </c>
      <c r="BF65" s="45">
        <v>1403.6948247342555</v>
      </c>
      <c r="BG65" s="46">
        <v>456.53218275426656</v>
      </c>
      <c r="BH65" s="45">
        <v>3541.6966745351647</v>
      </c>
      <c r="BI65" s="393">
        <v>448909.13508726668</v>
      </c>
      <c r="BJ65" s="295">
        <f t="shared" si="76"/>
        <v>82149.907923421866</v>
      </c>
      <c r="BK65" s="295">
        <f t="shared" si="21"/>
        <v>531059.0430106885</v>
      </c>
      <c r="BL65" s="39">
        <v>201741.76763935728</v>
      </c>
      <c r="BM65" s="41">
        <v>4587.943728431379</v>
      </c>
      <c r="BN65" s="39">
        <v>247167.3674479094</v>
      </c>
      <c r="BO65" s="47">
        <v>2.2251670555883947</v>
      </c>
      <c r="BP65" s="41">
        <f t="shared" si="22"/>
        <v>2.6323703277946575</v>
      </c>
      <c r="BQ65" s="39">
        <v>183803.56919770167</v>
      </c>
      <c r="BR65" s="47">
        <v>2.4423308918686653</v>
      </c>
      <c r="BS65" s="44">
        <v>150.34347080382074</v>
      </c>
      <c r="BT65" s="45">
        <v>1166.3383014348735</v>
      </c>
      <c r="BU65" s="46">
        <v>606.87565355808738</v>
      </c>
      <c r="BV65" s="45">
        <v>4708.0349759700384</v>
      </c>
      <c r="BW65" s="393">
        <v>406265.34826558235</v>
      </c>
      <c r="BX65" s="295">
        <f t="shared" si="77"/>
        <v>68258.842578959098</v>
      </c>
      <c r="BY65" s="295">
        <f t="shared" si="23"/>
        <v>474524.19084454142</v>
      </c>
      <c r="BZ65" s="39">
        <v>167628.42353679208</v>
      </c>
      <c r="CA65" s="41">
        <v>3812.1494793645716</v>
      </c>
      <c r="CB65" s="39">
        <v>238636.92472879027</v>
      </c>
      <c r="CC65" s="47">
        <v>2.4236065679900212</v>
      </c>
      <c r="CD65" s="41">
        <f t="shared" si="24"/>
        <v>2.830809840196284</v>
      </c>
      <c r="CE65" s="39">
        <v>152723.46874706191</v>
      </c>
      <c r="CF65" s="47">
        <v>2.6601369887586324</v>
      </c>
    </row>
    <row r="66" spans="1:84" s="22" customFormat="1" ht="15" customHeight="1">
      <c r="A66" s="324" t="str">
        <f t="shared" si="68"/>
        <v xml:space="preserve">BNI - Efficient Product Rebates; T8 Dimmable Stairwell Lighting; IND; Industrial </v>
      </c>
      <c r="B66" s="36" t="s">
        <v>74</v>
      </c>
      <c r="C66" s="15" t="s">
        <v>67</v>
      </c>
      <c r="D66" s="15" t="s">
        <v>68</v>
      </c>
      <c r="E66" s="37">
        <v>10</v>
      </c>
      <c r="F66" s="38">
        <v>449.80654612634993</v>
      </c>
      <c r="G66" s="38">
        <v>81.133936889481745</v>
      </c>
      <c r="H66" s="39">
        <v>95</v>
      </c>
      <c r="I66" s="40">
        <v>0.52631578947368418</v>
      </c>
      <c r="J66" s="39">
        <v>14.393809476043199</v>
      </c>
      <c r="K66" s="39">
        <v>64.393809476043202</v>
      </c>
      <c r="L66" s="39">
        <v>45</v>
      </c>
      <c r="M66" s="39">
        <v>109.3938094760432</v>
      </c>
      <c r="N66" s="39">
        <v>319.24865735592812</v>
      </c>
      <c r="O66" s="41">
        <v>0.82</v>
      </c>
      <c r="P66" s="41">
        <v>2.8364188293670183</v>
      </c>
      <c r="Q66" s="261">
        <f t="shared" si="69"/>
        <v>2.8364188293670183</v>
      </c>
      <c r="R66" s="262">
        <f t="shared" si="18"/>
        <v>0</v>
      </c>
      <c r="S66" s="262">
        <f t="shared" si="70"/>
        <v>108.42812040575144</v>
      </c>
      <c r="T66" s="261">
        <f t="shared" si="71"/>
        <v>3.7997668506207614</v>
      </c>
      <c r="U66" s="267">
        <f t="shared" si="45"/>
        <v>0.33963532158215365</v>
      </c>
      <c r="V66" s="42" t="s">
        <v>72</v>
      </c>
      <c r="W66" s="199">
        <f>0.027*W3</f>
        <v>3.4020000000000002E-2</v>
      </c>
      <c r="X66" s="199"/>
      <c r="Y66" s="333">
        <v>0</v>
      </c>
      <c r="Z66" s="334">
        <f t="shared" si="115"/>
        <v>15.302418699218425</v>
      </c>
      <c r="AA66" s="309">
        <f t="shared" si="116"/>
        <v>0.76512093496092126</v>
      </c>
      <c r="AB66" s="309">
        <f t="shared" si="117"/>
        <v>0.44377014227733436</v>
      </c>
      <c r="AC66" s="309">
        <f t="shared" si="118"/>
        <v>6.1209674796873698E-2</v>
      </c>
      <c r="AD66" s="309">
        <f t="shared" si="119"/>
        <v>0</v>
      </c>
      <c r="AE66" s="309">
        <f t="shared" si="120"/>
        <v>1.1170765650429448</v>
      </c>
      <c r="AF66" s="309">
        <f t="shared" si="121"/>
        <v>11.277882581323979</v>
      </c>
      <c r="AG66" s="309" t="s">
        <v>38</v>
      </c>
      <c r="AH66" s="309">
        <f t="shared" si="114"/>
        <v>0</v>
      </c>
      <c r="AI66" s="309">
        <f t="shared" si="122"/>
        <v>1.2701007520351293</v>
      </c>
      <c r="AJ66" s="309">
        <f t="shared" si="123"/>
        <v>0.35195563008202374</v>
      </c>
      <c r="AK66" s="309">
        <f t="shared" si="74"/>
        <v>15.287116280519205</v>
      </c>
      <c r="AL66" s="246" t="s">
        <v>456</v>
      </c>
      <c r="AM66" s="234" t="s">
        <v>331</v>
      </c>
      <c r="AN66" s="102" t="s">
        <v>72</v>
      </c>
      <c r="AO66" s="246"/>
      <c r="AP66" s="43" t="s">
        <v>74</v>
      </c>
      <c r="AQ66" s="44">
        <v>1.9139875924987564</v>
      </c>
      <c r="AR66" s="45">
        <v>10.611147213074091</v>
      </c>
      <c r="AS66" s="46">
        <v>1.9139875924987564</v>
      </c>
      <c r="AT66" s="45">
        <v>10.611147213074091</v>
      </c>
      <c r="AU66" s="393">
        <v>7531.2254344747407</v>
      </c>
      <c r="AV66" s="295">
        <f t="shared" si="75"/>
        <v>2557.8701723455238</v>
      </c>
      <c r="AW66" s="295">
        <f t="shared" si="19"/>
        <v>10089.095606820265</v>
      </c>
      <c r="AX66" s="39">
        <v>2655.1880690185048</v>
      </c>
      <c r="AY66" s="41">
        <v>28.768864175096326</v>
      </c>
      <c r="AZ66" s="39">
        <v>4876.0373654562354</v>
      </c>
      <c r="BA66" s="47">
        <v>2.8364188293670183</v>
      </c>
      <c r="BB66" s="41">
        <f t="shared" si="20"/>
        <v>3.7997668506207614</v>
      </c>
      <c r="BC66" s="39">
        <v>1852.5367585333174</v>
      </c>
      <c r="BD66" s="47">
        <v>4.0653581634932472</v>
      </c>
      <c r="BE66" s="46">
        <v>1.7815215899932755</v>
      </c>
      <c r="BF66" s="45">
        <v>9.8767556951656417</v>
      </c>
      <c r="BG66" s="46">
        <v>3.6955091824920321</v>
      </c>
      <c r="BH66" s="45">
        <v>20.487902908239732</v>
      </c>
      <c r="BI66" s="393">
        <v>7541.5107366409256</v>
      </c>
      <c r="BJ66" s="295">
        <f t="shared" si="76"/>
        <v>2380.8414193972008</v>
      </c>
      <c r="BK66" s="295">
        <f t="shared" si="21"/>
        <v>9922.3521560381269</v>
      </c>
      <c r="BL66" s="39">
        <v>2471.4239992922494</v>
      </c>
      <c r="BM66" s="41">
        <v>26.7777873003905</v>
      </c>
      <c r="BN66" s="39">
        <v>5070.0867373486763</v>
      </c>
      <c r="BO66" s="47">
        <v>3.0514839779821736</v>
      </c>
      <c r="BP66" s="41">
        <f t="shared" si="22"/>
        <v>4.0148319992359172</v>
      </c>
      <c r="BQ66" s="39">
        <v>1724.323733611355</v>
      </c>
      <c r="BR66" s="47">
        <v>4.3736049035561821</v>
      </c>
      <c r="BS66" s="44">
        <v>1.8778529849440315</v>
      </c>
      <c r="BT66" s="45">
        <v>10.410816948785769</v>
      </c>
      <c r="BU66" s="46">
        <v>5.5733621674360636</v>
      </c>
      <c r="BV66" s="45">
        <v>30.898719857025501</v>
      </c>
      <c r="BW66" s="393">
        <v>8580.5981692488695</v>
      </c>
      <c r="BX66" s="295">
        <f t="shared" si="77"/>
        <v>2509.5795589602112</v>
      </c>
      <c r="BY66" s="295">
        <f t="shared" si="23"/>
        <v>11090.177728209081</v>
      </c>
      <c r="BZ66" s="39">
        <v>2605.0601689035857</v>
      </c>
      <c r="CA66" s="41">
        <v>28.225730237950405</v>
      </c>
      <c r="CB66" s="39">
        <v>5975.5380003452838</v>
      </c>
      <c r="CC66" s="47">
        <v>3.2938195714919938</v>
      </c>
      <c r="CD66" s="41">
        <f t="shared" si="24"/>
        <v>4.2571675927457369</v>
      </c>
      <c r="CE66" s="39">
        <v>1817.5622952647698</v>
      </c>
      <c r="CF66" s="47">
        <v>4.7209375940530878</v>
      </c>
    </row>
    <row r="67" spans="1:84" s="22" customFormat="1" ht="15" customHeight="1">
      <c r="A67" s="324" t="str">
        <f t="shared" si="68"/>
        <v>BNI - Efficient Product Rebates; T8 Dimmable Stairwell Lighting; COM-Lighting; Office</v>
      </c>
      <c r="B67" s="36" t="s">
        <v>74</v>
      </c>
      <c r="C67" s="15" t="s">
        <v>71</v>
      </c>
      <c r="D67" s="15" t="s">
        <v>64</v>
      </c>
      <c r="E67" s="37">
        <v>10</v>
      </c>
      <c r="F67" s="38">
        <v>286.55840330774993</v>
      </c>
      <c r="G67" s="38">
        <v>21.192330061541021</v>
      </c>
      <c r="H67" s="39">
        <v>95</v>
      </c>
      <c r="I67" s="40">
        <v>0.52631578947368418</v>
      </c>
      <c r="J67" s="39">
        <v>9.1698689058479985</v>
      </c>
      <c r="K67" s="39">
        <v>59.169868905847999</v>
      </c>
      <c r="L67" s="39">
        <v>45</v>
      </c>
      <c r="M67" s="39">
        <v>104.16986890584801</v>
      </c>
      <c r="N67" s="39">
        <v>169.29929577381824</v>
      </c>
      <c r="O67" s="41">
        <v>0.82</v>
      </c>
      <c r="P67" s="41">
        <v>1.5944140525196868</v>
      </c>
      <c r="Q67" s="261">
        <f t="shared" si="69"/>
        <v>1.5944140525196868</v>
      </c>
      <c r="R67" s="262">
        <f t="shared" si="18"/>
        <v>0</v>
      </c>
      <c r="S67" s="262">
        <f t="shared" si="70"/>
        <v>69.076338094032081</v>
      </c>
      <c r="T67" s="261">
        <f t="shared" si="71"/>
        <v>2.2449559443233387</v>
      </c>
      <c r="U67" s="267">
        <f t="shared" si="45"/>
        <v>0.40801314487638046</v>
      </c>
      <c r="V67" s="42" t="s">
        <v>72</v>
      </c>
      <c r="W67" s="199">
        <f>0.027*W3</f>
        <v>3.4020000000000002E-2</v>
      </c>
      <c r="X67" s="199"/>
      <c r="Y67" s="333">
        <v>0</v>
      </c>
      <c r="Z67" s="334">
        <f t="shared" si="115"/>
        <v>9.7487168805296527</v>
      </c>
      <c r="AA67" s="309">
        <f t="shared" si="116"/>
        <v>0.48743584402648266</v>
      </c>
      <c r="AB67" s="309">
        <f t="shared" si="117"/>
        <v>0.28271278953535994</v>
      </c>
      <c r="AC67" s="309">
        <f t="shared" si="118"/>
        <v>3.8994867522118615E-2</v>
      </c>
      <c r="AD67" s="309">
        <f t="shared" si="119"/>
        <v>0</v>
      </c>
      <c r="AE67" s="309">
        <f t="shared" si="120"/>
        <v>0.71165633227866465</v>
      </c>
      <c r="AF67" s="309">
        <f t="shared" si="121"/>
        <v>7.1848043409503539</v>
      </c>
      <c r="AG67" s="309" t="s">
        <v>38</v>
      </c>
      <c r="AH67" s="309">
        <f t="shared" si="114"/>
        <v>0</v>
      </c>
      <c r="AI67" s="309">
        <f t="shared" si="122"/>
        <v>0.80914350108396127</v>
      </c>
      <c r="AJ67" s="309">
        <f t="shared" si="123"/>
        <v>0.22422048825218202</v>
      </c>
      <c r="AK67" s="309">
        <f t="shared" si="74"/>
        <v>9.7389681636491225</v>
      </c>
      <c r="AL67" s="246" t="s">
        <v>456</v>
      </c>
      <c r="AM67" s="234" t="s">
        <v>331</v>
      </c>
      <c r="AN67" s="102" t="s">
        <v>72</v>
      </c>
      <c r="AO67" s="246"/>
      <c r="AP67" s="43" t="s">
        <v>74</v>
      </c>
      <c r="AQ67" s="44">
        <v>0.40414106104041503</v>
      </c>
      <c r="AR67" s="45">
        <v>5.4647137349473685</v>
      </c>
      <c r="AS67" s="46">
        <v>0.40414106104041503</v>
      </c>
      <c r="AT67" s="45">
        <v>5.4647137349473685</v>
      </c>
      <c r="AU67" s="393">
        <v>3228.5641469690599</v>
      </c>
      <c r="AV67" s="295">
        <f t="shared" si="75"/>
        <v>1317.2966110399748</v>
      </c>
      <c r="AW67" s="295">
        <f t="shared" si="19"/>
        <v>4545.8607580090347</v>
      </c>
      <c r="AX67" s="39">
        <v>2024.9220344407347</v>
      </c>
      <c r="AY67" s="41">
        <v>23.256288999703916</v>
      </c>
      <c r="AZ67" s="39">
        <v>1203.6421125283252</v>
      </c>
      <c r="BA67" s="47">
        <v>1.5944140525196864</v>
      </c>
      <c r="BB67" s="41">
        <f t="shared" si="20"/>
        <v>2.2449559443233382</v>
      </c>
      <c r="BC67" s="39">
        <v>1376.0715713489956</v>
      </c>
      <c r="BD67" s="47">
        <v>2.346218186750288</v>
      </c>
      <c r="BE67" s="46">
        <v>0.39011303040658651</v>
      </c>
      <c r="BF67" s="45">
        <v>5.2750295403208813</v>
      </c>
      <c r="BG67" s="46">
        <v>0.79425409144700154</v>
      </c>
      <c r="BH67" s="45">
        <v>10.73974327526825</v>
      </c>
      <c r="BI67" s="393">
        <v>3294.9235166184903</v>
      </c>
      <c r="BJ67" s="295">
        <f t="shared" si="76"/>
        <v>1271.5722860581602</v>
      </c>
      <c r="BK67" s="295">
        <f t="shared" si="21"/>
        <v>4566.4958026766508</v>
      </c>
      <c r="BL67" s="39">
        <v>1954.6355155279523</v>
      </c>
      <c r="BM67" s="41">
        <v>22.449046266987896</v>
      </c>
      <c r="BN67" s="39">
        <v>1340.288001090538</v>
      </c>
      <c r="BO67" s="47">
        <v>1.6856971493882442</v>
      </c>
      <c r="BP67" s="41">
        <f t="shared" si="22"/>
        <v>2.3362390411918961</v>
      </c>
      <c r="BQ67" s="39">
        <v>1328.3071246789902</v>
      </c>
      <c r="BR67" s="47">
        <v>2.4805434341209072</v>
      </c>
      <c r="BS67" s="44">
        <v>0.4296514926250346</v>
      </c>
      <c r="BT67" s="45">
        <v>5.8096606341959074</v>
      </c>
      <c r="BU67" s="46">
        <v>1.2239055840720361</v>
      </c>
      <c r="BV67" s="45">
        <v>16.549403909464157</v>
      </c>
      <c r="BW67" s="393">
        <v>3858.4031026302473</v>
      </c>
      <c r="BX67" s="295">
        <f t="shared" si="77"/>
        <v>1400.4477884681598</v>
      </c>
      <c r="BY67" s="295">
        <f t="shared" si="23"/>
        <v>5258.8508910984074</v>
      </c>
      <c r="BZ67" s="39">
        <v>2152.7403632460409</v>
      </c>
      <c r="CA67" s="41">
        <v>24.724286257670631</v>
      </c>
      <c r="CB67" s="39">
        <v>1705.6627393842064</v>
      </c>
      <c r="CC67" s="47">
        <v>1.7923216234085462</v>
      </c>
      <c r="CD67" s="41">
        <f t="shared" si="24"/>
        <v>2.4428635152121978</v>
      </c>
      <c r="CE67" s="39">
        <v>1462.9327766570304</v>
      </c>
      <c r="CF67" s="47">
        <v>2.6374438827238129</v>
      </c>
    </row>
    <row r="68" spans="1:84" s="22" customFormat="1" ht="15" customHeight="1">
      <c r="A68" s="324" t="str">
        <f t="shared" si="68"/>
        <v>BNI - Efficient Product Rebates; T8 Dimmable Stairwell Lighting; COM-Lighting; Other Commercial</v>
      </c>
      <c r="B68" s="36" t="s">
        <v>74</v>
      </c>
      <c r="C68" s="15" t="s">
        <v>71</v>
      </c>
      <c r="D68" s="15" t="s">
        <v>54</v>
      </c>
      <c r="E68" s="37">
        <v>10</v>
      </c>
      <c r="F68" s="38">
        <v>478.2438481133247</v>
      </c>
      <c r="G68" s="38">
        <v>37.463574623671157</v>
      </c>
      <c r="H68" s="39">
        <v>95</v>
      </c>
      <c r="I68" s="40">
        <v>0.52631578947368418</v>
      </c>
      <c r="J68" s="39">
        <v>15.303803139626391</v>
      </c>
      <c r="K68" s="39">
        <v>65.303803139626396</v>
      </c>
      <c r="L68" s="39">
        <v>45</v>
      </c>
      <c r="M68" s="39">
        <v>110.3038031396264</v>
      </c>
      <c r="N68" s="39">
        <v>284.88923718440503</v>
      </c>
      <c r="O68" s="41">
        <v>0.82</v>
      </c>
      <c r="P68" s="41">
        <v>2.5064339288950239</v>
      </c>
      <c r="Q68" s="261">
        <f t="shared" si="69"/>
        <v>2.5064339288950239</v>
      </c>
      <c r="R68" s="262">
        <f t="shared" si="18"/>
        <v>0</v>
      </c>
      <c r="S68" s="262">
        <f t="shared" si="70"/>
        <v>115.28307445302377</v>
      </c>
      <c r="T68" s="261">
        <f t="shared" si="71"/>
        <v>3.5206856854447346</v>
      </c>
      <c r="U68" s="267">
        <f t="shared" si="45"/>
        <v>0.40465928299847487</v>
      </c>
      <c r="V68" s="42" t="s">
        <v>72</v>
      </c>
      <c r="W68" s="199">
        <f>0.027*W3</f>
        <v>3.4020000000000002E-2</v>
      </c>
      <c r="X68" s="199"/>
      <c r="Y68" s="333">
        <v>0</v>
      </c>
      <c r="Z68" s="334">
        <f t="shared" si="115"/>
        <v>16.269855712815307</v>
      </c>
      <c r="AA68" s="309">
        <f t="shared" si="116"/>
        <v>0.81349278564076544</v>
      </c>
      <c r="AB68" s="309">
        <f t="shared" si="117"/>
        <v>0.47182581567164394</v>
      </c>
      <c r="AC68" s="309">
        <f t="shared" si="118"/>
        <v>6.5079422851261226E-2</v>
      </c>
      <c r="AD68" s="309">
        <f t="shared" si="119"/>
        <v>0</v>
      </c>
      <c r="AE68" s="309">
        <f t="shared" si="120"/>
        <v>1.1876994670355174</v>
      </c>
      <c r="AF68" s="309">
        <f t="shared" si="121"/>
        <v>11.990883660344881</v>
      </c>
      <c r="AG68" s="309" t="s">
        <v>38</v>
      </c>
      <c r="AH68" s="309">
        <f t="shared" si="114"/>
        <v>0</v>
      </c>
      <c r="AI68" s="309">
        <f t="shared" si="122"/>
        <v>1.3503980241636706</v>
      </c>
      <c r="AJ68" s="309">
        <f t="shared" si="123"/>
        <v>0.37420668139475205</v>
      </c>
      <c r="AK68" s="309">
        <f t="shared" si="74"/>
        <v>16.253585857102493</v>
      </c>
      <c r="AL68" s="246" t="s">
        <v>456</v>
      </c>
      <c r="AM68" s="234" t="s">
        <v>331</v>
      </c>
      <c r="AN68" s="102" t="s">
        <v>72</v>
      </c>
      <c r="AO68" s="246"/>
      <c r="AP68" s="43" t="s">
        <v>74</v>
      </c>
      <c r="AQ68" s="44">
        <v>0.96553990960904146</v>
      </c>
      <c r="AR68" s="45">
        <v>12.325666371053041</v>
      </c>
      <c r="AS68" s="46">
        <v>0.96553990960904146</v>
      </c>
      <c r="AT68" s="45">
        <v>12.325666371053041</v>
      </c>
      <c r="AU68" s="393">
        <v>7342.3833972804214</v>
      </c>
      <c r="AV68" s="295">
        <f t="shared" si="75"/>
        <v>2971.1636010434013</v>
      </c>
      <c r="AW68" s="295">
        <f t="shared" si="19"/>
        <v>10313.546998323822</v>
      </c>
      <c r="AX68" s="39">
        <v>2929.4143015839859</v>
      </c>
      <c r="AY68" s="41">
        <v>31.43020137488918</v>
      </c>
      <c r="AZ68" s="39">
        <v>4412.969095696435</v>
      </c>
      <c r="BA68" s="47">
        <v>2.5064339288950235</v>
      </c>
      <c r="BB68" s="41">
        <f t="shared" si="20"/>
        <v>3.5206856854447337</v>
      </c>
      <c r="BC68" s="39">
        <v>2052.5116832245776</v>
      </c>
      <c r="BD68" s="47">
        <v>3.5772675289941565</v>
      </c>
      <c r="BE68" s="46">
        <v>0.92729673843749871</v>
      </c>
      <c r="BF68" s="45">
        <v>11.837470529389309</v>
      </c>
      <c r="BG68" s="46">
        <v>1.8928366480465402</v>
      </c>
      <c r="BH68" s="45">
        <v>24.16313690044235</v>
      </c>
      <c r="BI68" s="393">
        <v>7461.7038793082302</v>
      </c>
      <c r="BJ68" s="295">
        <f t="shared" si="76"/>
        <v>2853.481548709211</v>
      </c>
      <c r="BK68" s="295">
        <f t="shared" si="21"/>
        <v>10315.185428017441</v>
      </c>
      <c r="BL68" s="39">
        <v>2813.3858583752485</v>
      </c>
      <c r="BM68" s="41">
        <v>30.18531179635001</v>
      </c>
      <c r="BN68" s="39">
        <v>4648.3180209329821</v>
      </c>
      <c r="BO68" s="47">
        <v>2.6522148951219298</v>
      </c>
      <c r="BP68" s="41">
        <f t="shared" si="22"/>
        <v>3.6664666516716404</v>
      </c>
      <c r="BQ68" s="39">
        <v>1971.2156592570834</v>
      </c>
      <c r="BR68" s="47">
        <v>3.7853310693160864</v>
      </c>
      <c r="BS68" s="44">
        <v>1.0150351577811851</v>
      </c>
      <c r="BT68" s="45">
        <v>12.957501378442156</v>
      </c>
      <c r="BU68" s="46">
        <v>2.9078718058277251</v>
      </c>
      <c r="BV68" s="45">
        <v>37.120638278884506</v>
      </c>
      <c r="BW68" s="393">
        <v>8690.9220683330441</v>
      </c>
      <c r="BX68" s="295">
        <f t="shared" si="77"/>
        <v>3123.4705935666088</v>
      </c>
      <c r="BY68" s="295">
        <f t="shared" si="23"/>
        <v>11814.392661899652</v>
      </c>
      <c r="BZ68" s="39">
        <v>3079.5811527032056</v>
      </c>
      <c r="CA68" s="41">
        <v>33.041367937419452</v>
      </c>
      <c r="CB68" s="39">
        <v>5611.3409156298385</v>
      </c>
      <c r="CC68" s="47">
        <v>2.8221117214931311</v>
      </c>
      <c r="CD68" s="41">
        <f t="shared" si="24"/>
        <v>3.8363634780428413</v>
      </c>
      <c r="CE68" s="39">
        <v>2157.7269872492029</v>
      </c>
      <c r="CF68" s="47">
        <v>4.0278135833174806</v>
      </c>
    </row>
    <row r="69" spans="1:84" s="22" customFormat="1" ht="15" customHeight="1">
      <c r="A69" s="324" t="str">
        <f t="shared" ref="A69:A100" si="124">CONCATENATE($B$4,"; ",B69,"; ",C69,"; ",D69)</f>
        <v>BNI - Efficient Product Rebates; T8 Dimmable Stairwell Lighting; COM-Lighting; Retail</v>
      </c>
      <c r="B69" s="36" t="s">
        <v>74</v>
      </c>
      <c r="C69" s="15" t="s">
        <v>71</v>
      </c>
      <c r="D69" s="15" t="s">
        <v>28</v>
      </c>
      <c r="E69" s="37">
        <v>10</v>
      </c>
      <c r="F69" s="38">
        <v>447.91254714674983</v>
      </c>
      <c r="G69" s="38">
        <v>38.476204381358983</v>
      </c>
      <c r="H69" s="39">
        <v>95</v>
      </c>
      <c r="I69" s="40">
        <v>0.52631578947368418</v>
      </c>
      <c r="J69" s="39">
        <v>14.333201508695995</v>
      </c>
      <c r="K69" s="39">
        <v>64.333201508695993</v>
      </c>
      <c r="L69" s="39">
        <v>45</v>
      </c>
      <c r="M69" s="39">
        <v>109.33320150869599</v>
      </c>
      <c r="N69" s="39">
        <v>270.60836523600153</v>
      </c>
      <c r="O69" s="41">
        <v>0.82</v>
      </c>
      <c r="P69" s="41">
        <v>2.4058457894102272</v>
      </c>
      <c r="Q69" s="261">
        <f t="shared" ref="Q69:Q100" si="125">N69*O69/(O69*H69+J69)</f>
        <v>2.4058457894102272</v>
      </c>
      <c r="R69" s="262">
        <f t="shared" si="18"/>
        <v>0</v>
      </c>
      <c r="S69" s="262">
        <f t="shared" ref="S69:S100" si="126">-PV(RDR,E69,Z69)</f>
        <v>107.97156246728433</v>
      </c>
      <c r="T69" s="261">
        <f t="shared" ref="T69:T100" si="127">(N69+SUM(R69:S69))*O69/(O69*H69+J69)</f>
        <v>3.3657678107099613</v>
      </c>
      <c r="U69" s="267">
        <f t="shared" si="45"/>
        <v>0.39899565696396982</v>
      </c>
      <c r="V69" s="42" t="s">
        <v>72</v>
      </c>
      <c r="W69" s="199">
        <f>0.027*W3</f>
        <v>3.4020000000000002E-2</v>
      </c>
      <c r="X69" s="199"/>
      <c r="Y69" s="333">
        <v>0</v>
      </c>
      <c r="Z69" s="334">
        <f t="shared" si="115"/>
        <v>15.23798485393243</v>
      </c>
      <c r="AA69" s="309">
        <f t="shared" si="116"/>
        <v>0.76189924269662157</v>
      </c>
      <c r="AB69" s="309">
        <f t="shared" si="117"/>
        <v>0.44190156076404047</v>
      </c>
      <c r="AC69" s="309">
        <f t="shared" si="118"/>
        <v>6.0951939415729718E-2</v>
      </c>
      <c r="AD69" s="309">
        <f t="shared" si="119"/>
        <v>0</v>
      </c>
      <c r="AE69" s="309">
        <f t="shared" si="120"/>
        <v>1.1123728943370672</v>
      </c>
      <c r="AF69" s="309">
        <f t="shared" si="121"/>
        <v>11.2303948373482</v>
      </c>
      <c r="AG69" s="309" t="s">
        <v>38</v>
      </c>
      <c r="AH69" s="309">
        <f t="shared" si="114"/>
        <v>0</v>
      </c>
      <c r="AI69" s="309">
        <f t="shared" si="122"/>
        <v>1.2647527428763918</v>
      </c>
      <c r="AJ69" s="309">
        <f t="shared" si="123"/>
        <v>0.35047365164044586</v>
      </c>
      <c r="AK69" s="309">
        <f t="shared" ref="AK69:AK100" si="128">SUM(AA69:AJ69)</f>
        <v>15.222746869078495</v>
      </c>
      <c r="AL69" s="246" t="s">
        <v>456</v>
      </c>
      <c r="AM69" s="234" t="s">
        <v>331</v>
      </c>
      <c r="AN69" s="102" t="s">
        <v>72</v>
      </c>
      <c r="AO69" s="246"/>
      <c r="AP69" s="43" t="s">
        <v>74</v>
      </c>
      <c r="AQ69" s="44">
        <v>1.4200406951215945</v>
      </c>
      <c r="AR69" s="45">
        <v>16.531101625817101</v>
      </c>
      <c r="AS69" s="46">
        <v>1.4200406951215945</v>
      </c>
      <c r="AT69" s="45">
        <v>16.531101625817101</v>
      </c>
      <c r="AU69" s="393">
        <v>9987.3388566784943</v>
      </c>
      <c r="AV69" s="295">
        <f t="shared" ref="AV69:AV100" si="129">SUM(R69:S69)*O69*AY69</f>
        <v>3984.9048284422192</v>
      </c>
      <c r="AW69" s="295">
        <f t="shared" si="19"/>
        <v>13972.243685120713</v>
      </c>
      <c r="AX69" s="39">
        <v>4151.2797289999235</v>
      </c>
      <c r="AY69" s="41">
        <v>45.008518202726918</v>
      </c>
      <c r="AZ69" s="39">
        <v>5836.0591276785708</v>
      </c>
      <c r="BA69" s="47">
        <v>2.4058457894102272</v>
      </c>
      <c r="BB69" s="41">
        <f t="shared" si="20"/>
        <v>3.3657678107099609</v>
      </c>
      <c r="BC69" s="39">
        <v>2895.5420711438428</v>
      </c>
      <c r="BD69" s="47">
        <v>3.4492121375853944</v>
      </c>
      <c r="BE69" s="46">
        <v>1.3653423884341613</v>
      </c>
      <c r="BF69" s="45">
        <v>15.894342926072484</v>
      </c>
      <c r="BG69" s="46">
        <v>2.7853830835557556</v>
      </c>
      <c r="BH69" s="45">
        <v>32.425444551889584</v>
      </c>
      <c r="BI69" s="393">
        <v>10175.92442676499</v>
      </c>
      <c r="BJ69" s="295">
        <f t="shared" ref="BJ69:BJ100" si="130">SUM(R69:S69)*O69*BM69</f>
        <v>3831.4109552207187</v>
      </c>
      <c r="BK69" s="295">
        <f t="shared" si="21"/>
        <v>14007.335381985709</v>
      </c>
      <c r="BL69" s="39">
        <v>3991.3772892020847</v>
      </c>
      <c r="BM69" s="41">
        <v>43.27484272380773</v>
      </c>
      <c r="BN69" s="39">
        <v>6184.5471375629058</v>
      </c>
      <c r="BO69" s="47">
        <v>2.5494769573134635</v>
      </c>
      <c r="BP69" s="41">
        <f t="shared" si="22"/>
        <v>3.5093989786131976</v>
      </c>
      <c r="BQ69" s="39">
        <v>2784.0091772078495</v>
      </c>
      <c r="BR69" s="47">
        <v>3.6551332194136918</v>
      </c>
      <c r="BS69" s="44">
        <v>1.4964498088787992</v>
      </c>
      <c r="BT69" s="45">
        <v>17.420602066894823</v>
      </c>
      <c r="BU69" s="46">
        <v>4.2818328924345552</v>
      </c>
      <c r="BV69" s="45">
        <v>49.846046618784406</v>
      </c>
      <c r="BW69" s="393">
        <v>11882.664852727716</v>
      </c>
      <c r="BX69" s="295">
        <f t="shared" ref="BX69:BX100" si="131">SUM(R69:S69)*O69*CA69</f>
        <v>4199.3233640476401</v>
      </c>
      <c r="BY69" s="295">
        <f t="shared" si="23"/>
        <v>16081.988216775357</v>
      </c>
      <c r="BZ69" s="39">
        <v>4374.650514175888</v>
      </c>
      <c r="CA69" s="41">
        <v>47.430322732139302</v>
      </c>
      <c r="CB69" s="39">
        <v>7508.0143385518277</v>
      </c>
      <c r="CC69" s="47">
        <v>2.7162546617660985</v>
      </c>
      <c r="CD69" s="41">
        <f t="shared" si="24"/>
        <v>3.6761766830658331</v>
      </c>
      <c r="CE69" s="39">
        <v>3051.3445099492019</v>
      </c>
      <c r="CF69" s="47">
        <v>3.8942390195479879</v>
      </c>
    </row>
    <row r="70" spans="1:84" s="22" customFormat="1" ht="15" customHeight="1">
      <c r="A70" s="324" t="str">
        <f t="shared" si="124"/>
        <v>BNI - Efficient Product Rebates; T8 Dimmable Stairwell Lighting; COM-Lighting; School</v>
      </c>
      <c r="B70" s="36" t="s">
        <v>74</v>
      </c>
      <c r="C70" s="15" t="s">
        <v>71</v>
      </c>
      <c r="D70" s="15" t="s">
        <v>57</v>
      </c>
      <c r="E70" s="37">
        <v>10</v>
      </c>
      <c r="F70" s="38">
        <v>260.44307122364995</v>
      </c>
      <c r="G70" s="38">
        <v>1.3680018577157411</v>
      </c>
      <c r="H70" s="39">
        <v>95</v>
      </c>
      <c r="I70" s="40">
        <v>0.52631578947368418</v>
      </c>
      <c r="J70" s="39">
        <v>8.3341782791567987</v>
      </c>
      <c r="K70" s="39">
        <v>58.334178279156802</v>
      </c>
      <c r="L70" s="39">
        <v>45</v>
      </c>
      <c r="M70" s="39">
        <v>103.3341782791568</v>
      </c>
      <c r="N70" s="39">
        <v>133.87160781783328</v>
      </c>
      <c r="O70" s="41">
        <v>0.82</v>
      </c>
      <c r="P70" s="41">
        <v>1.2729838748536708</v>
      </c>
      <c r="Q70" s="261">
        <f t="shared" si="125"/>
        <v>1.2729838748536708</v>
      </c>
      <c r="R70" s="262">
        <f t="shared" ref="R70:R133" si="132">Y70</f>
        <v>0</v>
      </c>
      <c r="S70" s="262">
        <f t="shared" si="126"/>
        <v>62.781106519399621</v>
      </c>
      <c r="T70" s="261">
        <f t="shared" si="127"/>
        <v>1.8699688334075204</v>
      </c>
      <c r="U70" s="267">
        <f t="shared" si="45"/>
        <v>0.46896505945330441</v>
      </c>
      <c r="V70" s="42" t="s">
        <v>72</v>
      </c>
      <c r="W70" s="199">
        <f>0.027*W3</f>
        <v>3.4020000000000002E-2</v>
      </c>
      <c r="X70" s="199"/>
      <c r="Y70" s="333">
        <v>0</v>
      </c>
      <c r="Z70" s="334">
        <f t="shared" si="115"/>
        <v>8.8602732830285724</v>
      </c>
      <c r="AA70" s="309">
        <f t="shared" si="116"/>
        <v>0.44301366415142862</v>
      </c>
      <c r="AB70" s="309">
        <f t="shared" si="117"/>
        <v>0.25694792520782861</v>
      </c>
      <c r="AC70" s="309">
        <f t="shared" si="118"/>
        <v>3.5441093132114292E-2</v>
      </c>
      <c r="AD70" s="309">
        <f t="shared" si="119"/>
        <v>0</v>
      </c>
      <c r="AE70" s="309">
        <f t="shared" si="120"/>
        <v>0.64679994966108578</v>
      </c>
      <c r="AF70" s="309">
        <f t="shared" si="121"/>
        <v>6.5300214095920577</v>
      </c>
      <c r="AG70" s="309" t="s">
        <v>38</v>
      </c>
      <c r="AH70" s="309">
        <f t="shared" si="114"/>
        <v>0</v>
      </c>
      <c r="AI70" s="309">
        <f t="shared" si="122"/>
        <v>0.73540268249137153</v>
      </c>
      <c r="AJ70" s="309">
        <f t="shared" si="123"/>
        <v>0.20378628550965716</v>
      </c>
      <c r="AK70" s="309">
        <f t="shared" si="128"/>
        <v>8.8514130097455457</v>
      </c>
      <c r="AL70" s="246" t="s">
        <v>456</v>
      </c>
      <c r="AM70" s="234" t="s">
        <v>331</v>
      </c>
      <c r="AN70" s="102" t="s">
        <v>72</v>
      </c>
      <c r="AO70" s="246"/>
      <c r="AP70" s="43" t="s">
        <v>74</v>
      </c>
      <c r="AQ70" s="44">
        <v>5.0458485148330963E-2</v>
      </c>
      <c r="AR70" s="45">
        <v>9.6063925404807069</v>
      </c>
      <c r="AS70" s="46">
        <v>5.0458485148330963E-2</v>
      </c>
      <c r="AT70" s="45">
        <v>9.6063925404807069</v>
      </c>
      <c r="AU70" s="393">
        <v>4937.828480831603</v>
      </c>
      <c r="AV70" s="295">
        <f t="shared" si="129"/>
        <v>2315.6690270834119</v>
      </c>
      <c r="AW70" s="295">
        <f t="shared" ref="AW70:AW133" si="133">AU70+AV70</f>
        <v>7253.4975079150154</v>
      </c>
      <c r="AX70" s="39">
        <v>3878.9403215332982</v>
      </c>
      <c r="AY70" s="41">
        <v>44.981472531418049</v>
      </c>
      <c r="AZ70" s="39">
        <v>1058.8881592983048</v>
      </c>
      <c r="BA70" s="47">
        <v>1.2729838748536713</v>
      </c>
      <c r="BB70" s="41">
        <f t="shared" ref="BB70:BB133" si="134">SUM(AU70:AV70)/AX70</f>
        <v>1.8699688334075208</v>
      </c>
      <c r="BC70" s="39">
        <v>2623.9572379067349</v>
      </c>
      <c r="BD70" s="47">
        <v>1.8818250577782898</v>
      </c>
      <c r="BE70" s="41">
        <v>4.8702245919554181E-2</v>
      </c>
      <c r="BF70" s="45">
        <v>9.2720360219085496</v>
      </c>
      <c r="BG70" s="46">
        <v>9.9160731067885144E-2</v>
      </c>
      <c r="BH70" s="45">
        <v>18.878428562389256</v>
      </c>
      <c r="BI70" s="393">
        <v>4959.9279506015555</v>
      </c>
      <c r="BJ70" s="295">
        <f t="shared" si="130"/>
        <v>2235.0707139499118</v>
      </c>
      <c r="BK70" s="295">
        <f t="shared" ref="BK70:BK133" si="135">BI70+BJ70</f>
        <v>7194.9986645514673</v>
      </c>
      <c r="BL70" s="39">
        <v>3743.9313703383746</v>
      </c>
      <c r="BM70" s="41">
        <v>43.415864162566045</v>
      </c>
      <c r="BN70" s="39">
        <v>1215.9965802631809</v>
      </c>
      <c r="BO70" s="47">
        <v>1.3247913650065866</v>
      </c>
      <c r="BP70" s="41">
        <f t="shared" ref="BP70:BP133" si="136">SUM(BI70:BJ70)/BL70</f>
        <v>1.9217763235604362</v>
      </c>
      <c r="BQ70" s="39">
        <v>2532.6287602027824</v>
      </c>
      <c r="BR70" s="47">
        <v>1.9584109714541915</v>
      </c>
      <c r="BS70" s="44">
        <v>5.3640357965025975E-2</v>
      </c>
      <c r="BT70" s="45">
        <v>10.212164180299116</v>
      </c>
      <c r="BU70" s="46">
        <v>0.15280108903291112</v>
      </c>
      <c r="BV70" s="45">
        <v>29.090592742688372</v>
      </c>
      <c r="BW70" s="393">
        <v>5727.0079296144777</v>
      </c>
      <c r="BX70" s="295">
        <f t="shared" si="131"/>
        <v>2461.6933143381593</v>
      </c>
      <c r="BY70" s="295">
        <f t="shared" ref="BY70:BY133" si="137">BW70+BX70</f>
        <v>8188.701243952637</v>
      </c>
      <c r="BZ70" s="39">
        <v>4123.5432803892136</v>
      </c>
      <c r="CA70" s="41">
        <v>47.817969193612569</v>
      </c>
      <c r="CB70" s="39">
        <v>1603.4646492252641</v>
      </c>
      <c r="CC70" s="47">
        <v>1.388856025072184</v>
      </c>
      <c r="CD70" s="41">
        <f t="shared" ref="CD70:CD133" si="138">SUM(BW70:BX70)/BZ70</f>
        <v>1.9858409836260336</v>
      </c>
      <c r="CE70" s="39">
        <v>2789.4219398874234</v>
      </c>
      <c r="CF70" s="47">
        <v>2.0531163993947832</v>
      </c>
    </row>
    <row r="71" spans="1:84" s="22" customFormat="1" ht="15" customHeight="1">
      <c r="A71" s="324" t="str">
        <f t="shared" si="124"/>
        <v xml:space="preserve">BNI - Efficient Product Rebates; LED Lamps-Retrofit (dual baseline); IND; Industrial </v>
      </c>
      <c r="B71" s="108" t="s">
        <v>75</v>
      </c>
      <c r="C71" s="15" t="s">
        <v>67</v>
      </c>
      <c r="D71" s="15" t="s">
        <v>68</v>
      </c>
      <c r="E71" s="37">
        <v>10</v>
      </c>
      <c r="F71" s="38">
        <v>141.83399969466313</v>
      </c>
      <c r="G71" s="38">
        <v>25.58333327762891</v>
      </c>
      <c r="H71" s="39">
        <v>6.060495051526221</v>
      </c>
      <c r="I71" s="40">
        <v>0.82501511138778083</v>
      </c>
      <c r="J71" s="39">
        <v>4.5386879902292208</v>
      </c>
      <c r="K71" s="39">
        <v>9.5386879902292208</v>
      </c>
      <c r="L71" s="39">
        <v>1.060495051526221</v>
      </c>
      <c r="M71" s="39">
        <v>10.599183041755442</v>
      </c>
      <c r="N71" s="39">
        <v>100.66619607893203</v>
      </c>
      <c r="O71" s="41">
        <v>0.76</v>
      </c>
      <c r="P71" s="41">
        <v>8.3662239641464513</v>
      </c>
      <c r="Q71" s="261">
        <f t="shared" si="125"/>
        <v>8.3662239641464513</v>
      </c>
      <c r="R71" s="262">
        <f t="shared" si="132"/>
        <v>0</v>
      </c>
      <c r="S71" s="262">
        <f t="shared" si="126"/>
        <v>34.189795877720208</v>
      </c>
      <c r="T71" s="261">
        <f t="shared" si="127"/>
        <v>11.207689130637652</v>
      </c>
      <c r="U71" s="267">
        <f t="shared" si="45"/>
        <v>0.3396353215821537</v>
      </c>
      <c r="V71" s="42" t="s">
        <v>72</v>
      </c>
      <c r="W71" s="199">
        <f>0.027*W3</f>
        <v>3.4020000000000002E-2</v>
      </c>
      <c r="X71" s="199"/>
      <c r="Y71" s="333">
        <v>0</v>
      </c>
      <c r="Z71" s="334">
        <f t="shared" si="115"/>
        <v>4.8251926696124396</v>
      </c>
      <c r="AA71" s="309">
        <f t="shared" si="116"/>
        <v>0.24125963348062199</v>
      </c>
      <c r="AB71" s="309">
        <f t="shared" si="117"/>
        <v>0.13993058741876074</v>
      </c>
      <c r="AC71" s="309">
        <f t="shared" si="118"/>
        <v>1.930077067844976E-2</v>
      </c>
      <c r="AD71" s="309">
        <f t="shared" si="119"/>
        <v>0</v>
      </c>
      <c r="AE71" s="309">
        <f t="shared" si="120"/>
        <v>0.35223906488170809</v>
      </c>
      <c r="AF71" s="309">
        <f t="shared" si="121"/>
        <v>3.5561669975043682</v>
      </c>
      <c r="AG71" s="309" t="s">
        <v>38</v>
      </c>
      <c r="AH71" s="309">
        <f t="shared" si="114"/>
        <v>0</v>
      </c>
      <c r="AI71" s="309">
        <f t="shared" si="122"/>
        <v>0.40049099157783252</v>
      </c>
      <c r="AJ71" s="309">
        <f t="shared" si="123"/>
        <v>0.11097943140108611</v>
      </c>
      <c r="AK71" s="309">
        <f t="shared" si="128"/>
        <v>4.8203674769428275</v>
      </c>
      <c r="AL71" s="246" t="s">
        <v>456</v>
      </c>
      <c r="AM71" s="234" t="s">
        <v>331</v>
      </c>
      <c r="AN71" s="102" t="s">
        <v>72</v>
      </c>
      <c r="AO71" s="246"/>
      <c r="AP71" s="43" t="s">
        <v>75</v>
      </c>
      <c r="AQ71" s="44">
        <v>207.13965016830562</v>
      </c>
      <c r="AR71" s="45">
        <v>1148.3822205613312</v>
      </c>
      <c r="AS71" s="46">
        <v>207.13965016830562</v>
      </c>
      <c r="AT71" s="45">
        <v>1148.3822205613312</v>
      </c>
      <c r="AU71" s="393">
        <v>500752.21940938913</v>
      </c>
      <c r="AV71" s="295">
        <f t="shared" si="129"/>
        <v>159567.31680779828</v>
      </c>
      <c r="AW71" s="295">
        <f t="shared" si="133"/>
        <v>660319.53621718741</v>
      </c>
      <c r="AX71" s="39">
        <v>76637.893411563069</v>
      </c>
      <c r="AY71" s="41">
        <v>6140.9256887828669</v>
      </c>
      <c r="AZ71" s="39">
        <v>424114.32599782606</v>
      </c>
      <c r="BA71" s="47">
        <v>6.5340029209862909</v>
      </c>
      <c r="BB71" s="41">
        <f t="shared" si="134"/>
        <v>8.6160971658122172</v>
      </c>
      <c r="BC71" s="39">
        <v>79057.5640464967</v>
      </c>
      <c r="BD71" s="47">
        <v>6.3340203489558329</v>
      </c>
      <c r="BE71" s="46">
        <v>556.10965052638096</v>
      </c>
      <c r="BF71" s="45">
        <v>3083.0719025940853</v>
      </c>
      <c r="BG71" s="46">
        <v>763.24930069468667</v>
      </c>
      <c r="BH71" s="45">
        <v>4231.4541231554167</v>
      </c>
      <c r="BI71" s="393">
        <v>1529030.5973368962</v>
      </c>
      <c r="BJ71" s="295">
        <f t="shared" si="130"/>
        <v>423486.5370115937</v>
      </c>
      <c r="BK71" s="295">
        <f t="shared" si="135"/>
        <v>1952517.1343484898</v>
      </c>
      <c r="BL71" s="39">
        <v>204880.92392708448</v>
      </c>
      <c r="BM71" s="41">
        <v>16297.81966642117</v>
      </c>
      <c r="BN71" s="39">
        <v>1324149.6734098117</v>
      </c>
      <c r="BO71" s="47">
        <v>7.4630208026642162</v>
      </c>
      <c r="BP71" s="41">
        <f t="shared" si="136"/>
        <v>9.5300094168033684</v>
      </c>
      <c r="BQ71" s="39">
        <v>211302.652125541</v>
      </c>
      <c r="BR71" s="47">
        <v>7.2362111026815459</v>
      </c>
      <c r="BS71" s="50">
        <v>3.451242741625046E-6</v>
      </c>
      <c r="BT71" s="51">
        <v>1.9133689760039854E-5</v>
      </c>
      <c r="BU71" s="46">
        <v>717.38338843338681</v>
      </c>
      <c r="BV71" s="45">
        <v>3977.1735055725167</v>
      </c>
      <c r="BW71" s="399">
        <v>8.2454059450002091E-3</v>
      </c>
      <c r="BX71" s="300">
        <f t="shared" si="131"/>
        <v>2.5984244867067359E-3</v>
      </c>
      <c r="BY71" s="295">
        <f t="shared" si="137"/>
        <v>1.0843830431706945E-2</v>
      </c>
      <c r="BZ71" s="52">
        <v>1.2662266664439869E-3</v>
      </c>
      <c r="CA71" s="41">
        <v>1E-4</v>
      </c>
      <c r="CB71" s="42">
        <v>6.9791792785562218E-3</v>
      </c>
      <c r="CC71" s="47">
        <v>6.5117930016086536</v>
      </c>
      <c r="CD71" s="41">
        <f t="shared" si="138"/>
        <v>8.5638935895737074</v>
      </c>
      <c r="CE71" s="52">
        <v>1.3056290425279939E-3</v>
      </c>
      <c r="CF71" s="47">
        <v>6.3152746120255054</v>
      </c>
    </row>
    <row r="72" spans="1:84" s="22" customFormat="1" ht="15" customHeight="1">
      <c r="A72" s="324" t="str">
        <f t="shared" si="124"/>
        <v>BNI - Efficient Product Rebates; LED Lamps-Retrofit (dual baseline); COM-Lighting; Office</v>
      </c>
      <c r="B72" s="108" t="s">
        <v>75</v>
      </c>
      <c r="C72" s="15" t="s">
        <v>71</v>
      </c>
      <c r="D72" s="15" t="s">
        <v>64</v>
      </c>
      <c r="E72" s="37">
        <v>10</v>
      </c>
      <c r="F72" s="38">
        <v>90.35823252745152</v>
      </c>
      <c r="G72" s="38">
        <v>10.326651770704132</v>
      </c>
      <c r="H72" s="39">
        <v>6.060495051526221</v>
      </c>
      <c r="I72" s="40">
        <v>0.82501511138778083</v>
      </c>
      <c r="J72" s="39">
        <v>2.8914634408784488</v>
      </c>
      <c r="K72" s="39">
        <v>7.8914634408784483</v>
      </c>
      <c r="L72" s="39">
        <v>1.060495051526221</v>
      </c>
      <c r="M72" s="39">
        <v>8.9519584924046693</v>
      </c>
      <c r="N72" s="39">
        <v>57.456938187932067</v>
      </c>
      <c r="O72" s="41">
        <v>0.76</v>
      </c>
      <c r="P72" s="41">
        <v>5.824291342962141</v>
      </c>
      <c r="Q72" s="261">
        <f t="shared" si="125"/>
        <v>5.824291342962141</v>
      </c>
      <c r="R72" s="262">
        <f t="shared" si="132"/>
        <v>0</v>
      </c>
      <c r="S72" s="262">
        <f t="shared" si="126"/>
        <v>21.781304430783745</v>
      </c>
      <c r="T72" s="261">
        <f t="shared" si="127"/>
        <v>8.0322172581874991</v>
      </c>
      <c r="U72" s="267">
        <f t="shared" si="45"/>
        <v>0.37908919475557046</v>
      </c>
      <c r="V72" s="42" t="s">
        <v>72</v>
      </c>
      <c r="W72" s="199">
        <f>0.027*W3</f>
        <v>3.4020000000000002E-2</v>
      </c>
      <c r="X72" s="199"/>
      <c r="Y72" s="333">
        <v>0</v>
      </c>
      <c r="Z72" s="334">
        <f t="shared" si="115"/>
        <v>3.0739870705839007</v>
      </c>
      <c r="AA72" s="309">
        <f t="shared" si="116"/>
        <v>0.15369935352919506</v>
      </c>
      <c r="AB72" s="309">
        <f t="shared" si="117"/>
        <v>8.914562504693313E-2</v>
      </c>
      <c r="AC72" s="309">
        <f t="shared" si="118"/>
        <v>1.2295948282335604E-2</v>
      </c>
      <c r="AD72" s="309">
        <f t="shared" si="119"/>
        <v>0</v>
      </c>
      <c r="AE72" s="309">
        <f t="shared" si="120"/>
        <v>0.22440105615262473</v>
      </c>
      <c r="AF72" s="309">
        <f t="shared" si="121"/>
        <v>2.2655284710203349</v>
      </c>
      <c r="AG72" s="309" t="s">
        <v>38</v>
      </c>
      <c r="AH72" s="309">
        <f t="shared" si="114"/>
        <v>0</v>
      </c>
      <c r="AI72" s="309">
        <f t="shared" si="122"/>
        <v>0.25514092685846379</v>
      </c>
      <c r="AJ72" s="309">
        <f t="shared" si="123"/>
        <v>7.0701702623429716E-2</v>
      </c>
      <c r="AK72" s="309">
        <f t="shared" si="128"/>
        <v>3.0709130835133167</v>
      </c>
      <c r="AL72" s="246" t="s">
        <v>456</v>
      </c>
      <c r="AM72" s="234" t="s">
        <v>331</v>
      </c>
      <c r="AN72" s="102" t="s">
        <v>72</v>
      </c>
      <c r="AO72" s="246"/>
      <c r="AP72" s="43" t="s">
        <v>75</v>
      </c>
      <c r="AQ72" s="44">
        <v>3.6708657253565993</v>
      </c>
      <c r="AR72" s="45">
        <v>32.120085595392048</v>
      </c>
      <c r="AS72" s="46">
        <v>3.6708657253565993</v>
      </c>
      <c r="AT72" s="45">
        <v>32.120085595392048</v>
      </c>
      <c r="AU72" s="393">
        <v>14264.901089175304</v>
      </c>
      <c r="AV72" s="295">
        <f t="shared" si="129"/>
        <v>5293.1566317578208</v>
      </c>
      <c r="AW72" s="295">
        <f t="shared" si="133"/>
        <v>19558.057720933124</v>
      </c>
      <c r="AX72" s="39">
        <v>2825.208331090636</v>
      </c>
      <c r="AY72" s="41">
        <v>319.75494400534876</v>
      </c>
      <c r="AZ72" s="39">
        <v>11439.692758084668</v>
      </c>
      <c r="BA72" s="47">
        <v>5.0491501572446937</v>
      </c>
      <c r="BB72" s="41">
        <f t="shared" si="134"/>
        <v>6.9226957551066626</v>
      </c>
      <c r="BC72" s="39">
        <v>2951.1993766748301</v>
      </c>
      <c r="BD72" s="47">
        <v>4.8335945046341893</v>
      </c>
      <c r="BE72" s="46">
        <v>3.2531513481413699</v>
      </c>
      <c r="BF72" s="45">
        <v>28.465083600113214</v>
      </c>
      <c r="BG72" s="46">
        <v>6.9240170734979687</v>
      </c>
      <c r="BH72" s="45">
        <v>60.585169195505259</v>
      </c>
      <c r="BI72" s="393">
        <v>13818.606935563012</v>
      </c>
      <c r="BJ72" s="295">
        <f t="shared" si="130"/>
        <v>4637.1269749386329</v>
      </c>
      <c r="BK72" s="295">
        <f t="shared" si="135"/>
        <v>18455.733910501644</v>
      </c>
      <c r="BL72" s="39">
        <v>2488.7778636026978</v>
      </c>
      <c r="BM72" s="41">
        <v>280.12476852112076</v>
      </c>
      <c r="BN72" s="39">
        <v>11329.829071960314</v>
      </c>
      <c r="BO72" s="47">
        <v>5.552366540081449</v>
      </c>
      <c r="BP72" s="41">
        <f t="shared" si="136"/>
        <v>7.4155810289093242</v>
      </c>
      <c r="BQ72" s="39">
        <v>2599.1536783998445</v>
      </c>
      <c r="BR72" s="47">
        <v>5.3165794121378642</v>
      </c>
      <c r="BS72" s="44">
        <v>2.9888217023654002</v>
      </c>
      <c r="BT72" s="45">
        <v>26.152198443601797</v>
      </c>
      <c r="BU72" s="46">
        <v>7.0014838864622098</v>
      </c>
      <c r="BV72" s="45">
        <v>61.263004030494201</v>
      </c>
      <c r="BW72" s="393">
        <v>10547.056359240163</v>
      </c>
      <c r="BX72" s="295">
        <f t="shared" si="131"/>
        <v>4212.1142717032626</v>
      </c>
      <c r="BY72" s="295">
        <f t="shared" si="137"/>
        <v>14759.170630943427</v>
      </c>
      <c r="BZ72" s="39">
        <v>2273.1364243786052</v>
      </c>
      <c r="CA72" s="41">
        <v>254.45012433824942</v>
      </c>
      <c r="CB72" s="39">
        <v>8273.9199348615584</v>
      </c>
      <c r="CC72" s="47">
        <v>4.6398694975482409</v>
      </c>
      <c r="CD72" s="41">
        <f t="shared" si="138"/>
        <v>6.4928661881690886</v>
      </c>
      <c r="CE72" s="39">
        <v>2373.3958193165859</v>
      </c>
      <c r="CF72" s="47">
        <v>4.4438674212703235</v>
      </c>
    </row>
    <row r="73" spans="1:84" s="22" customFormat="1" ht="15" customHeight="1">
      <c r="A73" s="324" t="str">
        <f t="shared" si="124"/>
        <v>BNI - Efficient Product Rebates; LED Lamps-Retrofit (dual baseline); COM-Lighting; Other Commercial</v>
      </c>
      <c r="B73" s="108" t="s">
        <v>75</v>
      </c>
      <c r="C73" s="15" t="s">
        <v>71</v>
      </c>
      <c r="D73" s="15" t="s">
        <v>54</v>
      </c>
      <c r="E73" s="37">
        <v>10</v>
      </c>
      <c r="F73" s="38">
        <v>150.80091295120059</v>
      </c>
      <c r="G73" s="38">
        <v>18.282318452771843</v>
      </c>
      <c r="H73" s="39">
        <v>6.060495051526221</v>
      </c>
      <c r="I73" s="40">
        <v>0.82501511138778083</v>
      </c>
      <c r="J73" s="39">
        <v>4.8256292144384192</v>
      </c>
      <c r="K73" s="39">
        <v>9.8256292144384183</v>
      </c>
      <c r="L73" s="39">
        <v>1.060495051526221</v>
      </c>
      <c r="M73" s="39">
        <v>10.886124265964639</v>
      </c>
      <c r="N73" s="39">
        <v>97.062452384609216</v>
      </c>
      <c r="O73" s="41">
        <v>0.76</v>
      </c>
      <c r="P73" s="41">
        <v>7.8213050975493505</v>
      </c>
      <c r="Q73" s="261">
        <f t="shared" si="125"/>
        <v>7.8213050975493505</v>
      </c>
      <c r="R73" s="262">
        <f t="shared" si="132"/>
        <v>0</v>
      </c>
      <c r="S73" s="262">
        <f t="shared" si="126"/>
        <v>36.351315221137384</v>
      </c>
      <c r="T73" s="261">
        <f t="shared" si="127"/>
        <v>10.750498828561939</v>
      </c>
      <c r="U73" s="267">
        <f t="shared" si="45"/>
        <v>0.37451469984598773</v>
      </c>
      <c r="V73" s="42" t="s">
        <v>72</v>
      </c>
      <c r="W73" s="199">
        <f>0.027*W3</f>
        <v>3.4020000000000002E-2</v>
      </c>
      <c r="X73" s="199"/>
      <c r="Y73" s="333">
        <v>0</v>
      </c>
      <c r="Z73" s="334">
        <f t="shared" si="115"/>
        <v>5.1302470585998439</v>
      </c>
      <c r="AA73" s="309">
        <f t="shared" si="116"/>
        <v>0.25651235292999219</v>
      </c>
      <c r="AB73" s="309">
        <f t="shared" si="117"/>
        <v>0.14877716469939548</v>
      </c>
      <c r="AC73" s="309">
        <f t="shared" si="118"/>
        <v>2.0520988234399375E-2</v>
      </c>
      <c r="AD73" s="309">
        <f t="shared" si="119"/>
        <v>0</v>
      </c>
      <c r="AE73" s="309">
        <f t="shared" si="120"/>
        <v>0.37450803527778859</v>
      </c>
      <c r="AF73" s="309">
        <f t="shared" si="121"/>
        <v>3.7809920821880847</v>
      </c>
      <c r="AG73" s="309" t="s">
        <v>38</v>
      </c>
      <c r="AH73" s="309">
        <f t="shared" si="114"/>
        <v>0</v>
      </c>
      <c r="AI73" s="309">
        <f t="shared" si="122"/>
        <v>0.42581050586378705</v>
      </c>
      <c r="AJ73" s="309">
        <f t="shared" si="123"/>
        <v>0.11799568234779641</v>
      </c>
      <c r="AK73" s="309">
        <f t="shared" si="128"/>
        <v>5.1251168115412433</v>
      </c>
      <c r="AL73" s="246" t="s">
        <v>456</v>
      </c>
      <c r="AM73" s="234" t="s">
        <v>331</v>
      </c>
      <c r="AN73" s="102" t="s">
        <v>72</v>
      </c>
      <c r="AO73" s="246"/>
      <c r="AP73" s="43" t="s">
        <v>75</v>
      </c>
      <c r="AQ73" s="44">
        <v>8.8707999873484837</v>
      </c>
      <c r="AR73" s="45">
        <v>73.170409986859909</v>
      </c>
      <c r="AS73" s="46">
        <v>8.8707999873484837</v>
      </c>
      <c r="AT73" s="45">
        <v>73.170409986859909</v>
      </c>
      <c r="AU73" s="393">
        <v>32933.577135303385</v>
      </c>
      <c r="AV73" s="295">
        <f t="shared" si="129"/>
        <v>12120.317294265547</v>
      </c>
      <c r="AW73" s="295">
        <f t="shared" si="133"/>
        <v>45053.894429568929</v>
      </c>
      <c r="AX73" s="39">
        <v>5101.5599267876369</v>
      </c>
      <c r="AY73" s="41">
        <v>438.71276228910853</v>
      </c>
      <c r="AZ73" s="39">
        <v>27832.017208515746</v>
      </c>
      <c r="BA73" s="47">
        <v>6.455589585917318</v>
      </c>
      <c r="BB73" s="41">
        <f t="shared" si="134"/>
        <v>8.8313957056540122</v>
      </c>
      <c r="BC73" s="39">
        <v>5274.4231793133276</v>
      </c>
      <c r="BD73" s="47">
        <v>6.2440149407183094</v>
      </c>
      <c r="BE73" s="46">
        <v>7.9091179537751568</v>
      </c>
      <c r="BF73" s="45">
        <v>65.238017330739339</v>
      </c>
      <c r="BG73" s="46">
        <v>16.779917941123642</v>
      </c>
      <c r="BH73" s="45">
        <v>138.40842731759926</v>
      </c>
      <c r="BI73" s="393">
        <v>32183.775496933733</v>
      </c>
      <c r="BJ73" s="295">
        <f t="shared" si="130"/>
        <v>10682.618703567608</v>
      </c>
      <c r="BK73" s="295">
        <f t="shared" si="135"/>
        <v>42866.394200501338</v>
      </c>
      <c r="BL73" s="39">
        <v>4527.8711880740539</v>
      </c>
      <c r="BM73" s="41">
        <v>386.67314115124691</v>
      </c>
      <c r="BN73" s="39">
        <v>27655.904308859681</v>
      </c>
      <c r="BO73" s="47">
        <v>7.1079264758464156</v>
      </c>
      <c r="BP73" s="41">
        <f t="shared" si="136"/>
        <v>9.4672291723772979</v>
      </c>
      <c r="BQ73" s="39">
        <v>4680.2295933663117</v>
      </c>
      <c r="BR73" s="47">
        <v>6.8765377541628601</v>
      </c>
      <c r="BS73" s="44">
        <v>7.4274263652100494</v>
      </c>
      <c r="BT73" s="45">
        <v>61.264805098156266</v>
      </c>
      <c r="BU73" s="46">
        <v>17.264025567338834</v>
      </c>
      <c r="BV73" s="45">
        <v>142.40156813223271</v>
      </c>
      <c r="BW73" s="393">
        <v>25145.282071472586</v>
      </c>
      <c r="BX73" s="295">
        <f t="shared" si="131"/>
        <v>9918.4417511526663</v>
      </c>
      <c r="BY73" s="295">
        <f t="shared" si="137"/>
        <v>35063.723822625252</v>
      </c>
      <c r="BZ73" s="39">
        <v>4233.1743805142642</v>
      </c>
      <c r="CA73" s="41">
        <v>359.0126291751908</v>
      </c>
      <c r="CB73" s="39">
        <v>20912.107690958321</v>
      </c>
      <c r="CC73" s="47">
        <v>5.9400534471764024</v>
      </c>
      <c r="CD73" s="41">
        <f t="shared" si="138"/>
        <v>8.2830804192775922</v>
      </c>
      <c r="CE73" s="39">
        <v>4374.6338868509547</v>
      </c>
      <c r="CF73" s="47">
        <v>5.7479740526522587</v>
      </c>
    </row>
    <row r="74" spans="1:84" s="22" customFormat="1" ht="15" customHeight="1">
      <c r="A74" s="324" t="str">
        <f t="shared" si="124"/>
        <v>BNI - Efficient Product Rebates; LED Lamps-Retrofit (dual baseline); COM-Lighting; Retail</v>
      </c>
      <c r="B74" s="108" t="s">
        <v>75</v>
      </c>
      <c r="C74" s="15" t="s">
        <v>71</v>
      </c>
      <c r="D74" s="15" t="s">
        <v>28</v>
      </c>
      <c r="E74" s="37">
        <v>10</v>
      </c>
      <c r="F74" s="38">
        <v>141.2367797275291</v>
      </c>
      <c r="G74" s="38">
        <v>19.043691455299697</v>
      </c>
      <c r="H74" s="39">
        <v>6.060495051526221</v>
      </c>
      <c r="I74" s="40">
        <v>0.82501511138778083</v>
      </c>
      <c r="J74" s="39">
        <v>4.5195769512809312</v>
      </c>
      <c r="K74" s="39">
        <v>9.5195769512809321</v>
      </c>
      <c r="L74" s="39">
        <v>1.060495051526221</v>
      </c>
      <c r="M74" s="39">
        <v>10.580072002807153</v>
      </c>
      <c r="N74" s="39">
        <v>93.053468840567461</v>
      </c>
      <c r="O74" s="41">
        <v>0.76</v>
      </c>
      <c r="P74" s="41">
        <v>7.749736902844651</v>
      </c>
      <c r="Q74" s="261">
        <f t="shared" si="125"/>
        <v>7.749736902844651</v>
      </c>
      <c r="R74" s="262">
        <f t="shared" si="132"/>
        <v>0</v>
      </c>
      <c r="S74" s="262">
        <f t="shared" si="126"/>
        <v>34.045833013989593</v>
      </c>
      <c r="T74" s="261">
        <f t="shared" si="127"/>
        <v>10.585163155988003</v>
      </c>
      <c r="U74" s="267">
        <f t="shared" si="45"/>
        <v>0.36587387271206179</v>
      </c>
      <c r="V74" s="42" t="s">
        <v>72</v>
      </c>
      <c r="W74" s="199">
        <f>0.027*W3</f>
        <v>3.4020000000000002E-2</v>
      </c>
      <c r="X74" s="199"/>
      <c r="Y74" s="333">
        <v>0</v>
      </c>
      <c r="Z74" s="334">
        <f t="shared" si="115"/>
        <v>4.80487524633054</v>
      </c>
      <c r="AA74" s="309">
        <f t="shared" si="116"/>
        <v>0.240243762316527</v>
      </c>
      <c r="AB74" s="309">
        <f t="shared" si="117"/>
        <v>0.13934138214358566</v>
      </c>
      <c r="AC74" s="309">
        <f t="shared" si="118"/>
        <v>1.9219500985322161E-2</v>
      </c>
      <c r="AD74" s="309">
        <f t="shared" si="119"/>
        <v>0</v>
      </c>
      <c r="AE74" s="309">
        <f t="shared" si="120"/>
        <v>0.35075589298212939</v>
      </c>
      <c r="AF74" s="309">
        <f t="shared" si="121"/>
        <v>3.541193056545608</v>
      </c>
      <c r="AG74" s="309" t="s">
        <v>38</v>
      </c>
      <c r="AH74" s="309">
        <f t="shared" si="114"/>
        <v>0</v>
      </c>
      <c r="AI74" s="309">
        <f t="shared" si="122"/>
        <v>0.39880464544543481</v>
      </c>
      <c r="AJ74" s="309">
        <f t="shared" si="123"/>
        <v>0.11051213066560242</v>
      </c>
      <c r="AK74" s="309">
        <f t="shared" si="128"/>
        <v>4.8000703710842103</v>
      </c>
      <c r="AL74" s="246" t="s">
        <v>456</v>
      </c>
      <c r="AM74" s="234" t="s">
        <v>331</v>
      </c>
      <c r="AN74" s="102" t="s">
        <v>72</v>
      </c>
      <c r="AO74" s="246"/>
      <c r="AP74" s="43" t="s">
        <v>75</v>
      </c>
      <c r="AQ74" s="44">
        <v>10.510572260477291</v>
      </c>
      <c r="AR74" s="45">
        <v>77.951240842551599</v>
      </c>
      <c r="AS74" s="46">
        <v>10.510572260477291</v>
      </c>
      <c r="AT74" s="45">
        <v>77.951240842551599</v>
      </c>
      <c r="AU74" s="393">
        <v>41691.017788870464</v>
      </c>
      <c r="AV74" s="295">
        <f t="shared" si="129"/>
        <v>16216.981396085381</v>
      </c>
      <c r="AW74" s="295">
        <f t="shared" si="133"/>
        <v>57907.999184955843</v>
      </c>
      <c r="AX74" s="39">
        <v>6168.9406130213629</v>
      </c>
      <c r="AY74" s="41">
        <v>626.74728525907642</v>
      </c>
      <c r="AZ74" s="39">
        <v>35522.077175849103</v>
      </c>
      <c r="BA74" s="47">
        <v>6.7582135092805586</v>
      </c>
      <c r="BB74" s="41">
        <f t="shared" si="134"/>
        <v>9.3870249071167891</v>
      </c>
      <c r="BC74" s="39">
        <v>6415.8939354554495</v>
      </c>
      <c r="BD74" s="47">
        <v>6.4980840095373109</v>
      </c>
      <c r="BE74" s="46">
        <v>9.3637314817100759</v>
      </c>
      <c r="BF74" s="45">
        <v>69.445741851797024</v>
      </c>
      <c r="BG74" s="46">
        <v>19.874303742187365</v>
      </c>
      <c r="BH74" s="45">
        <v>147.39698269434862</v>
      </c>
      <c r="BI74" s="393">
        <v>40401.668075283444</v>
      </c>
      <c r="BJ74" s="295">
        <f t="shared" si="130"/>
        <v>14282.067460252698</v>
      </c>
      <c r="BK74" s="295">
        <f t="shared" si="135"/>
        <v>54683.735535536143</v>
      </c>
      <c r="BL74" s="39">
        <v>5466.3805193401149</v>
      </c>
      <c r="BM74" s="41">
        <v>551.96752034019801</v>
      </c>
      <c r="BN74" s="39">
        <v>34935.287555943331</v>
      </c>
      <c r="BO74" s="47">
        <v>7.3909359094819491</v>
      </c>
      <c r="BP74" s="41">
        <f t="shared" si="136"/>
        <v>10.003645985138517</v>
      </c>
      <c r="BQ74" s="39">
        <v>5683.8688375661277</v>
      </c>
      <c r="BR74" s="47">
        <v>7.1081281482532805</v>
      </c>
      <c r="BS74" s="44">
        <v>8.7661251990711779</v>
      </c>
      <c r="BT74" s="45">
        <v>65.013618641705392</v>
      </c>
      <c r="BU74" s="46">
        <v>21.148367271291811</v>
      </c>
      <c r="BV74" s="45">
        <v>156.8460241494351</v>
      </c>
      <c r="BW74" s="393">
        <v>30571.033986270038</v>
      </c>
      <c r="BX74" s="295">
        <f t="shared" si="131"/>
        <v>13219.201278814486</v>
      </c>
      <c r="BY74" s="295">
        <f t="shared" si="137"/>
        <v>43790.235265084528</v>
      </c>
      <c r="BZ74" s="39">
        <v>5090.5641112607791</v>
      </c>
      <c r="CA74" s="41">
        <v>510.89030149533448</v>
      </c>
      <c r="CB74" s="39">
        <v>25480.469875009258</v>
      </c>
      <c r="CC74" s="47">
        <v>6.0054314842326022</v>
      </c>
      <c r="CD74" s="41">
        <f t="shared" si="138"/>
        <v>8.6022362763719347</v>
      </c>
      <c r="CE74" s="39">
        <v>5291.8670292326888</v>
      </c>
      <c r="CF74" s="47">
        <v>5.7769845344550887</v>
      </c>
    </row>
    <row r="75" spans="1:84" s="22" customFormat="1" ht="15" customHeight="1">
      <c r="A75" s="324" t="str">
        <f t="shared" si="124"/>
        <v>BNI - Efficient Product Rebates; LED Lamps-Retrofit (dual baseline); COM-Lighting; School</v>
      </c>
      <c r="B75" s="108" t="s">
        <v>75</v>
      </c>
      <c r="C75" s="15" t="s">
        <v>71</v>
      </c>
      <c r="D75" s="15" t="s">
        <v>57</v>
      </c>
      <c r="E75" s="37">
        <v>10</v>
      </c>
      <c r="F75" s="38">
        <v>82.123487980621817</v>
      </c>
      <c r="G75" s="38">
        <v>10.585891076656853</v>
      </c>
      <c r="H75" s="39">
        <v>6.060495051526221</v>
      </c>
      <c r="I75" s="40">
        <v>0.82501511138778083</v>
      </c>
      <c r="J75" s="39">
        <v>2.6279516153798981</v>
      </c>
      <c r="K75" s="39">
        <v>7.6279516153798976</v>
      </c>
      <c r="L75" s="39">
        <v>1.060495051526221</v>
      </c>
      <c r="M75" s="39">
        <v>8.6884466669061187</v>
      </c>
      <c r="N75" s="39">
        <v>53.562248847696459</v>
      </c>
      <c r="O75" s="41">
        <v>0.76</v>
      </c>
      <c r="P75" s="41">
        <v>5.6272760722520125</v>
      </c>
      <c r="Q75" s="261">
        <f t="shared" si="125"/>
        <v>5.6272760722520125</v>
      </c>
      <c r="R75" s="262">
        <f t="shared" si="132"/>
        <v>0</v>
      </c>
      <c r="S75" s="262">
        <f t="shared" si="126"/>
        <v>19.796278021267135</v>
      </c>
      <c r="T75" s="261">
        <f t="shared" si="127"/>
        <v>7.7070827275977756</v>
      </c>
      <c r="U75" s="267">
        <f t="shared" si="45"/>
        <v>0.36959385476060941</v>
      </c>
      <c r="V75" s="42" t="s">
        <v>72</v>
      </c>
      <c r="W75" s="199">
        <f>0.027*W3</f>
        <v>3.4020000000000002E-2</v>
      </c>
      <c r="X75" s="199"/>
      <c r="Y75" s="333">
        <v>0</v>
      </c>
      <c r="Z75" s="334">
        <f t="shared" si="115"/>
        <v>2.7938410611007543</v>
      </c>
      <c r="AA75" s="309">
        <f t="shared" si="116"/>
        <v>0.13969205305503771</v>
      </c>
      <c r="AB75" s="309">
        <f t="shared" si="117"/>
        <v>8.1021390771921872E-2</v>
      </c>
      <c r="AC75" s="309">
        <f t="shared" si="118"/>
        <v>1.1175364244403017E-2</v>
      </c>
      <c r="AD75" s="309">
        <f t="shared" si="119"/>
        <v>0</v>
      </c>
      <c r="AE75" s="309">
        <f t="shared" si="120"/>
        <v>0.20395039746035504</v>
      </c>
      <c r="AF75" s="309">
        <f t="shared" si="121"/>
        <v>2.0590608620312558</v>
      </c>
      <c r="AG75" s="309" t="s">
        <v>38</v>
      </c>
      <c r="AH75" s="309">
        <f t="shared" si="114"/>
        <v>0</v>
      </c>
      <c r="AI75" s="309">
        <f t="shared" si="122"/>
        <v>0.23188880807136261</v>
      </c>
      <c r="AJ75" s="309">
        <f t="shared" si="123"/>
        <v>6.4258344405317344E-2</v>
      </c>
      <c r="AK75" s="309">
        <f t="shared" si="128"/>
        <v>2.7910472200396534</v>
      </c>
      <c r="AL75" s="246" t="s">
        <v>456</v>
      </c>
      <c r="AM75" s="234" t="s">
        <v>331</v>
      </c>
      <c r="AN75" s="102" t="s">
        <v>72</v>
      </c>
      <c r="AO75" s="246"/>
      <c r="AP75" s="43" t="s">
        <v>75</v>
      </c>
      <c r="AQ75" s="44">
        <v>30.22219626545461</v>
      </c>
      <c r="AR75" s="45">
        <v>234.45850271660686</v>
      </c>
      <c r="AS75" s="46">
        <v>30.22219626545461</v>
      </c>
      <c r="AT75" s="45">
        <v>234.45850271660686</v>
      </c>
      <c r="AU75" s="393">
        <v>103729.0497036398</v>
      </c>
      <c r="AV75" s="295">
        <f t="shared" si="129"/>
        <v>37155.565549203093</v>
      </c>
      <c r="AW75" s="295">
        <f t="shared" si="133"/>
        <v>140884.61525284289</v>
      </c>
      <c r="AX75" s="39">
        <v>21246.8590961804</v>
      </c>
      <c r="AY75" s="41">
        <v>2469.600698975019</v>
      </c>
      <c r="AZ75" s="39">
        <v>82482.190607459401</v>
      </c>
      <c r="BA75" s="47">
        <v>4.8820886529194061</v>
      </c>
      <c r="BB75" s="41">
        <f t="shared" si="134"/>
        <v>6.6308443339829966</v>
      </c>
      <c r="BC75" s="39">
        <v>22219.940451363807</v>
      </c>
      <c r="BD75" s="47">
        <v>4.6682865748757285</v>
      </c>
      <c r="BE75" s="46">
        <v>26.75562313531146</v>
      </c>
      <c r="BF75" s="45">
        <v>207.56543582920742</v>
      </c>
      <c r="BG75" s="46">
        <v>56.977819400766073</v>
      </c>
      <c r="BH75" s="45">
        <v>442.0239385458143</v>
      </c>
      <c r="BI75" s="393">
        <v>101228.63600440657</v>
      </c>
      <c r="BJ75" s="295">
        <f t="shared" si="130"/>
        <v>32517.069362077553</v>
      </c>
      <c r="BK75" s="295">
        <f t="shared" si="135"/>
        <v>133745.70536648412</v>
      </c>
      <c r="BL75" s="39">
        <v>18694.475571012601</v>
      </c>
      <c r="BM75" s="41">
        <v>2161.2960545268365</v>
      </c>
      <c r="BN75" s="39">
        <v>82534.160433393961</v>
      </c>
      <c r="BO75" s="47">
        <v>5.4148957332277519</v>
      </c>
      <c r="BP75" s="41">
        <f t="shared" si="136"/>
        <v>7.1542903066972574</v>
      </c>
      <c r="BQ75" s="39">
        <v>19546.077570706075</v>
      </c>
      <c r="BR75" s="47">
        <v>5.1789744330145835</v>
      </c>
      <c r="BS75" s="44">
        <v>24.503993089858909</v>
      </c>
      <c r="BT75" s="45">
        <v>190.09768449533229</v>
      </c>
      <c r="BU75" s="46">
        <v>57.14331177044464</v>
      </c>
      <c r="BV75" s="45">
        <v>443.30779935014016</v>
      </c>
      <c r="BW75" s="393">
        <v>77812.293925719598</v>
      </c>
      <c r="BX75" s="295">
        <f t="shared" si="131"/>
        <v>29443.443860887077</v>
      </c>
      <c r="BY75" s="295">
        <f t="shared" si="137"/>
        <v>107255.73778660668</v>
      </c>
      <c r="BZ75" s="39">
        <v>17018.021889759537</v>
      </c>
      <c r="CA75" s="41">
        <v>1957.0029002192919</v>
      </c>
      <c r="CB75" s="39">
        <v>60794.272035960064</v>
      </c>
      <c r="CC75" s="47">
        <v>4.5723465647051817</v>
      </c>
      <c r="CD75" s="41">
        <f t="shared" si="138"/>
        <v>6.3024797171724751</v>
      </c>
      <c r="CE75" s="39">
        <v>17789.127532478869</v>
      </c>
      <c r="CF75" s="47">
        <v>4.374148972941601</v>
      </c>
    </row>
    <row r="76" spans="1:84" s="22" customFormat="1" ht="15" customHeight="1">
      <c r="A76" s="324" t="str">
        <f t="shared" si="124"/>
        <v xml:space="preserve">BNI - Efficient Product Rebates; LED Lamps-End of Life; IND; Industrial </v>
      </c>
      <c r="B76" s="108" t="s">
        <v>76</v>
      </c>
      <c r="C76" s="15" t="s">
        <v>67</v>
      </c>
      <c r="D76" s="15" t="s">
        <v>68</v>
      </c>
      <c r="E76" s="37">
        <v>10</v>
      </c>
      <c r="F76" s="38">
        <v>82.508151060970349</v>
      </c>
      <c r="G76" s="38">
        <v>14.882422629679118</v>
      </c>
      <c r="H76" s="39">
        <v>23.5</v>
      </c>
      <c r="I76" s="40">
        <v>0.21276595744680851</v>
      </c>
      <c r="J76" s="39">
        <v>2.6402608339510514</v>
      </c>
      <c r="K76" s="39">
        <v>7.6402608339510518</v>
      </c>
      <c r="L76" s="39">
        <v>18.5</v>
      </c>
      <c r="M76" s="39">
        <v>26.140260833951054</v>
      </c>
      <c r="N76" s="39">
        <v>58.559877960815285</v>
      </c>
      <c r="O76" s="41">
        <v>0.76</v>
      </c>
      <c r="P76" s="41">
        <v>2.1709727310646123</v>
      </c>
      <c r="Q76" s="261">
        <f t="shared" si="125"/>
        <v>2.1709727310646123</v>
      </c>
      <c r="R76" s="262">
        <f t="shared" si="132"/>
        <v>0</v>
      </c>
      <c r="S76" s="262">
        <f t="shared" si="126"/>
        <v>19.889002983033173</v>
      </c>
      <c r="T76" s="261">
        <f t="shared" si="127"/>
        <v>2.9083117527258282</v>
      </c>
      <c r="U76" s="267">
        <f t="shared" si="45"/>
        <v>0.33963532158215359</v>
      </c>
      <c r="V76" s="42" t="s">
        <v>72</v>
      </c>
      <c r="W76" s="199">
        <f>0.027*W3</f>
        <v>3.4020000000000002E-2</v>
      </c>
      <c r="X76" s="199"/>
      <c r="Y76" s="333">
        <v>0</v>
      </c>
      <c r="Z76" s="334">
        <f t="shared" si="115"/>
        <v>2.8069272990942116</v>
      </c>
      <c r="AA76" s="309">
        <f t="shared" si="116"/>
        <v>0.14034636495471059</v>
      </c>
      <c r="AB76" s="309">
        <f t="shared" si="117"/>
        <v>8.1400891673732143E-2</v>
      </c>
      <c r="AC76" s="309">
        <f t="shared" si="118"/>
        <v>1.1227709196376846E-2</v>
      </c>
      <c r="AD76" s="309">
        <f t="shared" si="119"/>
        <v>0</v>
      </c>
      <c r="AE76" s="309">
        <f t="shared" si="120"/>
        <v>0.20490569283387744</v>
      </c>
      <c r="AF76" s="309">
        <f t="shared" si="121"/>
        <v>2.0687054194324337</v>
      </c>
      <c r="AG76" s="309" t="s">
        <v>38</v>
      </c>
      <c r="AH76" s="309">
        <f t="shared" si="114"/>
        <v>0</v>
      </c>
      <c r="AI76" s="309">
        <f t="shared" si="122"/>
        <v>0.23297496582481958</v>
      </c>
      <c r="AJ76" s="309">
        <f t="shared" si="123"/>
        <v>6.4559327879166864E-2</v>
      </c>
      <c r="AK76" s="309">
        <f t="shared" si="128"/>
        <v>2.8041203717951175</v>
      </c>
      <c r="AL76" s="246" t="s">
        <v>456</v>
      </c>
      <c r="AM76" s="234" t="s">
        <v>331</v>
      </c>
      <c r="AN76" s="102" t="s">
        <v>72</v>
      </c>
      <c r="AO76" s="246"/>
      <c r="AP76" s="43" t="s">
        <v>76</v>
      </c>
      <c r="AQ76" s="44">
        <v>10.054912867539812</v>
      </c>
      <c r="AR76" s="45">
        <v>55.74443693901177</v>
      </c>
      <c r="AS76" s="46">
        <v>10.054912867539812</v>
      </c>
      <c r="AT76" s="45">
        <v>55.74443693901177</v>
      </c>
      <c r="AU76" s="393">
        <v>39564.423419579914</v>
      </c>
      <c r="AV76" s="295">
        <f t="shared" si="129"/>
        <v>13437.475671321519</v>
      </c>
      <c r="AW76" s="295">
        <f t="shared" si="133"/>
        <v>53001.899090901432</v>
      </c>
      <c r="AX76" s="39">
        <v>18224.283913588413</v>
      </c>
      <c r="AY76" s="41">
        <v>888.97814819051825</v>
      </c>
      <c r="AZ76" s="39">
        <v>21340.139505991501</v>
      </c>
      <c r="BA76" s="47">
        <v>2.1709727310646119</v>
      </c>
      <c r="BB76" s="41">
        <f t="shared" si="134"/>
        <v>2.9083117527258282</v>
      </c>
      <c r="BC76" s="39">
        <v>6792.0249278583497</v>
      </c>
      <c r="BD76" s="47">
        <v>5.8251293008807172</v>
      </c>
      <c r="BE76" s="46">
        <v>7.1329018803484505</v>
      </c>
      <c r="BF76" s="45">
        <v>39.544808025624427</v>
      </c>
      <c r="BG76" s="46">
        <v>17.187814747888261</v>
      </c>
      <c r="BH76" s="45">
        <v>95.289244964636197</v>
      </c>
      <c r="BI76" s="393">
        <v>30194.894306196496</v>
      </c>
      <c r="BJ76" s="295">
        <f t="shared" si="130"/>
        <v>9423.3235344511413</v>
      </c>
      <c r="BK76" s="295">
        <f t="shared" si="135"/>
        <v>39618.217840647638</v>
      </c>
      <c r="BL76" s="39">
        <v>12799.242841268449</v>
      </c>
      <c r="BM76" s="41">
        <v>623.41535794071137</v>
      </c>
      <c r="BN76" s="39">
        <v>17395.651464928047</v>
      </c>
      <c r="BO76" s="47">
        <v>2.3591156665017285</v>
      </c>
      <c r="BP76" s="41">
        <f t="shared" si="136"/>
        <v>3.0953563684960397</v>
      </c>
      <c r="BQ76" s="39">
        <v>4782.1213381509006</v>
      </c>
      <c r="BR76" s="47">
        <v>6.3141213221226913</v>
      </c>
      <c r="BS76" s="44">
        <v>2.2835903144851044</v>
      </c>
      <c r="BT76" s="45">
        <v>12.660224703816802</v>
      </c>
      <c r="BU76" s="46">
        <v>19.471405062373364</v>
      </c>
      <c r="BV76" s="45">
        <v>107.94946966845299</v>
      </c>
      <c r="BW76" s="393">
        <v>10434.560654581459</v>
      </c>
      <c r="BX76" s="295">
        <f t="shared" si="131"/>
        <v>4986.0276427459039</v>
      </c>
      <c r="BY76" s="295">
        <f t="shared" si="137"/>
        <v>15420.588297327362</v>
      </c>
      <c r="BZ76" s="39">
        <v>6424.3402883099316</v>
      </c>
      <c r="CA76" s="41">
        <v>329.85880154074164</v>
      </c>
      <c r="CB76" s="39">
        <v>4010.2203662715274</v>
      </c>
      <c r="CC76" s="47">
        <v>1.624222906368882</v>
      </c>
      <c r="CD76" s="41">
        <f t="shared" si="138"/>
        <v>2.400338027764108</v>
      </c>
      <c r="CE76" s="39">
        <v>2182.3561004959947</v>
      </c>
      <c r="CF76" s="47">
        <v>4.781328149063274</v>
      </c>
    </row>
    <row r="77" spans="1:84" s="22" customFormat="1" ht="15" customHeight="1">
      <c r="A77" s="324" t="str">
        <f t="shared" si="124"/>
        <v>BNI - Efficient Product Rebates; LED Lamps-End of Life; COM-Lighting; Office</v>
      </c>
      <c r="B77" s="108" t="s">
        <v>76</v>
      </c>
      <c r="C77" s="15" t="s">
        <v>71</v>
      </c>
      <c r="D77" s="15" t="s">
        <v>64</v>
      </c>
      <c r="E77" s="37">
        <v>10</v>
      </c>
      <c r="F77" s="38">
        <v>52.563494754620386</v>
      </c>
      <c r="G77" s="38">
        <v>6.0072545798999526</v>
      </c>
      <c r="H77" s="39">
        <v>23.5</v>
      </c>
      <c r="I77" s="40">
        <v>0.21276595744680851</v>
      </c>
      <c r="J77" s="39">
        <v>1.6820318321478525</v>
      </c>
      <c r="K77" s="39">
        <v>6.6820318321478522</v>
      </c>
      <c r="L77" s="39">
        <v>18.5</v>
      </c>
      <c r="M77" s="39">
        <v>25.182031832147853</v>
      </c>
      <c r="N77" s="39">
        <v>33.424043217538305</v>
      </c>
      <c r="O77" s="41">
        <v>0.76</v>
      </c>
      <c r="P77" s="41">
        <v>1.2998787978402941</v>
      </c>
      <c r="Q77" s="261">
        <f t="shared" si="125"/>
        <v>1.2998787978402941</v>
      </c>
      <c r="R77" s="262">
        <f t="shared" si="132"/>
        <v>0</v>
      </c>
      <c r="S77" s="262">
        <f t="shared" si="126"/>
        <v>12.670693628811977</v>
      </c>
      <c r="T77" s="261">
        <f t="shared" si="127"/>
        <v>1.7926488045934101</v>
      </c>
      <c r="U77" s="267">
        <f t="shared" si="45"/>
        <v>0.3790891947555704</v>
      </c>
      <c r="V77" s="42" t="s">
        <v>72</v>
      </c>
      <c r="W77" s="199">
        <f>0.027*W3</f>
        <v>3.4020000000000002E-2</v>
      </c>
      <c r="X77" s="199"/>
      <c r="Y77" s="333">
        <v>0</v>
      </c>
      <c r="Z77" s="334">
        <f t="shared" si="115"/>
        <v>1.7882100915521857</v>
      </c>
      <c r="AA77" s="309">
        <f t="shared" si="116"/>
        <v>8.9410504577609295E-2</v>
      </c>
      <c r="AB77" s="309">
        <f t="shared" si="117"/>
        <v>5.1858092655013385E-2</v>
      </c>
      <c r="AC77" s="309">
        <f t="shared" si="118"/>
        <v>7.1528403662087427E-3</v>
      </c>
      <c r="AD77" s="309">
        <f t="shared" si="119"/>
        <v>0</v>
      </c>
      <c r="AE77" s="309">
        <f t="shared" si="120"/>
        <v>0.13053933668330955</v>
      </c>
      <c r="AF77" s="309">
        <f t="shared" si="121"/>
        <v>1.3179108374739608</v>
      </c>
      <c r="AG77" s="309" t="s">
        <v>38</v>
      </c>
      <c r="AH77" s="309">
        <f t="shared" si="114"/>
        <v>0</v>
      </c>
      <c r="AI77" s="309">
        <f t="shared" si="122"/>
        <v>0.14842143759883142</v>
      </c>
      <c r="AJ77" s="309">
        <f t="shared" si="123"/>
        <v>4.1128832105700272E-2</v>
      </c>
      <c r="AK77" s="309">
        <f t="shared" si="128"/>
        <v>1.7864218814606334</v>
      </c>
      <c r="AL77" s="246" t="s">
        <v>456</v>
      </c>
      <c r="AM77" s="234" t="s">
        <v>331</v>
      </c>
      <c r="AN77" s="102" t="s">
        <v>72</v>
      </c>
      <c r="AO77" s="246"/>
      <c r="AP77" s="43" t="s">
        <v>76</v>
      </c>
      <c r="AQ77" s="44">
        <v>0.86904428113873133</v>
      </c>
      <c r="AR77" s="45">
        <v>7.6041399453940448</v>
      </c>
      <c r="AS77" s="46">
        <v>0.86904428113873133</v>
      </c>
      <c r="AT77" s="45">
        <v>7.6041399453940448</v>
      </c>
      <c r="AU77" s="393">
        <v>4835.3159041944973</v>
      </c>
      <c r="AV77" s="295">
        <f t="shared" si="129"/>
        <v>1833.0160125098939</v>
      </c>
      <c r="AW77" s="295">
        <f t="shared" si="133"/>
        <v>6668.331916704391</v>
      </c>
      <c r="AX77" s="39">
        <v>3719.8205803711962</v>
      </c>
      <c r="AY77" s="41">
        <v>190.34973498773354</v>
      </c>
      <c r="AZ77" s="39">
        <v>1115.4953238233011</v>
      </c>
      <c r="BA77" s="47">
        <v>1.2998787978402946</v>
      </c>
      <c r="BB77" s="41">
        <f t="shared" si="134"/>
        <v>1.7926488045934104</v>
      </c>
      <c r="BC77" s="39">
        <v>1271.9229884289434</v>
      </c>
      <c r="BD77" s="47">
        <v>3.8015791429062804</v>
      </c>
      <c r="BE77" s="46">
        <v>0.66437136839672761</v>
      </c>
      <c r="BF77" s="45">
        <v>5.8132513735455777</v>
      </c>
      <c r="BG77" s="46">
        <v>1.5334156495354587</v>
      </c>
      <c r="BH77" s="45">
        <v>13.417391318939622</v>
      </c>
      <c r="BI77" s="393">
        <v>3937.1978857738886</v>
      </c>
      <c r="BJ77" s="295">
        <f t="shared" si="130"/>
        <v>1385.2677814118042</v>
      </c>
      <c r="BK77" s="295">
        <f t="shared" si="135"/>
        <v>5322.4656671856928</v>
      </c>
      <c r="BL77" s="39">
        <v>2813.9879562755209</v>
      </c>
      <c r="BM77" s="41">
        <v>143.85327420993232</v>
      </c>
      <c r="BN77" s="39">
        <v>1123.2099294983677</v>
      </c>
      <c r="BO77" s="47">
        <v>1.3991523584859269</v>
      </c>
      <c r="BP77" s="41">
        <f t="shared" si="136"/>
        <v>1.8914315732290092</v>
      </c>
      <c r="BQ77" s="39">
        <v>964.03484993579127</v>
      </c>
      <c r="BR77" s="47">
        <v>4.0840825267220602</v>
      </c>
      <c r="BS77" s="44">
        <v>0.23934208852246189</v>
      </c>
      <c r="BT77" s="45">
        <v>2.0942439590798627</v>
      </c>
      <c r="BU77" s="46">
        <v>1.7727577380579207</v>
      </c>
      <c r="BV77" s="45">
        <v>15.511635278019485</v>
      </c>
      <c r="BW77" s="393">
        <v>1517.9009598646262</v>
      </c>
      <c r="BX77" s="295">
        <f t="shared" si="131"/>
        <v>824.78459228909048</v>
      </c>
      <c r="BY77" s="295">
        <f t="shared" si="137"/>
        <v>2342.6855521537168</v>
      </c>
      <c r="BZ77" s="39">
        <v>1617.8848390704684</v>
      </c>
      <c r="CA77" s="41">
        <v>85.649840204735696</v>
      </c>
      <c r="CB77" s="39">
        <v>-99.983879205842186</v>
      </c>
      <c r="CC77" s="47">
        <v>0.93820086770620437</v>
      </c>
      <c r="CD77" s="41">
        <f t="shared" si="138"/>
        <v>1.4479927715372325</v>
      </c>
      <c r="CE77" s="39">
        <v>516.42789403756751</v>
      </c>
      <c r="CF77" s="47">
        <v>2.9392311635169084</v>
      </c>
    </row>
    <row r="78" spans="1:84" s="22" customFormat="1" ht="15" customHeight="1">
      <c r="A78" s="324" t="str">
        <f t="shared" si="124"/>
        <v>BNI - Efficient Product Rebates; LED Lamps-End of Life; COM-Lighting; Other Commercial</v>
      </c>
      <c r="B78" s="108" t="s">
        <v>76</v>
      </c>
      <c r="C78" s="15" t="s">
        <v>71</v>
      </c>
      <c r="D78" s="15" t="s">
        <v>54</v>
      </c>
      <c r="E78" s="37">
        <v>10</v>
      </c>
      <c r="F78" s="38">
        <v>87.724413981805441</v>
      </c>
      <c r="G78" s="38">
        <v>10.635251744246084</v>
      </c>
      <c r="H78" s="39">
        <v>23.5</v>
      </c>
      <c r="I78" s="40">
        <v>0.21276595744680851</v>
      </c>
      <c r="J78" s="39">
        <v>2.8071812474177742</v>
      </c>
      <c r="K78" s="39">
        <v>7.8071812474177742</v>
      </c>
      <c r="L78" s="39">
        <v>18.5</v>
      </c>
      <c r="M78" s="39">
        <v>26.307181247417773</v>
      </c>
      <c r="N78" s="39">
        <v>56.463496065386039</v>
      </c>
      <c r="O78" s="41">
        <v>0.76</v>
      </c>
      <c r="P78" s="41">
        <v>2.0763478335999492</v>
      </c>
      <c r="Q78" s="261">
        <f t="shared" si="125"/>
        <v>2.0763478335999492</v>
      </c>
      <c r="R78" s="262">
        <f t="shared" si="132"/>
        <v>0</v>
      </c>
      <c r="S78" s="262">
        <f t="shared" si="126"/>
        <v>21.146409281183157</v>
      </c>
      <c r="T78" s="261">
        <f t="shared" si="127"/>
        <v>2.8539706192765006</v>
      </c>
      <c r="U78" s="267">
        <f t="shared" si="45"/>
        <v>0.37451469984598751</v>
      </c>
      <c r="V78" s="42" t="s">
        <v>72</v>
      </c>
      <c r="W78" s="199">
        <f>0.027*W3</f>
        <v>3.4020000000000002E-2</v>
      </c>
      <c r="X78" s="199"/>
      <c r="Y78" s="333">
        <v>0</v>
      </c>
      <c r="Z78" s="334">
        <f t="shared" si="115"/>
        <v>2.9843845636610213</v>
      </c>
      <c r="AA78" s="309">
        <f t="shared" si="116"/>
        <v>0.14921922818305108</v>
      </c>
      <c r="AB78" s="309">
        <f t="shared" si="117"/>
        <v>8.6547152346169623E-2</v>
      </c>
      <c r="AC78" s="309">
        <f t="shared" si="118"/>
        <v>1.1937538254644086E-2</v>
      </c>
      <c r="AD78" s="309">
        <f t="shared" si="119"/>
        <v>0</v>
      </c>
      <c r="AE78" s="309">
        <f t="shared" si="120"/>
        <v>0.21786007314725456</v>
      </c>
      <c r="AF78" s="309">
        <f t="shared" si="121"/>
        <v>2.1994914234181726</v>
      </c>
      <c r="AG78" s="309" t="s">
        <v>38</v>
      </c>
      <c r="AH78" s="309">
        <f t="shared" si="114"/>
        <v>0</v>
      </c>
      <c r="AI78" s="309">
        <f t="shared" si="122"/>
        <v>0.24770391878386477</v>
      </c>
      <c r="AJ78" s="309">
        <f t="shared" si="123"/>
        <v>6.8640844964203487E-2</v>
      </c>
      <c r="AK78" s="309">
        <f t="shared" si="128"/>
        <v>2.9814001790973603</v>
      </c>
      <c r="AL78" s="246" t="s">
        <v>456</v>
      </c>
      <c r="AM78" s="234" t="s">
        <v>331</v>
      </c>
      <c r="AN78" s="102" t="s">
        <v>72</v>
      </c>
      <c r="AO78" s="246"/>
      <c r="AP78" s="43" t="s">
        <v>76</v>
      </c>
      <c r="AQ78" s="44">
        <v>2.2016729102456623</v>
      </c>
      <c r="AR78" s="45">
        <v>18.160403766221169</v>
      </c>
      <c r="AS78" s="46">
        <v>2.2016729102456623</v>
      </c>
      <c r="AT78" s="45">
        <v>18.160403766221169</v>
      </c>
      <c r="AU78" s="393">
        <v>11688.877019030586</v>
      </c>
      <c r="AV78" s="295">
        <f t="shared" si="129"/>
        <v>4377.6562683189013</v>
      </c>
      <c r="AW78" s="295">
        <f t="shared" si="133"/>
        <v>16066.533287349488</v>
      </c>
      <c r="AX78" s="39">
        <v>5629.5370312615369</v>
      </c>
      <c r="AY78" s="41">
        <v>272.39017086400742</v>
      </c>
      <c r="AZ78" s="39">
        <v>6059.339987769049</v>
      </c>
      <c r="BA78" s="47">
        <v>2.0763478335999501</v>
      </c>
      <c r="BB78" s="41">
        <f t="shared" si="134"/>
        <v>2.853970619276502</v>
      </c>
      <c r="BC78" s="39">
        <v>2126.5994339504018</v>
      </c>
      <c r="BD78" s="47">
        <v>5.4965109236943412</v>
      </c>
      <c r="BE78" s="46">
        <v>1.6996222761670881</v>
      </c>
      <c r="BF78" s="45">
        <v>14.019260827356131</v>
      </c>
      <c r="BG78" s="46">
        <v>3.9012951864127503</v>
      </c>
      <c r="BH78" s="45">
        <v>32.1796645935773</v>
      </c>
      <c r="BI78" s="393">
        <v>9622.1491433941228</v>
      </c>
      <c r="BJ78" s="295">
        <f t="shared" si="130"/>
        <v>3340.7174566236363</v>
      </c>
      <c r="BK78" s="295">
        <f t="shared" si="135"/>
        <v>12962.866600017758</v>
      </c>
      <c r="BL78" s="39">
        <v>4302.823243851577</v>
      </c>
      <c r="BM78" s="41">
        <v>207.86890131223865</v>
      </c>
      <c r="BN78" s="39">
        <v>5319.3258995425458</v>
      </c>
      <c r="BO78" s="47">
        <v>2.2362408581722426</v>
      </c>
      <c r="BP78" s="41">
        <f t="shared" si="136"/>
        <v>3.012642134101315</v>
      </c>
      <c r="BQ78" s="39">
        <v>1629.6291729761881</v>
      </c>
      <c r="BR78" s="47">
        <v>5.90450226527377</v>
      </c>
      <c r="BS78" s="44">
        <v>0.67088335166052981</v>
      </c>
      <c r="BT78" s="45">
        <v>5.5337523069362442</v>
      </c>
      <c r="BU78" s="46">
        <v>4.5721785380732802</v>
      </c>
      <c r="BV78" s="45">
        <v>37.713416900513543</v>
      </c>
      <c r="BW78" s="393">
        <v>4068.6838440500887</v>
      </c>
      <c r="BX78" s="295">
        <f t="shared" si="131"/>
        <v>2179.380114965476</v>
      </c>
      <c r="BY78" s="295">
        <f t="shared" si="137"/>
        <v>6248.0639590155643</v>
      </c>
      <c r="BZ78" s="39">
        <v>2654.9447412899881</v>
      </c>
      <c r="CA78" s="41">
        <v>135.60720292025925</v>
      </c>
      <c r="CB78" s="39">
        <v>1413.7391027601006</v>
      </c>
      <c r="CC78" s="47">
        <v>1.5324928540972913</v>
      </c>
      <c r="CD78" s="41">
        <f t="shared" si="138"/>
        <v>2.3533687394110308</v>
      </c>
      <c r="CE78" s="39">
        <v>911.03611173545391</v>
      </c>
      <c r="CF78" s="47">
        <v>4.4659962340016994</v>
      </c>
    </row>
    <row r="79" spans="1:84" s="22" customFormat="1" ht="15" customHeight="1">
      <c r="A79" s="324" t="str">
        <f t="shared" si="124"/>
        <v>BNI - Efficient Product Rebates; LED Lamps-End of Life; COM-Lighting; Retail</v>
      </c>
      <c r="B79" s="108" t="s">
        <v>76</v>
      </c>
      <c r="C79" s="15" t="s">
        <v>71</v>
      </c>
      <c r="D79" s="15" t="s">
        <v>28</v>
      </c>
      <c r="E79" s="37">
        <v>10</v>
      </c>
      <c r="F79" s="38">
        <v>82.160734254203248</v>
      </c>
      <c r="G79" s="38">
        <v>11.078160206543904</v>
      </c>
      <c r="H79" s="39">
        <v>23.5</v>
      </c>
      <c r="I79" s="40">
        <v>0.21276595744680851</v>
      </c>
      <c r="J79" s="39">
        <v>2.6291434961345042</v>
      </c>
      <c r="K79" s="39">
        <v>7.6291434961345042</v>
      </c>
      <c r="L79" s="39">
        <v>18.5</v>
      </c>
      <c r="M79" s="39">
        <v>26.129143496134503</v>
      </c>
      <c r="N79" s="39">
        <v>54.131376682411421</v>
      </c>
      <c r="O79" s="41">
        <v>0.76</v>
      </c>
      <c r="P79" s="41">
        <v>2.0078851166420968</v>
      </c>
      <c r="Q79" s="261">
        <f t="shared" si="125"/>
        <v>2.0078851166420968</v>
      </c>
      <c r="R79" s="262">
        <f t="shared" si="132"/>
        <v>0</v>
      </c>
      <c r="S79" s="262">
        <f t="shared" si="126"/>
        <v>19.805256422029267</v>
      </c>
      <c r="T79" s="261">
        <f t="shared" si="127"/>
        <v>2.7425178202288505</v>
      </c>
      <c r="U79" s="267">
        <f t="shared" si="45"/>
        <v>0.36587387271206173</v>
      </c>
      <c r="V79" s="42" t="s">
        <v>72</v>
      </c>
      <c r="W79" s="199">
        <f>0.027*W3</f>
        <v>3.4020000000000002E-2</v>
      </c>
      <c r="X79" s="199"/>
      <c r="Y79" s="333">
        <v>0</v>
      </c>
      <c r="Z79" s="334">
        <f t="shared" si="115"/>
        <v>2.7951081793279946</v>
      </c>
      <c r="AA79" s="309">
        <f t="shared" si="116"/>
        <v>0.13975540896639974</v>
      </c>
      <c r="AB79" s="309">
        <f t="shared" si="117"/>
        <v>8.1058137200511846E-2</v>
      </c>
      <c r="AC79" s="309">
        <f t="shared" si="118"/>
        <v>1.1180432717311979E-2</v>
      </c>
      <c r="AD79" s="309">
        <f t="shared" si="119"/>
        <v>0</v>
      </c>
      <c r="AE79" s="309">
        <f t="shared" si="120"/>
        <v>0.20404289709094359</v>
      </c>
      <c r="AF79" s="309">
        <f t="shared" si="121"/>
        <v>2.0599947281647322</v>
      </c>
      <c r="AG79" s="309" t="s">
        <v>38</v>
      </c>
      <c r="AH79" s="309">
        <f t="shared" si="114"/>
        <v>0</v>
      </c>
      <c r="AI79" s="309">
        <f t="shared" si="122"/>
        <v>0.23199397888422357</v>
      </c>
      <c r="AJ79" s="309">
        <f t="shared" si="123"/>
        <v>6.4287488124543879E-2</v>
      </c>
      <c r="AK79" s="309">
        <f t="shared" si="128"/>
        <v>2.7923130711486666</v>
      </c>
      <c r="AL79" s="246" t="s">
        <v>456</v>
      </c>
      <c r="AM79" s="234" t="s">
        <v>331</v>
      </c>
      <c r="AN79" s="102" t="s">
        <v>72</v>
      </c>
      <c r="AO79" s="246"/>
      <c r="AP79" s="43" t="s">
        <v>76</v>
      </c>
      <c r="AQ79" s="44">
        <v>3.2576732425243118</v>
      </c>
      <c r="AR79" s="45">
        <v>24.160403945771179</v>
      </c>
      <c r="AS79" s="46">
        <v>3.2576732425243118</v>
      </c>
      <c r="AT79" s="45">
        <v>24.160403945771179</v>
      </c>
      <c r="AU79" s="393">
        <v>15918.016539888113</v>
      </c>
      <c r="AV79" s="295">
        <f t="shared" si="129"/>
        <v>5823.9863573435168</v>
      </c>
      <c r="AW79" s="295">
        <f t="shared" si="133"/>
        <v>21742.002897231629</v>
      </c>
      <c r="AX79" s="39">
        <v>7927.7526427949924</v>
      </c>
      <c r="AY79" s="41">
        <v>386.92455076468411</v>
      </c>
      <c r="AZ79" s="39">
        <v>7990.2638970931202</v>
      </c>
      <c r="BA79" s="47">
        <v>2.0078851166420963</v>
      </c>
      <c r="BB79" s="41">
        <f t="shared" si="134"/>
        <v>2.74251782022885</v>
      </c>
      <c r="BC79" s="39">
        <v>2951.9029199611546</v>
      </c>
      <c r="BD79" s="47">
        <v>5.3924593631614366</v>
      </c>
      <c r="BE79" s="46">
        <v>2.5119872168917743</v>
      </c>
      <c r="BF79" s="45">
        <v>18.630053215432596</v>
      </c>
      <c r="BG79" s="46">
        <v>5.7696604594160865</v>
      </c>
      <c r="BH79" s="45">
        <v>42.790457161203776</v>
      </c>
      <c r="BI79" s="393">
        <v>13117.566281962794</v>
      </c>
      <c r="BJ79" s="295">
        <f t="shared" si="130"/>
        <v>4439.4454715598777</v>
      </c>
      <c r="BK79" s="295">
        <f t="shared" si="135"/>
        <v>17557.011753522671</v>
      </c>
      <c r="BL79" s="39">
        <v>6052.0636791748311</v>
      </c>
      <c r="BM79" s="41">
        <v>294.94067110265723</v>
      </c>
      <c r="BN79" s="39">
        <v>7065.502602787963</v>
      </c>
      <c r="BO79" s="47">
        <v>2.1674534468466313</v>
      </c>
      <c r="BP79" s="41">
        <f t="shared" si="136"/>
        <v>2.900995872521368</v>
      </c>
      <c r="BQ79" s="39">
        <v>2259.1266487946586</v>
      </c>
      <c r="BR79" s="47">
        <v>5.8064767147789524</v>
      </c>
      <c r="BS79" s="44">
        <v>0.97836024918683884</v>
      </c>
      <c r="BT79" s="45">
        <v>7.25596984875102</v>
      </c>
      <c r="BU79" s="46">
        <v>6.7480207086029251</v>
      </c>
      <c r="BV79" s="45">
        <v>50.046427009954797</v>
      </c>
      <c r="BW79" s="393">
        <v>5483.3704936807999</v>
      </c>
      <c r="BX79" s="295">
        <f t="shared" si="131"/>
        <v>2857.6480344694282</v>
      </c>
      <c r="BY79" s="295">
        <f t="shared" si="137"/>
        <v>8341.0185281502272</v>
      </c>
      <c r="BZ79" s="39">
        <v>3696.2673271332737</v>
      </c>
      <c r="CA79" s="41">
        <v>189.8517809174615</v>
      </c>
      <c r="CB79" s="39">
        <v>1787.1031665475261</v>
      </c>
      <c r="CC79" s="47">
        <v>1.4834886138859322</v>
      </c>
      <c r="CD79" s="41">
        <f t="shared" si="138"/>
        <v>2.2566058647655494</v>
      </c>
      <c r="CE79" s="39">
        <v>1254.7734245347187</v>
      </c>
      <c r="CF79" s="47">
        <v>4.3700084704249162</v>
      </c>
    </row>
    <row r="80" spans="1:84" s="22" customFormat="1" ht="15" customHeight="1">
      <c r="A80" s="324" t="str">
        <f t="shared" si="124"/>
        <v>BNI - Efficient Product Rebates; LED Lamps-End of Life; COM-Lighting; School</v>
      </c>
      <c r="B80" s="108" t="s">
        <v>76</v>
      </c>
      <c r="C80" s="15" t="s">
        <v>71</v>
      </c>
      <c r="D80" s="15" t="s">
        <v>57</v>
      </c>
      <c r="E80" s="37">
        <v>10</v>
      </c>
      <c r="F80" s="38">
        <v>47.77315147669691</v>
      </c>
      <c r="G80" s="38">
        <v>6.1580601403617203</v>
      </c>
      <c r="H80" s="39">
        <v>23.5</v>
      </c>
      <c r="I80" s="40">
        <v>0.21276595744680851</v>
      </c>
      <c r="J80" s="39">
        <v>1.5287408472543011</v>
      </c>
      <c r="K80" s="39">
        <v>6.5287408472543014</v>
      </c>
      <c r="L80" s="39">
        <v>18.5</v>
      </c>
      <c r="M80" s="39">
        <v>25.028740847254301</v>
      </c>
      <c r="N80" s="39">
        <v>31.158411442988527</v>
      </c>
      <c r="O80" s="41">
        <v>0.76</v>
      </c>
      <c r="P80" s="41">
        <v>1.2213476307320252</v>
      </c>
      <c r="Q80" s="261">
        <f t="shared" si="125"/>
        <v>1.2213476307320252</v>
      </c>
      <c r="R80" s="262">
        <f t="shared" si="132"/>
        <v>0</v>
      </c>
      <c r="S80" s="262">
        <f t="shared" si="126"/>
        <v>11.515957393431206</v>
      </c>
      <c r="T80" s="261">
        <f t="shared" si="127"/>
        <v>1.6727502095770113</v>
      </c>
      <c r="U80" s="267">
        <f t="shared" si="45"/>
        <v>0.36959385476060896</v>
      </c>
      <c r="V80" s="42" t="s">
        <v>72</v>
      </c>
      <c r="W80" s="199">
        <f>0.027*W3</f>
        <v>3.4020000000000002E-2</v>
      </c>
      <c r="X80" s="199"/>
      <c r="Y80" s="333">
        <v>0</v>
      </c>
      <c r="Z80" s="334">
        <f t="shared" si="115"/>
        <v>1.6252426132372289</v>
      </c>
      <c r="AA80" s="309">
        <f t="shared" si="116"/>
        <v>8.1262130661861443E-2</v>
      </c>
      <c r="AB80" s="309">
        <f t="shared" si="117"/>
        <v>4.7132035783879637E-2</v>
      </c>
      <c r="AC80" s="309">
        <f t="shared" si="118"/>
        <v>6.5009704529489154E-3</v>
      </c>
      <c r="AD80" s="309">
        <f t="shared" si="119"/>
        <v>0</v>
      </c>
      <c r="AE80" s="309">
        <f t="shared" si="120"/>
        <v>0.1186427107663177</v>
      </c>
      <c r="AF80" s="309">
        <f t="shared" si="121"/>
        <v>1.1978038059558376</v>
      </c>
      <c r="AG80" s="309" t="s">
        <v>38</v>
      </c>
      <c r="AH80" s="309">
        <f t="shared" si="114"/>
        <v>0</v>
      </c>
      <c r="AI80" s="309">
        <f t="shared" si="122"/>
        <v>0.13489513689869001</v>
      </c>
      <c r="AJ80" s="309">
        <f t="shared" si="123"/>
        <v>3.738058010445626E-2</v>
      </c>
      <c r="AK80" s="309">
        <f t="shared" si="128"/>
        <v>1.6236173706239914</v>
      </c>
      <c r="AL80" s="246" t="s">
        <v>456</v>
      </c>
      <c r="AM80" s="234" t="s">
        <v>331</v>
      </c>
      <c r="AN80" s="102" t="s">
        <v>72</v>
      </c>
      <c r="AO80" s="246"/>
      <c r="AP80" s="43" t="s">
        <v>76</v>
      </c>
      <c r="AQ80" s="44">
        <v>6.8349665481808763</v>
      </c>
      <c r="AR80" s="45">
        <v>53.024472772560678</v>
      </c>
      <c r="AS80" s="46">
        <v>6.8349665481808763</v>
      </c>
      <c r="AT80" s="45">
        <v>53.024472772560678</v>
      </c>
      <c r="AU80" s="393">
        <v>34583.40695821352</v>
      </c>
      <c r="AV80" s="295">
        <f t="shared" si="129"/>
        <v>12781.814688441007</v>
      </c>
      <c r="AW80" s="295">
        <f t="shared" si="133"/>
        <v>47365.221646654529</v>
      </c>
      <c r="AX80" s="39">
        <v>28315.776841918178</v>
      </c>
      <c r="AY80" s="41">
        <v>1460.4237100795569</v>
      </c>
      <c r="AZ80" s="39">
        <v>6267.6301162953423</v>
      </c>
      <c r="BA80" s="47">
        <v>1.2213476307320255</v>
      </c>
      <c r="BB80" s="41">
        <f t="shared" si="134"/>
        <v>1.6727502095770117</v>
      </c>
      <c r="BC80" s="39">
        <v>9534.7279302950774</v>
      </c>
      <c r="BD80" s="47">
        <v>3.6270995052024779</v>
      </c>
      <c r="BE80" s="46">
        <v>5.2154581854533832</v>
      </c>
      <c r="BF80" s="45">
        <v>40.460610685008326</v>
      </c>
      <c r="BG80" s="46">
        <v>12.05042473363426</v>
      </c>
      <c r="BH80" s="45">
        <v>93.485083457569004</v>
      </c>
      <c r="BI80" s="393">
        <v>28175.231584162855</v>
      </c>
      <c r="BJ80" s="295">
        <f t="shared" si="130"/>
        <v>9641.5545787766878</v>
      </c>
      <c r="BK80" s="295">
        <f t="shared" si="135"/>
        <v>37816.786162939541</v>
      </c>
      <c r="BL80" s="39">
        <v>21378.61081583608</v>
      </c>
      <c r="BM80" s="41">
        <v>1101.6240848496461</v>
      </c>
      <c r="BN80" s="39">
        <v>6796.6207683267749</v>
      </c>
      <c r="BO80" s="47">
        <v>1.3179168575019018</v>
      </c>
      <c r="BP80" s="41">
        <f t="shared" si="136"/>
        <v>1.7689075538494288</v>
      </c>
      <c r="BQ80" s="39">
        <v>7211.7250846696343</v>
      </c>
      <c r="BR80" s="47">
        <v>3.9068643429096479</v>
      </c>
      <c r="BS80" s="44">
        <v>1.8559231444714601</v>
      </c>
      <c r="BT80" s="45">
        <v>14.397926536770504</v>
      </c>
      <c r="BU80" s="46">
        <v>13.90634787810572</v>
      </c>
      <c r="BV80" s="45">
        <v>107.8830099943395</v>
      </c>
      <c r="BW80" s="393">
        <v>10752.095957846712</v>
      </c>
      <c r="BX80" s="295">
        <f t="shared" si="131"/>
        <v>5670.3938034306548</v>
      </c>
      <c r="BY80" s="295">
        <f t="shared" si="137"/>
        <v>16422.489761277368</v>
      </c>
      <c r="BZ80" s="39">
        <v>12177.498665746545</v>
      </c>
      <c r="CA80" s="41">
        <v>647.88746808442261</v>
      </c>
      <c r="CB80" s="39">
        <v>-1425.4027078998333</v>
      </c>
      <c r="CC80" s="47">
        <v>0.88294782475244482</v>
      </c>
      <c r="CD80" s="41">
        <f t="shared" si="138"/>
        <v>1.3485930248936375</v>
      </c>
      <c r="CE80" s="39">
        <v>3845.6658261808711</v>
      </c>
      <c r="CF80" s="47">
        <v>2.7958997073140424</v>
      </c>
    </row>
    <row r="81" spans="1:84" s="22" customFormat="1" ht="15" customHeight="1">
      <c r="A81" s="324" t="str">
        <f t="shared" si="124"/>
        <v>BNI - Efficient Product Rebates; LED Refrigeration Strip Lighting-End of Life replacement; COM-Lighting; Other Commercial</v>
      </c>
      <c r="B81" s="36" t="s">
        <v>77</v>
      </c>
      <c r="C81" s="15" t="s">
        <v>71</v>
      </c>
      <c r="D81" s="15" t="s">
        <v>54</v>
      </c>
      <c r="E81" s="37">
        <v>6</v>
      </c>
      <c r="F81" s="38">
        <v>444.52928352000004</v>
      </c>
      <c r="G81" s="38">
        <v>53.892418579223467</v>
      </c>
      <c r="H81" s="39">
        <v>150</v>
      </c>
      <c r="I81" s="40">
        <v>0.33333333333333331</v>
      </c>
      <c r="J81" s="39">
        <v>14.224937072640001</v>
      </c>
      <c r="K81" s="39">
        <v>64.224937072640003</v>
      </c>
      <c r="L81" s="39">
        <v>100</v>
      </c>
      <c r="M81" s="39">
        <v>164.22493707263999</v>
      </c>
      <c r="N81" s="39">
        <v>166.79346160923726</v>
      </c>
      <c r="O81" s="41">
        <v>0.76</v>
      </c>
      <c r="P81" s="41">
        <v>0.98859889282853386</v>
      </c>
      <c r="Q81" s="261">
        <f t="shared" si="125"/>
        <v>0.98859889282853386</v>
      </c>
      <c r="R81" s="262">
        <f t="shared" si="132"/>
        <v>0</v>
      </c>
      <c r="S81" s="262">
        <f t="shared" si="126"/>
        <v>72.508598292205136</v>
      </c>
      <c r="T81" s="261">
        <f t="shared" si="127"/>
        <v>1.4183634609394764</v>
      </c>
      <c r="U81" s="267">
        <f t="shared" si="45"/>
        <v>0.43472086730880294</v>
      </c>
      <c r="V81" s="42" t="s">
        <v>72</v>
      </c>
      <c r="W81" s="199">
        <f>0.027*W3</f>
        <v>3.4020000000000002E-2</v>
      </c>
      <c r="X81" s="199"/>
      <c r="Y81" s="333">
        <v>0</v>
      </c>
      <c r="Z81" s="334">
        <f t="shared" si="115"/>
        <v>15.122886225350403</v>
      </c>
      <c r="AA81" s="309">
        <f t="shared" si="116"/>
        <v>0.75614431126752013</v>
      </c>
      <c r="AB81" s="309">
        <f t="shared" si="117"/>
        <v>0.43856370053516169</v>
      </c>
      <c r="AC81" s="309">
        <f t="shared" si="118"/>
        <v>6.0491544901401614E-2</v>
      </c>
      <c r="AD81" s="309">
        <f t="shared" si="119"/>
        <v>0</v>
      </c>
      <c r="AE81" s="309">
        <f t="shared" si="120"/>
        <v>1.1039706944505794</v>
      </c>
      <c r="AF81" s="309">
        <f t="shared" si="121"/>
        <v>11.145567148083247</v>
      </c>
      <c r="AG81" s="309" t="s">
        <v>38</v>
      </c>
      <c r="AH81" s="309">
        <f t="shared" si="114"/>
        <v>0</v>
      </c>
      <c r="AI81" s="309">
        <f t="shared" si="122"/>
        <v>1.2551995567040835</v>
      </c>
      <c r="AJ81" s="309">
        <f t="shared" si="123"/>
        <v>0.34782638318305925</v>
      </c>
      <c r="AK81" s="309">
        <f t="shared" si="128"/>
        <v>15.107763339125054</v>
      </c>
      <c r="AL81" s="246" t="s">
        <v>456</v>
      </c>
      <c r="AM81" s="234" t="s">
        <v>331</v>
      </c>
      <c r="AN81" s="102" t="s">
        <v>72</v>
      </c>
      <c r="AO81" s="246"/>
      <c r="AP81" s="43" t="s">
        <v>77</v>
      </c>
      <c r="AQ81" s="44">
        <v>5.8766411816741382</v>
      </c>
      <c r="AR81" s="45">
        <v>48.473220591380851</v>
      </c>
      <c r="AS81" s="46">
        <v>5.8766411816741382</v>
      </c>
      <c r="AT81" s="45">
        <v>48.473220591380851</v>
      </c>
      <c r="AU81" s="393">
        <v>18187.814745889093</v>
      </c>
      <c r="AV81" s="295">
        <f t="shared" si="129"/>
        <v>7906.6226007847417</v>
      </c>
      <c r="AW81" s="295">
        <f t="shared" si="133"/>
        <v>26094.437346673833</v>
      </c>
      <c r="AX81" s="39">
        <v>18397.567383320606</v>
      </c>
      <c r="AY81" s="41">
        <v>143.47885679131431</v>
      </c>
      <c r="AZ81" s="39">
        <v>-209.75263743151299</v>
      </c>
      <c r="BA81" s="47">
        <v>0.98859889282853364</v>
      </c>
      <c r="BB81" s="41">
        <f t="shared" si="134"/>
        <v>1.418363460939476</v>
      </c>
      <c r="BC81" s="39">
        <v>9214.9205486764877</v>
      </c>
      <c r="BD81" s="47">
        <v>1.9737353838065761</v>
      </c>
      <c r="BE81" s="46">
        <v>5.2588687384721595</v>
      </c>
      <c r="BF81" s="45">
        <v>43.377551315538668</v>
      </c>
      <c r="BG81" s="46">
        <v>11.135509920146298</v>
      </c>
      <c r="BH81" s="45">
        <v>91.850771906919519</v>
      </c>
      <c r="BI81" s="393">
        <v>17954.007980995484</v>
      </c>
      <c r="BJ81" s="295">
        <f t="shared" si="130"/>
        <v>6994.4350073341893</v>
      </c>
      <c r="BK81" s="295">
        <f t="shared" si="135"/>
        <v>24948.442988329673</v>
      </c>
      <c r="BL81" s="39">
        <v>16295.952011402413</v>
      </c>
      <c r="BM81" s="41">
        <v>126.92569121154888</v>
      </c>
      <c r="BN81" s="39">
        <v>1658.0559695930715</v>
      </c>
      <c r="BO81" s="47">
        <v>1.101746493143384</v>
      </c>
      <c r="BP81" s="41">
        <f t="shared" si="136"/>
        <v>1.5309595273030407</v>
      </c>
      <c r="BQ81" s="39">
        <v>8172.7077738632825</v>
      </c>
      <c r="BR81" s="47">
        <v>2.1968249052551805</v>
      </c>
      <c r="BS81" s="44">
        <v>5.7944897956193415</v>
      </c>
      <c r="BT81" s="45">
        <v>47.795598436987653</v>
      </c>
      <c r="BU81" s="46">
        <v>16.929999715765639</v>
      </c>
      <c r="BV81" s="45">
        <v>139.64637034390717</v>
      </c>
      <c r="BW81" s="393">
        <v>21917.796127555393</v>
      </c>
      <c r="BX81" s="295">
        <f t="shared" si="131"/>
        <v>7619.5781521510999</v>
      </c>
      <c r="BY81" s="295">
        <f t="shared" si="137"/>
        <v>29537.374279706492</v>
      </c>
      <c r="BZ81" s="39">
        <v>17775.221282764211</v>
      </c>
      <c r="CA81" s="41">
        <v>138.26995642794546</v>
      </c>
      <c r="CB81" s="39">
        <v>4142.5748447911828</v>
      </c>
      <c r="CC81" s="47">
        <v>1.2330533487539781</v>
      </c>
      <c r="CD81" s="41">
        <f t="shared" si="138"/>
        <v>1.6617162627588487</v>
      </c>
      <c r="CE81" s="39">
        <v>8925.9440713756994</v>
      </c>
      <c r="CF81" s="47">
        <v>2.4555157361833371</v>
      </c>
    </row>
    <row r="82" spans="1:84" s="22" customFormat="1" ht="15" customHeight="1">
      <c r="A82" s="324" t="str">
        <f t="shared" si="124"/>
        <v>BNI - Efficient Product Rebates; LED Refrigeration Strip Lighting-End of Life replacement; COM-Lighting; Retail</v>
      </c>
      <c r="B82" s="36" t="s">
        <v>77</v>
      </c>
      <c r="C82" s="15" t="s">
        <v>71</v>
      </c>
      <c r="D82" s="15" t="s">
        <v>28</v>
      </c>
      <c r="E82" s="37">
        <v>6</v>
      </c>
      <c r="F82" s="38">
        <v>444.52928352000004</v>
      </c>
      <c r="G82" s="38">
        <v>59.938201186204736</v>
      </c>
      <c r="H82" s="39">
        <v>150</v>
      </c>
      <c r="I82" s="40">
        <v>0.33333333333333331</v>
      </c>
      <c r="J82" s="39">
        <v>14.224937072640001</v>
      </c>
      <c r="K82" s="39">
        <v>64.224937072640003</v>
      </c>
      <c r="L82" s="39">
        <v>100</v>
      </c>
      <c r="M82" s="39">
        <v>164.22493707263999</v>
      </c>
      <c r="N82" s="39">
        <v>170.5517618009832</v>
      </c>
      <c r="O82" s="41">
        <v>0.76</v>
      </c>
      <c r="P82" s="41">
        <v>1.010874654555824</v>
      </c>
      <c r="Q82" s="261">
        <f t="shared" si="125"/>
        <v>1.010874654555824</v>
      </c>
      <c r="R82" s="262">
        <f t="shared" si="132"/>
        <v>0</v>
      </c>
      <c r="S82" s="262">
        <f t="shared" si="126"/>
        <v>72.508598292205136</v>
      </c>
      <c r="T82" s="261">
        <f t="shared" si="127"/>
        <v>1.4406392226667666</v>
      </c>
      <c r="U82" s="267">
        <f t="shared" si="45"/>
        <v>0.42514130330014072</v>
      </c>
      <c r="V82" s="42" t="s">
        <v>72</v>
      </c>
      <c r="W82" s="199">
        <f>0.027*W3</f>
        <v>3.4020000000000002E-2</v>
      </c>
      <c r="X82" s="199"/>
      <c r="Y82" s="333">
        <v>0</v>
      </c>
      <c r="Z82" s="334">
        <f t="shared" si="115"/>
        <v>15.122886225350403</v>
      </c>
      <c r="AA82" s="309">
        <f t="shared" si="116"/>
        <v>0.75614431126752013</v>
      </c>
      <c r="AB82" s="309">
        <f t="shared" si="117"/>
        <v>0.43856370053516169</v>
      </c>
      <c r="AC82" s="309">
        <f t="shared" si="118"/>
        <v>6.0491544901401614E-2</v>
      </c>
      <c r="AD82" s="309">
        <f t="shared" si="119"/>
        <v>0</v>
      </c>
      <c r="AE82" s="309">
        <f t="shared" si="120"/>
        <v>1.1039706944505794</v>
      </c>
      <c r="AF82" s="309">
        <f t="shared" si="121"/>
        <v>11.145567148083247</v>
      </c>
      <c r="AG82" s="309" t="s">
        <v>38</v>
      </c>
      <c r="AH82" s="309">
        <f t="shared" si="114"/>
        <v>0</v>
      </c>
      <c r="AI82" s="309">
        <f t="shared" si="122"/>
        <v>1.2551995567040835</v>
      </c>
      <c r="AJ82" s="309">
        <f t="shared" si="123"/>
        <v>0.34782638318305925</v>
      </c>
      <c r="AK82" s="309">
        <f t="shared" si="128"/>
        <v>15.107763339125054</v>
      </c>
      <c r="AL82" s="246" t="s">
        <v>456</v>
      </c>
      <c r="AM82" s="234" t="s">
        <v>331</v>
      </c>
      <c r="AN82" s="102" t="s">
        <v>72</v>
      </c>
      <c r="AO82" s="246"/>
      <c r="AP82" s="43" t="s">
        <v>77</v>
      </c>
      <c r="AQ82" s="44">
        <v>9.351184139008744</v>
      </c>
      <c r="AR82" s="45">
        <v>69.3526849840446</v>
      </c>
      <c r="AS82" s="46">
        <v>9.351184139008744</v>
      </c>
      <c r="AT82" s="45">
        <v>69.3526849840446</v>
      </c>
      <c r="AU82" s="393">
        <v>26608.421645466751</v>
      </c>
      <c r="AV82" s="295">
        <f t="shared" si="129"/>
        <v>11312.339057113408</v>
      </c>
      <c r="AW82" s="295">
        <f t="shared" si="133"/>
        <v>37920.760702580155</v>
      </c>
      <c r="AX82" s="39">
        <v>26322.177062752089</v>
      </c>
      <c r="AY82" s="41">
        <v>205.2812632525642</v>
      </c>
      <c r="AZ82" s="39">
        <v>286.2445827146621</v>
      </c>
      <c r="BA82" s="47">
        <v>1.010874654555824</v>
      </c>
      <c r="BB82" s="41">
        <f t="shared" si="134"/>
        <v>1.4406392226667664</v>
      </c>
      <c r="BC82" s="39">
        <v>13184.176214587984</v>
      </c>
      <c r="BD82" s="47">
        <v>2.0182088901409823</v>
      </c>
      <c r="BE82" s="46">
        <v>8.368155961211901</v>
      </c>
      <c r="BF82" s="45">
        <v>62.062095628543936</v>
      </c>
      <c r="BG82" s="46">
        <v>17.719340100220645</v>
      </c>
      <c r="BH82" s="45">
        <v>131.41478061258854</v>
      </c>
      <c r="BI82" s="393">
        <v>26363.652004104788</v>
      </c>
      <c r="BJ82" s="295">
        <f t="shared" si="130"/>
        <v>10007.233721773289</v>
      </c>
      <c r="BK82" s="295">
        <f t="shared" si="135"/>
        <v>36370.885725878077</v>
      </c>
      <c r="BL82" s="39">
        <v>23315.307144309241</v>
      </c>
      <c r="BM82" s="41">
        <v>181.59794978718395</v>
      </c>
      <c r="BN82" s="39">
        <v>3048.3448597955467</v>
      </c>
      <c r="BO82" s="47">
        <v>1.1307443578129994</v>
      </c>
      <c r="BP82" s="41">
        <f t="shared" si="136"/>
        <v>1.5599573919726559</v>
      </c>
      <c r="BQ82" s="39">
        <v>11693.038357929468</v>
      </c>
      <c r="BR82" s="47">
        <v>2.2546451313252258</v>
      </c>
      <c r="BS82" s="44">
        <v>9.2204610414902497</v>
      </c>
      <c r="BT82" s="45">
        <v>68.383182334158846</v>
      </c>
      <c r="BU82" s="46">
        <v>26.939801141710898</v>
      </c>
      <c r="BV82" s="45">
        <v>199.79796294674739</v>
      </c>
      <c r="BW82" s="393">
        <v>32292.800205681433</v>
      </c>
      <c r="BX82" s="295">
        <f t="shared" si="131"/>
        <v>10901.652435105723</v>
      </c>
      <c r="BY82" s="295">
        <f t="shared" si="137"/>
        <v>43194.45264078716</v>
      </c>
      <c r="BZ82" s="39">
        <v>25431.760198835062</v>
      </c>
      <c r="CA82" s="41">
        <v>197.82866939544741</v>
      </c>
      <c r="CB82" s="39">
        <v>6861.0400068463714</v>
      </c>
      <c r="CC82" s="47">
        <v>1.2697823490471829</v>
      </c>
      <c r="CD82" s="41">
        <f t="shared" si="138"/>
        <v>1.6984452630520535</v>
      </c>
      <c r="CE82" s="39">
        <v>12770.725357526428</v>
      </c>
      <c r="CF82" s="47">
        <v>2.5286582634595356</v>
      </c>
    </row>
    <row r="83" spans="1:84" s="22" customFormat="1" ht="15" customHeight="1">
      <c r="A83" s="324" t="str">
        <f t="shared" si="124"/>
        <v>BNI - Efficient Product Rebates; LED Refrigeration Strip Lighting-End of Life replacement; COM-Lighting; School</v>
      </c>
      <c r="B83" s="36" t="s">
        <v>77</v>
      </c>
      <c r="C83" s="15" t="s">
        <v>71</v>
      </c>
      <c r="D83" s="15" t="s">
        <v>57</v>
      </c>
      <c r="E83" s="37">
        <v>6</v>
      </c>
      <c r="F83" s="38">
        <v>444.52928352000004</v>
      </c>
      <c r="G83" s="38">
        <v>57.300763660177438</v>
      </c>
      <c r="H83" s="39">
        <v>150</v>
      </c>
      <c r="I83" s="40">
        <v>0.33333333333333331</v>
      </c>
      <c r="J83" s="39">
        <v>14.224937072640001</v>
      </c>
      <c r="K83" s="39">
        <v>64.224937072640003</v>
      </c>
      <c r="L83" s="39">
        <v>100</v>
      </c>
      <c r="M83" s="39">
        <v>164.22493707263999</v>
      </c>
      <c r="N83" s="39">
        <v>168.91222518444323</v>
      </c>
      <c r="O83" s="41">
        <v>0.76</v>
      </c>
      <c r="P83" s="41">
        <v>1.0011569829623144</v>
      </c>
      <c r="Q83" s="261">
        <f t="shared" si="125"/>
        <v>1.0011569829623144</v>
      </c>
      <c r="R83" s="262">
        <f t="shared" si="132"/>
        <v>0</v>
      </c>
      <c r="S83" s="262">
        <f t="shared" si="126"/>
        <v>72.508598292205136</v>
      </c>
      <c r="T83" s="261">
        <f t="shared" si="127"/>
        <v>1.4309215510732567</v>
      </c>
      <c r="U83" s="267">
        <f t="shared" si="45"/>
        <v>0.42926791244996948</v>
      </c>
      <c r="V83" s="42" t="s">
        <v>72</v>
      </c>
      <c r="W83" s="199">
        <f>0.027*W3</f>
        <v>3.4020000000000002E-2</v>
      </c>
      <c r="X83" s="199"/>
      <c r="Y83" s="333">
        <v>0</v>
      </c>
      <c r="Z83" s="334">
        <f t="shared" si="115"/>
        <v>15.122886225350403</v>
      </c>
      <c r="AA83" s="309">
        <f t="shared" si="116"/>
        <v>0.75614431126752013</v>
      </c>
      <c r="AB83" s="309">
        <f t="shared" si="117"/>
        <v>0.43856370053516169</v>
      </c>
      <c r="AC83" s="309">
        <f t="shared" si="118"/>
        <v>6.0491544901401614E-2</v>
      </c>
      <c r="AD83" s="309">
        <f t="shared" si="119"/>
        <v>0</v>
      </c>
      <c r="AE83" s="309">
        <f t="shared" si="120"/>
        <v>1.1039706944505794</v>
      </c>
      <c r="AF83" s="309">
        <f t="shared" si="121"/>
        <v>11.145567148083247</v>
      </c>
      <c r="AG83" s="309" t="s">
        <v>38</v>
      </c>
      <c r="AH83" s="309">
        <f t="shared" si="114"/>
        <v>0</v>
      </c>
      <c r="AI83" s="309">
        <f t="shared" si="122"/>
        <v>1.2551995567040835</v>
      </c>
      <c r="AJ83" s="309">
        <f t="shared" si="123"/>
        <v>0.34782638318305925</v>
      </c>
      <c r="AK83" s="309">
        <f t="shared" si="128"/>
        <v>15.107763339125054</v>
      </c>
      <c r="AL83" s="246" t="s">
        <v>456</v>
      </c>
      <c r="AM83" s="234" t="s">
        <v>331</v>
      </c>
      <c r="AN83" s="102" t="s">
        <v>72</v>
      </c>
      <c r="AO83" s="246"/>
      <c r="AP83" s="43" t="s">
        <v>77</v>
      </c>
      <c r="AQ83" s="44">
        <v>8.9104928629202647</v>
      </c>
      <c r="AR83" s="45">
        <v>69.12604222265881</v>
      </c>
      <c r="AS83" s="46">
        <v>8.9104928629202647</v>
      </c>
      <c r="AT83" s="45">
        <v>69.12604222265881</v>
      </c>
      <c r="AU83" s="393">
        <v>26266.511662774956</v>
      </c>
      <c r="AV83" s="295">
        <f t="shared" si="129"/>
        <v>11275.370628822187</v>
      </c>
      <c r="AW83" s="295">
        <f t="shared" si="133"/>
        <v>37541.88229159714</v>
      </c>
      <c r="AX83" s="39">
        <v>26236.156876272507</v>
      </c>
      <c r="AY83" s="41">
        <v>204.61040945108522</v>
      </c>
      <c r="AZ83" s="39">
        <v>30.354786502448405</v>
      </c>
      <c r="BA83" s="47">
        <v>1.0011569829623141</v>
      </c>
      <c r="BB83" s="41">
        <f t="shared" si="134"/>
        <v>1.4309215510732565</v>
      </c>
      <c r="BC83" s="39">
        <v>13141.090671403053</v>
      </c>
      <c r="BD83" s="47">
        <v>1.9988075814692268</v>
      </c>
      <c r="BE83" s="46">
        <v>7.9737916460370739</v>
      </c>
      <c r="BF83" s="45">
        <v>61.859278322568279</v>
      </c>
      <c r="BG83" s="46">
        <v>16.884284508957339</v>
      </c>
      <c r="BH83" s="45">
        <v>130.9853205452271</v>
      </c>
      <c r="BI83" s="393">
        <v>25983.518010612737</v>
      </c>
      <c r="BJ83" s="295">
        <f t="shared" si="130"/>
        <v>9974.5303435975566</v>
      </c>
      <c r="BK83" s="295">
        <f t="shared" si="135"/>
        <v>35958.048354210296</v>
      </c>
      <c r="BL83" s="39">
        <v>23239.113330112144</v>
      </c>
      <c r="BM83" s="41">
        <v>181.00449243493819</v>
      </c>
      <c r="BN83" s="39">
        <v>2744.4046805005928</v>
      </c>
      <c r="BO83" s="47">
        <v>1.1180942078777387</v>
      </c>
      <c r="BP83" s="41">
        <f t="shared" si="136"/>
        <v>1.5473072420373954</v>
      </c>
      <c r="BQ83" s="39">
        <v>11654.825814276101</v>
      </c>
      <c r="BR83" s="47">
        <v>2.2294213937359144</v>
      </c>
      <c r="BS83" s="44">
        <v>8.7859303251558405</v>
      </c>
      <c r="BT83" s="45">
        <v>68.159707882086408</v>
      </c>
      <c r="BU83" s="46">
        <v>25.670214834113178</v>
      </c>
      <c r="BV83" s="45">
        <v>199.14502842731349</v>
      </c>
      <c r="BW83" s="393">
        <v>31781.111504201159</v>
      </c>
      <c r="BX83" s="295">
        <f t="shared" si="131"/>
        <v>10866.026119958318</v>
      </c>
      <c r="BY83" s="295">
        <f t="shared" si="137"/>
        <v>42647.137624159477</v>
      </c>
      <c r="BZ83" s="39">
        <v>25348.649871387883</v>
      </c>
      <c r="CA83" s="41">
        <v>197.18217047585441</v>
      </c>
      <c r="CB83" s="39">
        <v>6432.4616328132761</v>
      </c>
      <c r="CC83" s="47">
        <v>1.2537595361271636</v>
      </c>
      <c r="CD83" s="41">
        <f t="shared" si="138"/>
        <v>1.6824224501320342</v>
      </c>
      <c r="CE83" s="39">
        <v>12728.990960933201</v>
      </c>
      <c r="CF83" s="47">
        <v>2.4967502610176409</v>
      </c>
    </row>
    <row r="84" spans="1:84" s="22" customFormat="1" ht="15" customHeight="1">
      <c r="A84" s="324" t="str">
        <f t="shared" si="124"/>
        <v xml:space="preserve">BNI - Efficient Product Rebates; LED High Bay Fixture; IND; Industrial </v>
      </c>
      <c r="B84" s="36" t="s">
        <v>78</v>
      </c>
      <c r="C84" s="15" t="s">
        <v>67</v>
      </c>
      <c r="D84" s="15" t="s">
        <v>68</v>
      </c>
      <c r="E84" s="37">
        <v>15</v>
      </c>
      <c r="F84" s="38">
        <v>1181.6822095721436</v>
      </c>
      <c r="G84" s="38">
        <v>213.14614169247471</v>
      </c>
      <c r="H84" s="39">
        <v>445</v>
      </c>
      <c r="I84" s="40">
        <v>0.449438202247191</v>
      </c>
      <c r="J84" s="39">
        <v>37.813830706308593</v>
      </c>
      <c r="K84" s="39">
        <v>237.81383070630858</v>
      </c>
      <c r="L84" s="39">
        <v>245</v>
      </c>
      <c r="M84" s="39">
        <v>482.81383070630858</v>
      </c>
      <c r="N84" s="39">
        <v>1196.5368168527762</v>
      </c>
      <c r="O84" s="41">
        <v>0.76</v>
      </c>
      <c r="P84" s="41">
        <v>2.4184429043472764</v>
      </c>
      <c r="Q84" s="261">
        <f t="shared" si="125"/>
        <v>2.4184429043472764</v>
      </c>
      <c r="R84" s="262">
        <f t="shared" si="132"/>
        <v>0</v>
      </c>
      <c r="S84" s="262">
        <f t="shared" si="126"/>
        <v>370.58051545172555</v>
      </c>
      <c r="T84" s="261">
        <f t="shared" si="127"/>
        <v>3.1674610753392143</v>
      </c>
      <c r="U84" s="267">
        <f t="shared" si="45"/>
        <v>0.30971091756829938</v>
      </c>
      <c r="V84" s="42" t="s">
        <v>72</v>
      </c>
      <c r="W84" s="199">
        <f>0.027*W3</f>
        <v>3.4020000000000002E-2</v>
      </c>
      <c r="X84" s="199"/>
      <c r="Y84" s="333">
        <v>0</v>
      </c>
      <c r="Z84" s="334">
        <f t="shared" si="115"/>
        <v>40.200828769644325</v>
      </c>
      <c r="AA84" s="309">
        <f t="shared" si="116"/>
        <v>2.0100414384822165</v>
      </c>
      <c r="AB84" s="309">
        <f t="shared" si="117"/>
        <v>1.1658240343196855</v>
      </c>
      <c r="AC84" s="309">
        <f t="shared" si="118"/>
        <v>0.16080331507857731</v>
      </c>
      <c r="AD84" s="309">
        <f t="shared" si="119"/>
        <v>0</v>
      </c>
      <c r="AE84" s="309">
        <f t="shared" si="120"/>
        <v>2.9346605001840356</v>
      </c>
      <c r="AF84" s="309">
        <f t="shared" si="121"/>
        <v>29.628010803227866</v>
      </c>
      <c r="AG84" s="309" t="s">
        <v>38</v>
      </c>
      <c r="AH84" s="309">
        <f t="shared" si="114"/>
        <v>0</v>
      </c>
      <c r="AI84" s="309">
        <f t="shared" si="122"/>
        <v>3.336668787880479</v>
      </c>
      <c r="AJ84" s="309">
        <f t="shared" si="123"/>
        <v>0.9246190617018194</v>
      </c>
      <c r="AK84" s="309">
        <f t="shared" si="128"/>
        <v>40.160627940874676</v>
      </c>
      <c r="AL84" s="246" t="s">
        <v>456</v>
      </c>
      <c r="AM84" s="234" t="s">
        <v>331</v>
      </c>
      <c r="AN84" s="102" t="s">
        <v>72</v>
      </c>
      <c r="AO84" s="246"/>
      <c r="AP84" s="43" t="s">
        <v>78</v>
      </c>
      <c r="AQ84" s="44">
        <v>415.48978549511344</v>
      </c>
      <c r="AR84" s="45">
        <v>2303.4753708415637</v>
      </c>
      <c r="AS84" s="46">
        <v>415.48978549511344</v>
      </c>
      <c r="AT84" s="45">
        <v>2303.4753708415637</v>
      </c>
      <c r="AU84" s="393">
        <v>2332431.7363832351</v>
      </c>
      <c r="AV84" s="295">
        <f t="shared" si="129"/>
        <v>722379.57324067352</v>
      </c>
      <c r="AW84" s="295">
        <f t="shared" si="133"/>
        <v>3054811.3096239087</v>
      </c>
      <c r="AX84" s="39">
        <v>964435.31174152112</v>
      </c>
      <c r="AY84" s="41">
        <v>2564.8931847265167</v>
      </c>
      <c r="AZ84" s="39">
        <v>1367996.424641714</v>
      </c>
      <c r="BA84" s="47">
        <v>2.4184429043472764</v>
      </c>
      <c r="BB84" s="41">
        <f t="shared" si="134"/>
        <v>3.1674610753392143</v>
      </c>
      <c r="BC84" s="39">
        <v>609967.07361231651</v>
      </c>
      <c r="BD84" s="47">
        <v>3.8238649876135518</v>
      </c>
      <c r="BE84" s="46">
        <v>395.67699461339851</v>
      </c>
      <c r="BF84" s="45">
        <v>2193.6332581906345</v>
      </c>
      <c r="BG84" s="46">
        <v>811.16678010851194</v>
      </c>
      <c r="BH84" s="45">
        <v>4497.1086290321982</v>
      </c>
      <c r="BI84" s="393">
        <v>2360952.686552099</v>
      </c>
      <c r="BJ84" s="295">
        <f t="shared" si="130"/>
        <v>680055.53319272411</v>
      </c>
      <c r="BK84" s="295">
        <f t="shared" si="135"/>
        <v>3041008.2197448229</v>
      </c>
      <c r="BL84" s="39">
        <v>908986.88339644764</v>
      </c>
      <c r="BM84" s="41">
        <v>2414.6167291201091</v>
      </c>
      <c r="BN84" s="39">
        <v>1451965.8031556513</v>
      </c>
      <c r="BO84" s="47">
        <v>2.5973451649052977</v>
      </c>
      <c r="BP84" s="41">
        <f t="shared" si="136"/>
        <v>3.3454918605448243</v>
      </c>
      <c r="BQ84" s="39">
        <v>575286.8514320486</v>
      </c>
      <c r="BR84" s="47">
        <v>4.1039573226383199</v>
      </c>
      <c r="BS84" s="44">
        <v>426.80549450458278</v>
      </c>
      <c r="BT84" s="45">
        <v>2366.2096615916048</v>
      </c>
      <c r="BU84" s="46">
        <v>1237.9722746130949</v>
      </c>
      <c r="BV84" s="45">
        <v>6863.3182906238035</v>
      </c>
      <c r="BW84" s="393">
        <v>2717118.9603841039</v>
      </c>
      <c r="BX84" s="295">
        <f t="shared" si="131"/>
        <v>725252.10387302318</v>
      </c>
      <c r="BY84" s="295">
        <f t="shared" si="137"/>
        <v>3442371.0642571272</v>
      </c>
      <c r="BZ84" s="39">
        <v>970526.14396292728</v>
      </c>
      <c r="CA84" s="41">
        <v>2575.0924407890589</v>
      </c>
      <c r="CB84" s="39">
        <v>1746592.8164211768</v>
      </c>
      <c r="CC84" s="47">
        <v>2.7996349993101206</v>
      </c>
      <c r="CD84" s="41">
        <f t="shared" si="138"/>
        <v>3.5469122451467117</v>
      </c>
      <c r="CE84" s="39">
        <v>614648.36864587932</v>
      </c>
      <c r="CF84" s="47">
        <v>4.420607129195087</v>
      </c>
    </row>
    <row r="85" spans="1:84" s="22" customFormat="1" ht="15" customHeight="1">
      <c r="A85" s="324" t="str">
        <f t="shared" si="124"/>
        <v>BNI - Efficient Product Rebates; LED High Bay Fixture; COM-Lighting; Other Commercial</v>
      </c>
      <c r="B85" s="36" t="s">
        <v>78</v>
      </c>
      <c r="C85" s="15" t="s">
        <v>71</v>
      </c>
      <c r="D85" s="15" t="s">
        <v>54</v>
      </c>
      <c r="E85" s="37">
        <v>15</v>
      </c>
      <c r="F85" s="38">
        <v>1179.5454036869394</v>
      </c>
      <c r="G85" s="38">
        <v>143.00195056966501</v>
      </c>
      <c r="H85" s="39">
        <v>445</v>
      </c>
      <c r="I85" s="40">
        <v>0.449438202247191</v>
      </c>
      <c r="J85" s="39">
        <v>37.745452917982064</v>
      </c>
      <c r="K85" s="39">
        <v>237.74545291798205</v>
      </c>
      <c r="L85" s="39">
        <v>245</v>
      </c>
      <c r="M85" s="39">
        <v>482.74545291798205</v>
      </c>
      <c r="N85" s="39">
        <v>1085.1009567247193</v>
      </c>
      <c r="O85" s="41">
        <v>0.76</v>
      </c>
      <c r="P85" s="41">
        <v>2.193607398918858</v>
      </c>
      <c r="Q85" s="261">
        <f t="shared" si="125"/>
        <v>2.193607398918858</v>
      </c>
      <c r="R85" s="262">
        <f t="shared" si="132"/>
        <v>0</v>
      </c>
      <c r="S85" s="262">
        <f t="shared" si="126"/>
        <v>369.9104041308097</v>
      </c>
      <c r="T85" s="261">
        <f t="shared" si="127"/>
        <v>2.9414071261328707</v>
      </c>
      <c r="U85" s="267">
        <f t="shared" si="45"/>
        <v>0.34089952813916174</v>
      </c>
      <c r="V85" s="42" t="s">
        <v>72</v>
      </c>
      <c r="W85" s="199">
        <f>0.027*W3</f>
        <v>3.4020000000000002E-2</v>
      </c>
      <c r="X85" s="199"/>
      <c r="Y85" s="333">
        <v>0</v>
      </c>
      <c r="Z85" s="334">
        <f t="shared" si="115"/>
        <v>40.128134633429681</v>
      </c>
      <c r="AA85" s="309">
        <f t="shared" si="116"/>
        <v>2.006406731671484</v>
      </c>
      <c r="AB85" s="309">
        <f t="shared" si="117"/>
        <v>1.1637159043694607</v>
      </c>
      <c r="AC85" s="309">
        <f t="shared" si="118"/>
        <v>0.16051253853371872</v>
      </c>
      <c r="AD85" s="309">
        <f t="shared" si="119"/>
        <v>0</v>
      </c>
      <c r="AE85" s="309">
        <f t="shared" si="120"/>
        <v>2.9293538282403664</v>
      </c>
      <c r="AF85" s="309">
        <f t="shared" si="121"/>
        <v>29.574435224837675</v>
      </c>
      <c r="AG85" s="309" t="s">
        <v>38</v>
      </c>
      <c r="AH85" s="309">
        <f t="shared" si="114"/>
        <v>0</v>
      </c>
      <c r="AI85" s="309">
        <f t="shared" si="122"/>
        <v>3.3306351745746636</v>
      </c>
      <c r="AJ85" s="309">
        <f t="shared" si="123"/>
        <v>0.92294709656888263</v>
      </c>
      <c r="AK85" s="309">
        <f t="shared" si="128"/>
        <v>40.088006498796254</v>
      </c>
      <c r="AL85" s="246" t="s">
        <v>456</v>
      </c>
      <c r="AM85" s="234" t="s">
        <v>331</v>
      </c>
      <c r="AN85" s="102" t="s">
        <v>72</v>
      </c>
      <c r="AO85" s="246"/>
      <c r="AP85" s="43" t="s">
        <v>78</v>
      </c>
      <c r="AQ85" s="44">
        <v>311.61525689310662</v>
      </c>
      <c r="AR85" s="45">
        <v>2570.3449674829826</v>
      </c>
      <c r="AS85" s="46">
        <v>311.61525689310662</v>
      </c>
      <c r="AT85" s="45">
        <v>2570.3449674829826</v>
      </c>
      <c r="AU85" s="393">
        <v>2364541.2670088252</v>
      </c>
      <c r="AV85" s="295">
        <f t="shared" si="129"/>
        <v>806071.00218888419</v>
      </c>
      <c r="AW85" s="295">
        <f t="shared" si="133"/>
        <v>3170612.2691977094</v>
      </c>
      <c r="AX85" s="39">
        <v>1077923.6376455578</v>
      </c>
      <c r="AY85" s="41">
        <v>2867.2341406951991</v>
      </c>
      <c r="AZ85" s="39">
        <v>1286617.6293632674</v>
      </c>
      <c r="BA85" s="47">
        <v>2.1936073989188576</v>
      </c>
      <c r="BB85" s="41">
        <f t="shared" si="134"/>
        <v>2.9414071261328703</v>
      </c>
      <c r="BC85" s="39">
        <v>681671.87940148113</v>
      </c>
      <c r="BD85" s="47">
        <v>3.4687381692859773</v>
      </c>
      <c r="BE85" s="46">
        <v>314.59292389472921</v>
      </c>
      <c r="BF85" s="45">
        <v>2594.9061249460983</v>
      </c>
      <c r="BG85" s="46">
        <v>626.20818078783577</v>
      </c>
      <c r="BH85" s="45">
        <v>5165.2510924290809</v>
      </c>
      <c r="BI85" s="393">
        <v>2524521.2429059912</v>
      </c>
      <c r="BJ85" s="295">
        <f t="shared" si="130"/>
        <v>804455.46756563988</v>
      </c>
      <c r="BK85" s="295">
        <f t="shared" si="135"/>
        <v>3328976.710471631</v>
      </c>
      <c r="BL85" s="39">
        <v>1077014.3131710675</v>
      </c>
      <c r="BM85" s="41">
        <v>2861.4876047018902</v>
      </c>
      <c r="BN85" s="39">
        <v>1447506.9297349236</v>
      </c>
      <c r="BO85" s="47">
        <v>2.3439997147976706</v>
      </c>
      <c r="BP85" s="41">
        <f t="shared" si="136"/>
        <v>3.0909307980040497</v>
      </c>
      <c r="BQ85" s="39">
        <v>681556.7262012664</v>
      </c>
      <c r="BR85" s="47">
        <v>3.7040515423810665</v>
      </c>
      <c r="BS85" s="44">
        <v>362.73556391234558</v>
      </c>
      <c r="BT85" s="45">
        <v>2992.0086087088644</v>
      </c>
      <c r="BU85" s="46">
        <v>988.94374470018147</v>
      </c>
      <c r="BV85" s="45">
        <v>8157.2597011379457</v>
      </c>
      <c r="BW85" s="393">
        <v>3092064.5002634297</v>
      </c>
      <c r="BX85" s="295">
        <f t="shared" si="131"/>
        <v>917061.81979356031</v>
      </c>
      <c r="BY85" s="295">
        <f t="shared" si="137"/>
        <v>4009126.3200569898</v>
      </c>
      <c r="BZ85" s="39">
        <v>1229199.184845085</v>
      </c>
      <c r="CA85" s="41">
        <v>3262.0339296413717</v>
      </c>
      <c r="CB85" s="39">
        <v>1862865.3154183447</v>
      </c>
      <c r="CC85" s="47">
        <v>2.5155113494914332</v>
      </c>
      <c r="CD85" s="41">
        <f t="shared" si="138"/>
        <v>3.261575804382149</v>
      </c>
      <c r="CE85" s="39">
        <v>778386.09576864762</v>
      </c>
      <c r="CF85" s="47">
        <v>3.9724045908220527</v>
      </c>
    </row>
    <row r="86" spans="1:84" s="22" customFormat="1" ht="15" customHeight="1">
      <c r="A86" s="324" t="str">
        <f t="shared" si="124"/>
        <v>BNI - Efficient Product Rebates; LED High Bay Fixture; COM-Lighting; Retail</v>
      </c>
      <c r="B86" s="36" t="s">
        <v>78</v>
      </c>
      <c r="C86" s="15" t="s">
        <v>71</v>
      </c>
      <c r="D86" s="15" t="s">
        <v>28</v>
      </c>
      <c r="E86" s="37">
        <v>15</v>
      </c>
      <c r="F86" s="38">
        <v>1184.9800152768564</v>
      </c>
      <c r="G86" s="38">
        <v>159.77703424818498</v>
      </c>
      <c r="H86" s="39">
        <v>445</v>
      </c>
      <c r="I86" s="40">
        <v>0.449438202247191</v>
      </c>
      <c r="J86" s="39">
        <v>37.919360488859404</v>
      </c>
      <c r="K86" s="39">
        <v>237.91936048885941</v>
      </c>
      <c r="L86" s="39">
        <v>245</v>
      </c>
      <c r="M86" s="39">
        <v>482.91936048885941</v>
      </c>
      <c r="N86" s="39">
        <v>1115.3453504357492</v>
      </c>
      <c r="O86" s="41">
        <v>0.76</v>
      </c>
      <c r="P86" s="41">
        <v>2.2537060182954263</v>
      </c>
      <c r="Q86" s="261">
        <f t="shared" si="125"/>
        <v>2.2537060182954263</v>
      </c>
      <c r="R86" s="262">
        <f t="shared" si="132"/>
        <v>0</v>
      </c>
      <c r="S86" s="262">
        <f t="shared" si="126"/>
        <v>371.61472120350265</v>
      </c>
      <c r="T86" s="261">
        <f t="shared" si="127"/>
        <v>3.0046037858221459</v>
      </c>
      <c r="U86" s="267">
        <f t="shared" si="45"/>
        <v>0.33318354808967304</v>
      </c>
      <c r="V86" s="42" t="s">
        <v>72</v>
      </c>
      <c r="W86" s="199">
        <f>0.027*W3</f>
        <v>3.4020000000000002E-2</v>
      </c>
      <c r="X86" s="199"/>
      <c r="Y86" s="333">
        <v>0</v>
      </c>
      <c r="Z86" s="334">
        <f t="shared" si="115"/>
        <v>40.313020119718658</v>
      </c>
      <c r="AA86" s="309">
        <f t="shared" si="116"/>
        <v>2.0156510059859332</v>
      </c>
      <c r="AB86" s="309">
        <f t="shared" si="117"/>
        <v>1.1690775834718412</v>
      </c>
      <c r="AC86" s="309">
        <f t="shared" si="118"/>
        <v>0.16125208047887463</v>
      </c>
      <c r="AD86" s="309">
        <f t="shared" si="119"/>
        <v>0</v>
      </c>
      <c r="AE86" s="309">
        <f t="shared" si="120"/>
        <v>2.9428504687394619</v>
      </c>
      <c r="AF86" s="309">
        <f t="shared" si="121"/>
        <v>29.710695828232652</v>
      </c>
      <c r="AG86" s="309" t="s">
        <v>38</v>
      </c>
      <c r="AH86" s="309">
        <f t="shared" si="114"/>
        <v>0</v>
      </c>
      <c r="AI86" s="309">
        <f t="shared" si="122"/>
        <v>3.3459806699366488</v>
      </c>
      <c r="AJ86" s="309">
        <f t="shared" si="123"/>
        <v>0.92719946275352916</v>
      </c>
      <c r="AK86" s="309">
        <f t="shared" si="128"/>
        <v>40.272707099598939</v>
      </c>
      <c r="AL86" s="246" t="s">
        <v>456</v>
      </c>
      <c r="AM86" s="234" t="s">
        <v>331</v>
      </c>
      <c r="AN86" s="102" t="s">
        <v>72</v>
      </c>
      <c r="AO86" s="246"/>
      <c r="AP86" s="43" t="s">
        <v>78</v>
      </c>
      <c r="AQ86" s="44">
        <v>498.12901174323281</v>
      </c>
      <c r="AR86" s="45">
        <v>3694.3539897508563</v>
      </c>
      <c r="AS86" s="46">
        <v>498.12901174323281</v>
      </c>
      <c r="AT86" s="45">
        <v>3694.3539897508563</v>
      </c>
      <c r="AU86" s="393">
        <v>3477257.4154929323</v>
      </c>
      <c r="AV86" s="295">
        <f t="shared" si="129"/>
        <v>1158564.9633150615</v>
      </c>
      <c r="AW86" s="295">
        <f t="shared" si="133"/>
        <v>4635822.3788079936</v>
      </c>
      <c r="AX86" s="39">
        <v>1542906.3894158341</v>
      </c>
      <c r="AY86" s="41">
        <v>4102.1722131252391</v>
      </c>
      <c r="AZ86" s="39">
        <v>1934351.0260770982</v>
      </c>
      <c r="BA86" s="47">
        <v>2.2537060182954267</v>
      </c>
      <c r="BB86" s="41">
        <f t="shared" si="134"/>
        <v>3.0046037858221459</v>
      </c>
      <c r="BC86" s="39">
        <v>975986.18956192606</v>
      </c>
      <c r="BD86" s="47">
        <v>3.5628141593414435</v>
      </c>
      <c r="BE86" s="46">
        <v>502.86901935288415</v>
      </c>
      <c r="BF86" s="45">
        <v>3729.5080675326003</v>
      </c>
      <c r="BG86" s="46">
        <v>1000.9980310961171</v>
      </c>
      <c r="BH86" s="45">
        <v>7423.862057283457</v>
      </c>
      <c r="BI86" s="393">
        <v>3717030.2842707224</v>
      </c>
      <c r="BJ86" s="295">
        <f t="shared" si="130"/>
        <v>1156197.1847128321</v>
      </c>
      <c r="BK86" s="295">
        <f t="shared" si="135"/>
        <v>4873227.4689835543</v>
      </c>
      <c r="BL86" s="39">
        <v>1541551.2012139473</v>
      </c>
      <c r="BM86" s="41">
        <v>4093.7885351300879</v>
      </c>
      <c r="BN86" s="39">
        <v>2175479.0830567749</v>
      </c>
      <c r="BO86" s="47">
        <v>2.4112272633848422</v>
      </c>
      <c r="BP86" s="41">
        <f t="shared" si="136"/>
        <v>3.1612491788439883</v>
      </c>
      <c r="BQ86" s="39">
        <v>975789.62565896916</v>
      </c>
      <c r="BR86" s="47">
        <v>3.8092537433573774</v>
      </c>
      <c r="BS86" s="44">
        <v>579.79202572825011</v>
      </c>
      <c r="BT86" s="45">
        <v>4300.0044827322608</v>
      </c>
      <c r="BU86" s="46">
        <v>1580.7900568243674</v>
      </c>
      <c r="BV86" s="45">
        <v>11723.866540015719</v>
      </c>
      <c r="BW86" s="393">
        <v>4557381.2766174078</v>
      </c>
      <c r="BX86" s="295">
        <f t="shared" si="131"/>
        <v>1317967.4432008362</v>
      </c>
      <c r="BY86" s="295">
        <f t="shared" si="137"/>
        <v>5875348.7198182438</v>
      </c>
      <c r="BZ86" s="39">
        <v>1759288.2312505222</v>
      </c>
      <c r="CA86" s="41">
        <v>4666.5742487432099</v>
      </c>
      <c r="CB86" s="39">
        <v>2798093.0453668856</v>
      </c>
      <c r="CC86" s="47">
        <v>2.5904688019074449</v>
      </c>
      <c r="CD86" s="41">
        <f t="shared" si="138"/>
        <v>3.3396169061177536</v>
      </c>
      <c r="CE86" s="39">
        <v>1114367.6700742107</v>
      </c>
      <c r="CF86" s="47">
        <v>4.0896567614115291</v>
      </c>
    </row>
    <row r="87" spans="1:84" s="22" customFormat="1" ht="15" customHeight="1">
      <c r="A87" s="324" t="str">
        <f t="shared" si="124"/>
        <v>BNI - Efficient Product Rebates; LED High Bay Fixture; COM-Lighting; School</v>
      </c>
      <c r="B87" s="36" t="s">
        <v>78</v>
      </c>
      <c r="C87" s="15" t="s">
        <v>71</v>
      </c>
      <c r="D87" s="15" t="s">
        <v>57</v>
      </c>
      <c r="E87" s="37">
        <v>15</v>
      </c>
      <c r="F87" s="38">
        <v>1187.2524633643188</v>
      </c>
      <c r="G87" s="38">
        <v>153.03935045516863</v>
      </c>
      <c r="H87" s="39">
        <v>445</v>
      </c>
      <c r="I87" s="40">
        <v>0.449438202247191</v>
      </c>
      <c r="J87" s="39">
        <v>37.992078827658204</v>
      </c>
      <c r="K87" s="39">
        <v>237.99207882765819</v>
      </c>
      <c r="L87" s="39">
        <v>245</v>
      </c>
      <c r="M87" s="39">
        <v>482.99207882765819</v>
      </c>
      <c r="N87" s="39">
        <v>1106.4501886654953</v>
      </c>
      <c r="O87" s="41">
        <v>0.76</v>
      </c>
      <c r="P87" s="41">
        <v>2.23529997230753</v>
      </c>
      <c r="Q87" s="261">
        <f t="shared" si="125"/>
        <v>2.23529997230753</v>
      </c>
      <c r="R87" s="262">
        <f t="shared" si="132"/>
        <v>0</v>
      </c>
      <c r="S87" s="262">
        <f t="shared" si="126"/>
        <v>372.32737049005999</v>
      </c>
      <c r="T87" s="261">
        <f t="shared" si="127"/>
        <v>2.9874923163203868</v>
      </c>
      <c r="U87" s="267">
        <f t="shared" si="45"/>
        <v>0.33650621989511265</v>
      </c>
      <c r="V87" s="42" t="s">
        <v>72</v>
      </c>
      <c r="W87" s="199">
        <f>0.027*W3</f>
        <v>3.4020000000000002E-2</v>
      </c>
      <c r="X87" s="199"/>
      <c r="Y87" s="333">
        <v>0</v>
      </c>
      <c r="Z87" s="334">
        <f t="shared" si="115"/>
        <v>40.390328803654128</v>
      </c>
      <c r="AA87" s="309">
        <f t="shared" si="116"/>
        <v>2.0195164401827066</v>
      </c>
      <c r="AB87" s="309">
        <f t="shared" si="117"/>
        <v>1.1713195353059698</v>
      </c>
      <c r="AC87" s="309">
        <f t="shared" si="118"/>
        <v>0.16156131521461653</v>
      </c>
      <c r="AD87" s="309">
        <f t="shared" si="119"/>
        <v>0</v>
      </c>
      <c r="AE87" s="309">
        <f t="shared" si="120"/>
        <v>2.948494002666751</v>
      </c>
      <c r="AF87" s="309">
        <f t="shared" si="121"/>
        <v>29.767672328293092</v>
      </c>
      <c r="AG87" s="309" t="s">
        <v>38</v>
      </c>
      <c r="AH87" s="309">
        <f t="shared" si="114"/>
        <v>0</v>
      </c>
      <c r="AI87" s="309">
        <f t="shared" si="122"/>
        <v>3.3523972907032928</v>
      </c>
      <c r="AJ87" s="309">
        <f t="shared" si="123"/>
        <v>0.92897756248404495</v>
      </c>
      <c r="AK87" s="309">
        <f t="shared" si="128"/>
        <v>40.349938474850475</v>
      </c>
      <c r="AL87" s="246" t="s">
        <v>456</v>
      </c>
      <c r="AM87" s="234" t="s">
        <v>331</v>
      </c>
      <c r="AN87" s="102" t="s">
        <v>72</v>
      </c>
      <c r="AO87" s="246"/>
      <c r="AP87" s="43" t="s">
        <v>78</v>
      </c>
      <c r="AQ87" s="44">
        <v>475.55903448415108</v>
      </c>
      <c r="AR87" s="45">
        <v>3689.3036561329495</v>
      </c>
      <c r="AS87" s="46">
        <v>475.55903448415108</v>
      </c>
      <c r="AT87" s="45">
        <v>3689.3036561329495</v>
      </c>
      <c r="AU87" s="393">
        <v>3438216.2617758214</v>
      </c>
      <c r="AV87" s="295">
        <f t="shared" si="129"/>
        <v>1156981.1574320865</v>
      </c>
      <c r="AW87" s="295">
        <f t="shared" si="133"/>
        <v>4595197.4192079082</v>
      </c>
      <c r="AX87" s="39">
        <v>1538145.3515728831</v>
      </c>
      <c r="AY87" s="41">
        <v>4088.7233893022531</v>
      </c>
      <c r="AZ87" s="39">
        <v>1900070.9102029384</v>
      </c>
      <c r="BA87" s="47">
        <v>2.23529997230753</v>
      </c>
      <c r="BB87" s="41">
        <f t="shared" si="134"/>
        <v>2.9874923163203868</v>
      </c>
      <c r="BC87" s="39">
        <v>973083.77917131165</v>
      </c>
      <c r="BD87" s="47">
        <v>3.5333198799222019</v>
      </c>
      <c r="BE87" s="46">
        <v>480.07619244942657</v>
      </c>
      <c r="BF87" s="45">
        <v>3724.3469760747062</v>
      </c>
      <c r="BG87" s="46">
        <v>955.63522693357766</v>
      </c>
      <c r="BH87" s="45">
        <v>7413.6506322076557</v>
      </c>
      <c r="BI87" s="393">
        <v>3673252.8485322865</v>
      </c>
      <c r="BJ87" s="295">
        <f t="shared" si="130"/>
        <v>1154597.1776058332</v>
      </c>
      <c r="BK87" s="295">
        <f t="shared" si="135"/>
        <v>4827850.0261381194</v>
      </c>
      <c r="BL87" s="39">
        <v>1536771.5634176882</v>
      </c>
      <c r="BM87" s="41">
        <v>4080.2985035445099</v>
      </c>
      <c r="BN87" s="39">
        <v>2136481.2851145985</v>
      </c>
      <c r="BO87" s="47">
        <v>2.3902399914032708</v>
      </c>
      <c r="BP87" s="41">
        <f t="shared" si="136"/>
        <v>3.1415534625076411</v>
      </c>
      <c r="BQ87" s="39">
        <v>972874.31022783695</v>
      </c>
      <c r="BR87" s="47">
        <v>3.7756705156209227</v>
      </c>
      <c r="BS87" s="44">
        <v>553.49976232913264</v>
      </c>
      <c r="BT87" s="45">
        <v>4293.9541650062838</v>
      </c>
      <c r="BU87" s="46">
        <v>1509.1349892627102</v>
      </c>
      <c r="BV87" s="45">
        <v>11707.604797213939</v>
      </c>
      <c r="BW87" s="393">
        <v>4501489.8521061027</v>
      </c>
      <c r="BX87" s="295">
        <f t="shared" si="131"/>
        <v>1316112.9982076085</v>
      </c>
      <c r="BY87" s="295">
        <f t="shared" si="137"/>
        <v>5817602.850313711</v>
      </c>
      <c r="BZ87" s="39">
        <v>1753796.2717459882</v>
      </c>
      <c r="CA87" s="41">
        <v>4651.0887097589011</v>
      </c>
      <c r="CB87" s="39">
        <v>2747693.5803601146</v>
      </c>
      <c r="CC87" s="47">
        <v>2.5667119520243102</v>
      </c>
      <c r="CD87" s="41">
        <f t="shared" si="138"/>
        <v>3.3171486016001213</v>
      </c>
      <c r="CE87" s="39">
        <v>1111015.8120573079</v>
      </c>
      <c r="CF87" s="47">
        <v>4.0516883767572418</v>
      </c>
    </row>
    <row r="88" spans="1:84" s="22" customFormat="1" ht="15" customHeight="1">
      <c r="A88" s="324" t="str">
        <f t="shared" si="124"/>
        <v xml:space="preserve">BNI - Efficient Product Rebates; LED Low Bay Fixture; IND; Industrial </v>
      </c>
      <c r="B88" s="36" t="s">
        <v>79</v>
      </c>
      <c r="C88" s="15" t="s">
        <v>67</v>
      </c>
      <c r="D88" s="15" t="s">
        <v>68</v>
      </c>
      <c r="E88" s="37">
        <v>15</v>
      </c>
      <c r="F88" s="38">
        <v>174.26441357214355</v>
      </c>
      <c r="G88" s="38">
        <v>31.432975030277319</v>
      </c>
      <c r="H88" s="39">
        <v>160</v>
      </c>
      <c r="I88" s="40">
        <v>0.25</v>
      </c>
      <c r="J88" s="39">
        <v>5.576461234308594</v>
      </c>
      <c r="K88" s="39">
        <v>45.576461234308596</v>
      </c>
      <c r="L88" s="39">
        <v>120</v>
      </c>
      <c r="M88" s="39">
        <v>165.5764612343086</v>
      </c>
      <c r="N88" s="39">
        <v>176.45504435733679</v>
      </c>
      <c r="O88" s="41">
        <v>0.76</v>
      </c>
      <c r="P88" s="41">
        <v>1.0544862815808405</v>
      </c>
      <c r="Q88" s="261">
        <f t="shared" si="125"/>
        <v>1.0544862815808405</v>
      </c>
      <c r="R88" s="262">
        <f t="shared" si="132"/>
        <v>0</v>
      </c>
      <c r="S88" s="262">
        <f t="shared" si="126"/>
        <v>54.650053697465765</v>
      </c>
      <c r="T88" s="261">
        <f t="shared" si="127"/>
        <v>1.3810721954124268</v>
      </c>
      <c r="U88" s="267">
        <f t="shared" si="45"/>
        <v>0.30971091756829949</v>
      </c>
      <c r="V88" s="42" t="s">
        <v>72</v>
      </c>
      <c r="W88" s="199">
        <f>0.027*W3</f>
        <v>3.4020000000000002E-2</v>
      </c>
      <c r="X88" s="199"/>
      <c r="Y88" s="333">
        <v>0</v>
      </c>
      <c r="Z88" s="334">
        <f t="shared" si="115"/>
        <v>5.9284753497243239</v>
      </c>
      <c r="AA88" s="309">
        <f t="shared" si="116"/>
        <v>0.29642376748621618</v>
      </c>
      <c r="AB88" s="309">
        <f t="shared" si="117"/>
        <v>0.17192578514200541</v>
      </c>
      <c r="AC88" s="309">
        <f t="shared" si="118"/>
        <v>2.3713901398897296E-2</v>
      </c>
      <c r="AD88" s="309">
        <f t="shared" si="119"/>
        <v>0</v>
      </c>
      <c r="AE88" s="309">
        <f t="shared" si="120"/>
        <v>0.4327787005298756</v>
      </c>
      <c r="AF88" s="309">
        <f t="shared" si="121"/>
        <v>4.3692863327468263</v>
      </c>
      <c r="AG88" s="309" t="s">
        <v>38</v>
      </c>
      <c r="AH88" s="309">
        <f t="shared" ref="AH88:AH121" si="139">Z88*0</f>
        <v>0</v>
      </c>
      <c r="AI88" s="309">
        <f t="shared" si="122"/>
        <v>0.49206345402711893</v>
      </c>
      <c r="AJ88" s="309">
        <f t="shared" si="123"/>
        <v>0.13635493304365945</v>
      </c>
      <c r="AK88" s="309">
        <f t="shared" si="128"/>
        <v>5.922546874374599</v>
      </c>
      <c r="AL88" s="246" t="s">
        <v>456</v>
      </c>
      <c r="AM88" s="234" t="s">
        <v>331</v>
      </c>
      <c r="AN88" s="102" t="s">
        <v>72</v>
      </c>
      <c r="AO88" s="246"/>
      <c r="AP88" s="43" t="s">
        <v>79</v>
      </c>
      <c r="AQ88" s="44">
        <v>41.210814778969706</v>
      </c>
      <c r="AR88" s="45">
        <v>228.4727571402274</v>
      </c>
      <c r="AS88" s="46">
        <v>41.210814778969706</v>
      </c>
      <c r="AT88" s="45">
        <v>228.4727571402274</v>
      </c>
      <c r="AU88" s="393">
        <v>231344.82634305494</v>
      </c>
      <c r="AV88" s="295">
        <f t="shared" si="129"/>
        <v>71650.018441386448</v>
      </c>
      <c r="AW88" s="295">
        <f t="shared" si="133"/>
        <v>302994.8447844414</v>
      </c>
      <c r="AX88" s="39">
        <v>219391.02516936755</v>
      </c>
      <c r="AY88" s="41">
        <v>1725.091444124741</v>
      </c>
      <c r="AZ88" s="39">
        <v>11953.801173687389</v>
      </c>
      <c r="BA88" s="47">
        <v>1.0544862815808402</v>
      </c>
      <c r="BB88" s="41">
        <f t="shared" si="134"/>
        <v>1.3810721954124268</v>
      </c>
      <c r="BC88" s="39">
        <v>78623.563328788689</v>
      </c>
      <c r="BD88" s="47">
        <v>2.9424362945191782</v>
      </c>
      <c r="BE88" s="46">
        <v>31.610171913989721</v>
      </c>
      <c r="BF88" s="45">
        <v>175.24679309546926</v>
      </c>
      <c r="BG88" s="46">
        <v>72.820986692959423</v>
      </c>
      <c r="BH88" s="45">
        <v>403.71955023569666</v>
      </c>
      <c r="BI88" s="393">
        <v>188613.74636052843</v>
      </c>
      <c r="BJ88" s="295">
        <f t="shared" si="130"/>
        <v>54328.84046312968</v>
      </c>
      <c r="BK88" s="295">
        <f t="shared" si="135"/>
        <v>242942.58682365812</v>
      </c>
      <c r="BL88" s="39">
        <v>166438.39025494253</v>
      </c>
      <c r="BM88" s="41">
        <v>1308.0557394250056</v>
      </c>
      <c r="BN88" s="39">
        <v>22175.356105585903</v>
      </c>
      <c r="BO88" s="47">
        <v>1.1332346225628518</v>
      </c>
      <c r="BP88" s="41">
        <f t="shared" si="136"/>
        <v>1.459654749433289</v>
      </c>
      <c r="BQ88" s="39">
        <v>59701.041917862087</v>
      </c>
      <c r="BR88" s="47">
        <v>3.159304097573826</v>
      </c>
      <c r="BS88" s="44">
        <v>29.815805537534228</v>
      </c>
      <c r="BT88" s="45">
        <v>165.29882590415534</v>
      </c>
      <c r="BU88" s="46">
        <v>102.63679223049364</v>
      </c>
      <c r="BV88" s="45">
        <v>569.01837613985197</v>
      </c>
      <c r="BW88" s="393">
        <v>189812.67014661105</v>
      </c>
      <c r="BX88" s="295">
        <f t="shared" si="131"/>
        <v>50664.707866204481</v>
      </c>
      <c r="BY88" s="295">
        <f t="shared" si="137"/>
        <v>240477.37801281555</v>
      </c>
      <c r="BZ88" s="39">
        <v>155291.97789354846</v>
      </c>
      <c r="CA88" s="41">
        <v>1219.8357510621956</v>
      </c>
      <c r="CB88" s="39">
        <v>34520.692253062589</v>
      </c>
      <c r="CC88" s="47">
        <v>1.2222953994231838</v>
      </c>
      <c r="CD88" s="41">
        <f t="shared" si="138"/>
        <v>1.5485499075661273</v>
      </c>
      <c r="CE88" s="39">
        <v>55753.38060687331</v>
      </c>
      <c r="CF88" s="47">
        <v>3.4045051274112486</v>
      </c>
    </row>
    <row r="89" spans="1:84" s="22" customFormat="1" ht="15" customHeight="1">
      <c r="A89" s="324" t="str">
        <f t="shared" si="124"/>
        <v>BNI - Efficient Product Rebates; LED Low Bay Fixture; COM-Lighting; Office</v>
      </c>
      <c r="B89" s="36" t="s">
        <v>79</v>
      </c>
      <c r="C89" s="15" t="s">
        <v>71</v>
      </c>
      <c r="D89" s="15" t="s">
        <v>64</v>
      </c>
      <c r="E89" s="37">
        <v>15</v>
      </c>
      <c r="F89" s="38">
        <v>185.81994557938296</v>
      </c>
      <c r="G89" s="38">
        <v>21.236558267853511</v>
      </c>
      <c r="H89" s="39">
        <v>160</v>
      </c>
      <c r="I89" s="40">
        <v>0.25</v>
      </c>
      <c r="J89" s="39">
        <v>5.9462382585402551</v>
      </c>
      <c r="K89" s="39">
        <v>45.946238258540255</v>
      </c>
      <c r="L89" s="39">
        <v>120</v>
      </c>
      <c r="M89" s="39">
        <v>165.94623825854026</v>
      </c>
      <c r="N89" s="39">
        <v>168.91891081922807</v>
      </c>
      <c r="O89" s="41">
        <v>0.76</v>
      </c>
      <c r="P89" s="41">
        <v>1.0065241748830438</v>
      </c>
      <c r="Q89" s="261">
        <f t="shared" si="125"/>
        <v>1.0065241748830438</v>
      </c>
      <c r="R89" s="262">
        <f t="shared" si="132"/>
        <v>0</v>
      </c>
      <c r="S89" s="262">
        <f t="shared" si="126"/>
        <v>58.273917180281664</v>
      </c>
      <c r="T89" s="261">
        <f t="shared" si="127"/>
        <v>1.353756501462841</v>
      </c>
      <c r="U89" s="267">
        <f t="shared" si="45"/>
        <v>0.34498160624919411</v>
      </c>
      <c r="V89" s="42" t="s">
        <v>72</v>
      </c>
      <c r="W89" s="199">
        <f>0.027*W3</f>
        <v>3.4020000000000002E-2</v>
      </c>
      <c r="X89" s="199"/>
      <c r="Y89" s="333">
        <v>0</v>
      </c>
      <c r="Z89" s="334">
        <f t="shared" si="115"/>
        <v>6.3215945486106087</v>
      </c>
      <c r="AA89" s="309">
        <f t="shared" si="116"/>
        <v>0.31607972743053048</v>
      </c>
      <c r="AB89" s="309">
        <f t="shared" si="117"/>
        <v>0.18332624190970767</v>
      </c>
      <c r="AC89" s="309">
        <f t="shared" si="118"/>
        <v>2.5286378194442436E-2</v>
      </c>
      <c r="AD89" s="309">
        <f t="shared" si="119"/>
        <v>0</v>
      </c>
      <c r="AE89" s="309">
        <f t="shared" si="120"/>
        <v>0.46147640204857443</v>
      </c>
      <c r="AF89" s="309">
        <f t="shared" si="121"/>
        <v>4.6590151823260184</v>
      </c>
      <c r="AG89" s="309" t="s">
        <v>38</v>
      </c>
      <c r="AH89" s="309">
        <f t="shared" si="139"/>
        <v>0</v>
      </c>
      <c r="AI89" s="309">
        <f t="shared" si="122"/>
        <v>0.52469234753468053</v>
      </c>
      <c r="AJ89" s="309">
        <f t="shared" si="123"/>
        <v>0.14539667461804401</v>
      </c>
      <c r="AK89" s="309">
        <f t="shared" si="128"/>
        <v>6.3152729540619985</v>
      </c>
      <c r="AL89" s="246" t="s">
        <v>456</v>
      </c>
      <c r="AM89" s="234" t="s">
        <v>331</v>
      </c>
      <c r="AN89" s="102" t="s">
        <v>72</v>
      </c>
      <c r="AO89" s="246"/>
      <c r="AP89" s="43" t="s">
        <v>79</v>
      </c>
      <c r="AQ89" s="44">
        <v>32.935549185973791</v>
      </c>
      <c r="AR89" s="45">
        <v>288.18614957155813</v>
      </c>
      <c r="AS89" s="46">
        <v>32.935549185973791</v>
      </c>
      <c r="AT89" s="45">
        <v>288.18614957155813</v>
      </c>
      <c r="AU89" s="393">
        <v>261974.5170360005</v>
      </c>
      <c r="AV89" s="295">
        <f t="shared" si="129"/>
        <v>90376.389683436297</v>
      </c>
      <c r="AW89" s="295">
        <f t="shared" si="133"/>
        <v>352350.90671943681</v>
      </c>
      <c r="AX89" s="39">
        <v>260276.42810113469</v>
      </c>
      <c r="AY89" s="41">
        <v>2040.6437042349</v>
      </c>
      <c r="AZ89" s="39">
        <v>1698.0889348658093</v>
      </c>
      <c r="BA89" s="47">
        <v>1.006524174883044</v>
      </c>
      <c r="BB89" s="41">
        <f t="shared" si="134"/>
        <v>1.3537565014628412</v>
      </c>
      <c r="BC89" s="39">
        <v>93759.901835566867</v>
      </c>
      <c r="BD89" s="47">
        <v>2.7940997367450646</v>
      </c>
      <c r="BE89" s="46">
        <v>36.488371274626836</v>
      </c>
      <c r="BF89" s="45">
        <v>319.27335300819419</v>
      </c>
      <c r="BG89" s="46">
        <v>69.423920460600627</v>
      </c>
      <c r="BH89" s="45">
        <v>607.45950257975232</v>
      </c>
      <c r="BI89" s="393">
        <v>306734.24709582474</v>
      </c>
      <c r="BJ89" s="295">
        <f t="shared" si="130"/>
        <v>98978.992729762627</v>
      </c>
      <c r="BK89" s="295">
        <f t="shared" si="135"/>
        <v>405713.23982558737</v>
      </c>
      <c r="BL89" s="39">
        <v>285205.1324097779</v>
      </c>
      <c r="BM89" s="41">
        <v>2234.8852291288199</v>
      </c>
      <c r="BN89" s="39">
        <v>21529.114686046843</v>
      </c>
      <c r="BO89" s="47">
        <v>1.0754864209635406</v>
      </c>
      <c r="BP89" s="41">
        <f t="shared" si="136"/>
        <v>1.4225313422574228</v>
      </c>
      <c r="BQ89" s="39">
        <v>102838.49771286624</v>
      </c>
      <c r="BR89" s="47">
        <v>2.9826791903578038</v>
      </c>
      <c r="BS89" s="44">
        <v>46.674191371003126</v>
      </c>
      <c r="BT89" s="45">
        <v>408.39930798250447</v>
      </c>
      <c r="BU89" s="46">
        <v>116.09811183160376</v>
      </c>
      <c r="BV89" s="45">
        <v>1015.8588105622568</v>
      </c>
      <c r="BW89" s="393">
        <v>416544.77017857006</v>
      </c>
      <c r="BX89" s="295">
        <f t="shared" si="131"/>
        <v>125175.91409687996</v>
      </c>
      <c r="BY89" s="295">
        <f t="shared" si="137"/>
        <v>541720.68427545007</v>
      </c>
      <c r="BZ89" s="39">
        <v>360885.47993295069</v>
      </c>
      <c r="CA89" s="41">
        <v>2826.3957203687937</v>
      </c>
      <c r="CB89" s="39">
        <v>55659.29024561937</v>
      </c>
      <c r="CC89" s="47">
        <v>1.1542297857369057</v>
      </c>
      <c r="CD89" s="41">
        <f t="shared" si="138"/>
        <v>1.5010875039253364</v>
      </c>
      <c r="CE89" s="39">
        <v>130251.58915085719</v>
      </c>
      <c r="CF89" s="47">
        <v>3.1980014439296287</v>
      </c>
    </row>
    <row r="90" spans="1:84" s="22" customFormat="1" ht="15" customHeight="1">
      <c r="A90" s="324" t="str">
        <f t="shared" si="124"/>
        <v>BNI - Efficient Product Rebates; LED Low Bay Fixture; COM-Lighting; Other Commercial</v>
      </c>
      <c r="B90" s="36" t="s">
        <v>79</v>
      </c>
      <c r="C90" s="15" t="s">
        <v>71</v>
      </c>
      <c r="D90" s="15" t="s">
        <v>54</v>
      </c>
      <c r="E90" s="37">
        <v>15</v>
      </c>
      <c r="F90" s="38">
        <v>172.12760768693931</v>
      </c>
      <c r="G90" s="38">
        <v>20.867856014006641</v>
      </c>
      <c r="H90" s="39">
        <v>160</v>
      </c>
      <c r="I90" s="40">
        <v>0.25</v>
      </c>
      <c r="J90" s="39">
        <v>5.5080834459820585</v>
      </c>
      <c r="K90" s="39">
        <v>45.508083445982059</v>
      </c>
      <c r="L90" s="39">
        <v>120</v>
      </c>
      <c r="M90" s="39">
        <v>165.50808344598207</v>
      </c>
      <c r="N90" s="39">
        <v>158.34560602417196</v>
      </c>
      <c r="O90" s="41">
        <v>0.76</v>
      </c>
      <c r="P90" s="41">
        <v>0.94677425161172768</v>
      </c>
      <c r="Q90" s="261">
        <f t="shared" si="125"/>
        <v>0.94677425161172768</v>
      </c>
      <c r="R90" s="262">
        <f t="shared" si="132"/>
        <v>0</v>
      </c>
      <c r="S90" s="262">
        <f t="shared" si="126"/>
        <v>53.979942376549822</v>
      </c>
      <c r="T90" s="261">
        <f t="shared" si="127"/>
        <v>1.2695291472404735</v>
      </c>
      <c r="U90" s="267">
        <f t="shared" si="45"/>
        <v>0.34089952813916158</v>
      </c>
      <c r="V90" s="42" t="s">
        <v>72</v>
      </c>
      <c r="W90" s="199">
        <f>0.027*W3</f>
        <v>3.4020000000000002E-2</v>
      </c>
      <c r="X90" s="199"/>
      <c r="Y90" s="333">
        <v>0</v>
      </c>
      <c r="Z90" s="334">
        <f t="shared" si="115"/>
        <v>5.8557812135096761</v>
      </c>
      <c r="AA90" s="309">
        <f t="shared" si="116"/>
        <v>0.29278906067548383</v>
      </c>
      <c r="AB90" s="309">
        <f t="shared" si="117"/>
        <v>0.1698176551917806</v>
      </c>
      <c r="AC90" s="309">
        <f t="shared" si="118"/>
        <v>2.3423124854038704E-2</v>
      </c>
      <c r="AD90" s="309">
        <f t="shared" si="119"/>
        <v>0</v>
      </c>
      <c r="AE90" s="309">
        <f t="shared" si="120"/>
        <v>0.42747202858620631</v>
      </c>
      <c r="AF90" s="309">
        <f t="shared" si="121"/>
        <v>4.3157107543566315</v>
      </c>
      <c r="AG90" s="309" t="s">
        <v>38</v>
      </c>
      <c r="AH90" s="309">
        <f t="shared" si="139"/>
        <v>0</v>
      </c>
      <c r="AI90" s="309">
        <f t="shared" si="122"/>
        <v>0.48602984072130312</v>
      </c>
      <c r="AJ90" s="309">
        <f t="shared" si="123"/>
        <v>0.13468296791072254</v>
      </c>
      <c r="AK90" s="309">
        <f t="shared" si="128"/>
        <v>5.8499254322961676</v>
      </c>
      <c r="AL90" s="246" t="s">
        <v>456</v>
      </c>
      <c r="AM90" s="234" t="s">
        <v>331</v>
      </c>
      <c r="AN90" s="102" t="s">
        <v>72</v>
      </c>
      <c r="AO90" s="246"/>
      <c r="AP90" s="43" t="s">
        <v>79</v>
      </c>
      <c r="AQ90" s="44">
        <v>43.857961924273766</v>
      </c>
      <c r="AR90" s="45">
        <v>361.76050184470637</v>
      </c>
      <c r="AS90" s="46">
        <v>43.857961924273766</v>
      </c>
      <c r="AT90" s="45">
        <v>361.76050184470637</v>
      </c>
      <c r="AU90" s="393">
        <v>332794.87625479343</v>
      </c>
      <c r="AV90" s="295">
        <f t="shared" si="129"/>
        <v>113449.6162823898</v>
      </c>
      <c r="AW90" s="295">
        <f t="shared" si="133"/>
        <v>446244.49253718322</v>
      </c>
      <c r="AX90" s="39">
        <v>351503.93632723414</v>
      </c>
      <c r="AY90" s="41">
        <v>2765.3940394484434</v>
      </c>
      <c r="AZ90" s="39">
        <v>-18709.060072440712</v>
      </c>
      <c r="BA90" s="47">
        <v>0.94677425161172757</v>
      </c>
      <c r="BB90" s="41">
        <f t="shared" si="134"/>
        <v>1.2695291472404735</v>
      </c>
      <c r="BC90" s="39">
        <v>125847.78270824117</v>
      </c>
      <c r="BD90" s="47">
        <v>2.6444238356294876</v>
      </c>
      <c r="BE90" s="46">
        <v>48.54251212975803</v>
      </c>
      <c r="BF90" s="45">
        <v>400.40081158319344</v>
      </c>
      <c r="BG90" s="46">
        <v>92.40047405403179</v>
      </c>
      <c r="BH90" s="45">
        <v>762.16131342789981</v>
      </c>
      <c r="BI90" s="393">
        <v>389540.23993433214</v>
      </c>
      <c r="BJ90" s="295">
        <f t="shared" si="130"/>
        <v>124129.58565216316</v>
      </c>
      <c r="BK90" s="295">
        <f t="shared" si="135"/>
        <v>513669.82558649534</v>
      </c>
      <c r="BL90" s="39">
        <v>384787.00869166863</v>
      </c>
      <c r="BM90" s="41">
        <v>3025.7239074944378</v>
      </c>
      <c r="BN90" s="39">
        <v>4753.2312426635181</v>
      </c>
      <c r="BO90" s="47">
        <v>1.0123528890926572</v>
      </c>
      <c r="BP90" s="41">
        <f t="shared" si="136"/>
        <v>1.33494586351303</v>
      </c>
      <c r="BQ90" s="39">
        <v>137887.9378401225</v>
      </c>
      <c r="BR90" s="47">
        <v>2.8250494280797351</v>
      </c>
      <c r="BS90" s="44">
        <v>62.05028204504621</v>
      </c>
      <c r="BT90" s="45">
        <v>511.8190674473114</v>
      </c>
      <c r="BU90" s="46">
        <v>154.45075609907801</v>
      </c>
      <c r="BV90" s="45">
        <v>1273.9803808752113</v>
      </c>
      <c r="BW90" s="393">
        <v>528934.8314056797</v>
      </c>
      <c r="BX90" s="295">
        <f t="shared" si="131"/>
        <v>156874.45685553038</v>
      </c>
      <c r="BY90" s="295">
        <f t="shared" si="137"/>
        <v>685809.28826121008</v>
      </c>
      <c r="BZ90" s="39">
        <v>486536.19521579391</v>
      </c>
      <c r="CA90" s="41">
        <v>3823.8973576619787</v>
      </c>
      <c r="CB90" s="39">
        <v>42398.636189885787</v>
      </c>
      <c r="CC90" s="47">
        <v>1.0871438478920992</v>
      </c>
      <c r="CD90" s="41">
        <f t="shared" si="138"/>
        <v>1.4095750634894335</v>
      </c>
      <c r="CE90" s="39">
        <v>174506.17083057645</v>
      </c>
      <c r="CF90" s="47">
        <v>3.0310379792770132</v>
      </c>
    </row>
    <row r="91" spans="1:84" s="22" customFormat="1" ht="15" customHeight="1">
      <c r="A91" s="324" t="str">
        <f t="shared" si="124"/>
        <v>BNI - Efficient Product Rebates; LED Low Bay Fixture; COM-Lighting; Retail</v>
      </c>
      <c r="B91" s="36" t="s">
        <v>79</v>
      </c>
      <c r="C91" s="15" t="s">
        <v>71</v>
      </c>
      <c r="D91" s="15" t="s">
        <v>28</v>
      </c>
      <c r="E91" s="37">
        <v>15</v>
      </c>
      <c r="F91" s="38">
        <v>177.56221927685635</v>
      </c>
      <c r="G91" s="38">
        <v>23.941639879853682</v>
      </c>
      <c r="H91" s="39">
        <v>160</v>
      </c>
      <c r="I91" s="40">
        <v>0.25</v>
      </c>
      <c r="J91" s="39">
        <v>5.6819910168594037</v>
      </c>
      <c r="K91" s="39">
        <v>45.681991016859406</v>
      </c>
      <c r="L91" s="39">
        <v>120</v>
      </c>
      <c r="M91" s="39">
        <v>165.6819910168594</v>
      </c>
      <c r="N91" s="39">
        <v>167.12787821761219</v>
      </c>
      <c r="O91" s="41">
        <v>0.76</v>
      </c>
      <c r="P91" s="41">
        <v>0.9979195519385059</v>
      </c>
      <c r="Q91" s="261">
        <f t="shared" si="125"/>
        <v>0.9979195519385059</v>
      </c>
      <c r="R91" s="262">
        <f t="shared" si="132"/>
        <v>0</v>
      </c>
      <c r="S91" s="262">
        <f t="shared" si="126"/>
        <v>55.684259449242809</v>
      </c>
      <c r="T91" s="261">
        <f t="shared" si="127"/>
        <v>1.330409928961434</v>
      </c>
      <c r="U91" s="267">
        <f t="shared" si="45"/>
        <v>0.33318354808967293</v>
      </c>
      <c r="V91" s="42" t="s">
        <v>72</v>
      </c>
      <c r="W91" s="199">
        <f>0.027*W3</f>
        <v>3.4020000000000002E-2</v>
      </c>
      <c r="X91" s="199"/>
      <c r="Y91" s="333">
        <v>0</v>
      </c>
      <c r="Z91" s="334">
        <f t="shared" si="115"/>
        <v>6.0406666997986536</v>
      </c>
      <c r="AA91" s="309">
        <f t="shared" si="116"/>
        <v>0.30203333498993268</v>
      </c>
      <c r="AB91" s="309">
        <f t="shared" si="117"/>
        <v>0.17517933429416097</v>
      </c>
      <c r="AC91" s="309">
        <f t="shared" si="118"/>
        <v>2.4162666799194616E-2</v>
      </c>
      <c r="AD91" s="309">
        <f t="shared" si="119"/>
        <v>0</v>
      </c>
      <c r="AE91" s="309">
        <f t="shared" si="120"/>
        <v>0.44096866908530169</v>
      </c>
      <c r="AF91" s="309">
        <f t="shared" si="121"/>
        <v>4.4519713577516073</v>
      </c>
      <c r="AG91" s="309" t="s">
        <v>38</v>
      </c>
      <c r="AH91" s="309">
        <f t="shared" si="139"/>
        <v>0</v>
      </c>
      <c r="AI91" s="309">
        <f t="shared" si="122"/>
        <v>0.50137533608328833</v>
      </c>
      <c r="AJ91" s="309">
        <f t="shared" si="123"/>
        <v>0.13893533409536904</v>
      </c>
      <c r="AK91" s="309">
        <f t="shared" si="128"/>
        <v>6.0346260330988555</v>
      </c>
      <c r="AL91" s="246" t="s">
        <v>456</v>
      </c>
      <c r="AM91" s="234" t="s">
        <v>331</v>
      </c>
      <c r="AN91" s="102" t="s">
        <v>72</v>
      </c>
      <c r="AO91" s="246"/>
      <c r="AP91" s="43" t="s">
        <v>79</v>
      </c>
      <c r="AQ91" s="44">
        <v>72.026138516561389</v>
      </c>
      <c r="AR91" s="45">
        <v>534.17898962320635</v>
      </c>
      <c r="AS91" s="46">
        <v>72.026138516561389</v>
      </c>
      <c r="AT91" s="45">
        <v>534.17898962320635</v>
      </c>
      <c r="AU91" s="393">
        <v>502788.27043130284</v>
      </c>
      <c r="AV91" s="295">
        <f t="shared" si="129"/>
        <v>167520.77988017153</v>
      </c>
      <c r="AW91" s="295">
        <f t="shared" si="133"/>
        <v>670309.05031147436</v>
      </c>
      <c r="AX91" s="39">
        <v>503836.47605121357</v>
      </c>
      <c r="AY91" s="41">
        <v>3958.4270486818273</v>
      </c>
      <c r="AZ91" s="39">
        <v>-1048.2056199107319</v>
      </c>
      <c r="BA91" s="47">
        <v>0.99791955193850601</v>
      </c>
      <c r="BB91" s="41">
        <f t="shared" si="134"/>
        <v>1.3304099289614342</v>
      </c>
      <c r="BC91" s="39">
        <v>180828.82887877652</v>
      </c>
      <c r="BD91" s="47">
        <v>2.7804652253118363</v>
      </c>
      <c r="BE91" s="46">
        <v>79.756078270128953</v>
      </c>
      <c r="BF91" s="45">
        <v>591.50778014915591</v>
      </c>
      <c r="BG91" s="46">
        <v>151.78221678669036</v>
      </c>
      <c r="BH91" s="45">
        <v>1125.6867697723624</v>
      </c>
      <c r="BI91" s="393">
        <v>589528.77762529254</v>
      </c>
      <c r="BJ91" s="295">
        <f t="shared" si="130"/>
        <v>183375.29179730426</v>
      </c>
      <c r="BK91" s="295">
        <f t="shared" si="135"/>
        <v>772904.06942259683</v>
      </c>
      <c r="BL91" s="39">
        <v>551805.77721884719</v>
      </c>
      <c r="BM91" s="41">
        <v>4333.0607440437898</v>
      </c>
      <c r="BN91" s="39">
        <v>37723.000406445353</v>
      </c>
      <c r="BO91" s="47">
        <v>1.0683628225071742</v>
      </c>
      <c r="BP91" s="41">
        <f t="shared" si="136"/>
        <v>1.4006813653131827</v>
      </c>
      <c r="BQ91" s="39">
        <v>198228.02050487394</v>
      </c>
      <c r="BR91" s="47">
        <v>2.9739931626406846</v>
      </c>
      <c r="BS91" s="44">
        <v>101.98641206301404</v>
      </c>
      <c r="BT91" s="45">
        <v>756.3781659430507</v>
      </c>
      <c r="BU91" s="46">
        <v>253.76862884970438</v>
      </c>
      <c r="BV91" s="45">
        <v>1882.064935715413</v>
      </c>
      <c r="BW91" s="393">
        <v>801651.18556359131</v>
      </c>
      <c r="BX91" s="295">
        <f t="shared" si="131"/>
        <v>231832.73446902848</v>
      </c>
      <c r="BY91" s="295">
        <f t="shared" si="137"/>
        <v>1033483.9200326197</v>
      </c>
      <c r="BZ91" s="39">
        <v>697982.56182749523</v>
      </c>
      <c r="CA91" s="41">
        <v>5478.0843758517876</v>
      </c>
      <c r="CB91" s="39">
        <v>103668.62373609608</v>
      </c>
      <c r="CC91" s="47">
        <v>1.148526094211674</v>
      </c>
      <c r="CD91" s="41">
        <f t="shared" si="138"/>
        <v>1.4806729803201628</v>
      </c>
      <c r="CE91" s="39">
        <v>250970.87675798943</v>
      </c>
      <c r="CF91" s="47">
        <v>3.1942000439223133</v>
      </c>
    </row>
    <row r="92" spans="1:84" s="22" customFormat="1" ht="15" customHeight="1">
      <c r="A92" s="324" t="str">
        <f t="shared" si="124"/>
        <v>BNI - Efficient Product Rebates; LED Low Bay Fixture; COM-Lighting; School</v>
      </c>
      <c r="B92" s="36" t="s">
        <v>79</v>
      </c>
      <c r="C92" s="15" t="s">
        <v>71</v>
      </c>
      <c r="D92" s="15" t="s">
        <v>57</v>
      </c>
      <c r="E92" s="37">
        <v>15</v>
      </c>
      <c r="F92" s="38">
        <v>179.83466736431882</v>
      </c>
      <c r="G92" s="38">
        <v>23.181068502286497</v>
      </c>
      <c r="H92" s="39">
        <v>160</v>
      </c>
      <c r="I92" s="40">
        <v>0.25</v>
      </c>
      <c r="J92" s="39">
        <v>5.7547093556582025</v>
      </c>
      <c r="K92" s="39">
        <v>45.7547093556582</v>
      </c>
      <c r="L92" s="39">
        <v>120</v>
      </c>
      <c r="M92" s="39">
        <v>165.75470935565821</v>
      </c>
      <c r="N92" s="39">
        <v>167.59544222801833</v>
      </c>
      <c r="O92" s="41">
        <v>0.76</v>
      </c>
      <c r="P92" s="41">
        <v>1.0001399770587669</v>
      </c>
      <c r="Q92" s="261">
        <f t="shared" si="125"/>
        <v>1.0001399770587669</v>
      </c>
      <c r="R92" s="262">
        <f t="shared" si="132"/>
        <v>0</v>
      </c>
      <c r="S92" s="262">
        <f t="shared" si="126"/>
        <v>56.396908735800181</v>
      </c>
      <c r="T92" s="261">
        <f t="shared" si="127"/>
        <v>1.3366933001047974</v>
      </c>
      <c r="U92" s="267">
        <f t="shared" ref="U92:U143" si="140">(T92-Q92)/Q92</f>
        <v>0.33650621989511281</v>
      </c>
      <c r="V92" s="42" t="s">
        <v>72</v>
      </c>
      <c r="W92" s="199">
        <f>0.027*W3</f>
        <v>3.4020000000000002E-2</v>
      </c>
      <c r="X92" s="199"/>
      <c r="Y92" s="333">
        <v>0</v>
      </c>
      <c r="Z92" s="334">
        <f t="shared" ref="Z92:Z121" si="141">W92*F92</f>
        <v>6.1179753837341266</v>
      </c>
      <c r="AA92" s="309">
        <f t="shared" ref="AA92:AA121" si="142">Z92*0.05</f>
        <v>0.30589876918670633</v>
      </c>
      <c r="AB92" s="309">
        <f t="shared" ref="AB92:AB121" si="143">Z92*0.029</f>
        <v>0.17742128612828967</v>
      </c>
      <c r="AC92" s="309">
        <f t="shared" ref="AC92:AC121" si="144">Z92*0.004</f>
        <v>2.4471901534936506E-2</v>
      </c>
      <c r="AD92" s="309">
        <f t="shared" ref="AD92:AD121" si="145">Z92*0</f>
        <v>0</v>
      </c>
      <c r="AE92" s="309">
        <f t="shared" ref="AE92:AE121" si="146">Z92*0.073</f>
        <v>0.44661220301259119</v>
      </c>
      <c r="AF92" s="309">
        <f t="shared" ref="AF92:AF121" si="147">Z92*0.737</f>
        <v>4.5089478578120517</v>
      </c>
      <c r="AG92" s="309" t="s">
        <v>38</v>
      </c>
      <c r="AH92" s="309">
        <f t="shared" si="139"/>
        <v>0</v>
      </c>
      <c r="AI92" s="309">
        <f t="shared" ref="AI92:AI121" si="148">Z92*0.083</f>
        <v>0.5077919568499325</v>
      </c>
      <c r="AJ92" s="309">
        <f t="shared" ref="AJ92:AJ121" si="149">Z92*0.023</f>
        <v>0.14071343382588491</v>
      </c>
      <c r="AK92" s="309">
        <f t="shared" si="128"/>
        <v>6.1118574083503932</v>
      </c>
      <c r="AL92" s="246" t="s">
        <v>456</v>
      </c>
      <c r="AM92" s="234" t="s">
        <v>331</v>
      </c>
      <c r="AN92" s="102" t="s">
        <v>72</v>
      </c>
      <c r="AO92" s="246"/>
      <c r="AP92" s="43" t="s">
        <v>79</v>
      </c>
      <c r="AQ92" s="44">
        <v>69.521943360829795</v>
      </c>
      <c r="AR92" s="45">
        <v>539.33905408987687</v>
      </c>
      <c r="AS92" s="46">
        <v>69.521943360829795</v>
      </c>
      <c r="AT92" s="45">
        <v>539.33905408987687</v>
      </c>
      <c r="AU92" s="393">
        <v>502632.60474642238</v>
      </c>
      <c r="AV92" s="295">
        <f t="shared" si="129"/>
        <v>169138.99781925284</v>
      </c>
      <c r="AW92" s="295">
        <f t="shared" si="133"/>
        <v>671771.60256567528</v>
      </c>
      <c r="AX92" s="39">
        <v>502562.25755976181</v>
      </c>
      <c r="AY92" s="41">
        <v>3946.1615522695524</v>
      </c>
      <c r="AZ92" s="39">
        <v>70.347186660568696</v>
      </c>
      <c r="BA92" s="47">
        <v>1.0001399770587671</v>
      </c>
      <c r="BB92" s="41">
        <f t="shared" si="134"/>
        <v>1.3366933001047976</v>
      </c>
      <c r="BC92" s="39">
        <v>180555.47489456637</v>
      </c>
      <c r="BD92" s="47">
        <v>2.7838125929990758</v>
      </c>
      <c r="BE92" s="46">
        <v>76.995463096366009</v>
      </c>
      <c r="BF92" s="45">
        <v>597.31731059467347</v>
      </c>
      <c r="BG92" s="46">
        <v>146.51740645719579</v>
      </c>
      <c r="BH92" s="45">
        <v>1136.6563646845502</v>
      </c>
      <c r="BI92" s="393">
        <v>589122.74466220883</v>
      </c>
      <c r="BJ92" s="295">
        <f t="shared" si="130"/>
        <v>185176.32362884411</v>
      </c>
      <c r="BK92" s="295">
        <f t="shared" si="135"/>
        <v>774299.06829105294</v>
      </c>
      <c r="BL92" s="39">
        <v>550501.90080511675</v>
      </c>
      <c r="BM92" s="41">
        <v>4320.326465902649</v>
      </c>
      <c r="BN92" s="39">
        <v>38620.843857092084</v>
      </c>
      <c r="BO92" s="47">
        <v>1.0701556957398486</v>
      </c>
      <c r="BP92" s="41">
        <f t="shared" si="136"/>
        <v>1.4065329604832058</v>
      </c>
      <c r="BQ92" s="39">
        <v>197963.26118746065</v>
      </c>
      <c r="BR92" s="47">
        <v>2.9759195778470278</v>
      </c>
      <c r="BS92" s="44">
        <v>98.467787595407032</v>
      </c>
      <c r="BT92" s="45">
        <v>763.89584140928514</v>
      </c>
      <c r="BU92" s="46">
        <v>244.98519405260279</v>
      </c>
      <c r="BV92" s="45">
        <v>1900.5522060938354</v>
      </c>
      <c r="BW92" s="393">
        <v>800816.5075895536</v>
      </c>
      <c r="BX92" s="295">
        <f t="shared" si="131"/>
        <v>234136.93009320393</v>
      </c>
      <c r="BY92" s="295">
        <f t="shared" si="137"/>
        <v>1034953.4376827575</v>
      </c>
      <c r="BZ92" s="39">
        <v>696418.68439103127</v>
      </c>
      <c r="CA92" s="41">
        <v>5462.6204684479599</v>
      </c>
      <c r="CB92" s="39">
        <v>104397.82319852232</v>
      </c>
      <c r="CC92" s="47">
        <v>1.1499066948351777</v>
      </c>
      <c r="CD92" s="41">
        <f t="shared" si="138"/>
        <v>1.4861080853793445</v>
      </c>
      <c r="CE92" s="39">
        <v>250668.85416567777</v>
      </c>
      <c r="CF92" s="47">
        <v>3.1947188263774473</v>
      </c>
    </row>
    <row r="93" spans="1:84" s="22" customFormat="1" ht="15" customHeight="1">
      <c r="A93" s="324" t="str">
        <f t="shared" si="124"/>
        <v xml:space="preserve">BNI - Efficient Product Rebates; LED Linear Replacement Lamps; IND; Industrial </v>
      </c>
      <c r="B93" s="108" t="s">
        <v>80</v>
      </c>
      <c r="C93" s="15" t="s">
        <v>67</v>
      </c>
      <c r="D93" s="15" t="s">
        <v>68</v>
      </c>
      <c r="E93" s="37">
        <v>10</v>
      </c>
      <c r="F93" s="38">
        <v>142.96374557214355</v>
      </c>
      <c r="G93" s="38">
        <v>25.787111394052545</v>
      </c>
      <c r="H93" s="39">
        <v>84</v>
      </c>
      <c r="I93" s="40">
        <v>0.23809523809523808</v>
      </c>
      <c r="J93" s="39">
        <v>4.5748398583085939</v>
      </c>
      <c r="K93" s="39">
        <v>24.574839858308593</v>
      </c>
      <c r="L93" s="39">
        <v>64</v>
      </c>
      <c r="M93" s="39">
        <v>88.574839858308593</v>
      </c>
      <c r="N93" s="39">
        <v>101.46802935069084</v>
      </c>
      <c r="O93" s="41">
        <v>0.76</v>
      </c>
      <c r="P93" s="41">
        <v>1.1271779991919366</v>
      </c>
      <c r="Q93" s="261">
        <f t="shared" si="125"/>
        <v>1.1271779991919366</v>
      </c>
      <c r="R93" s="262">
        <f t="shared" si="132"/>
        <v>0</v>
      </c>
      <c r="S93" s="262">
        <f t="shared" si="126"/>
        <v>34.462126778829287</v>
      </c>
      <c r="T93" s="261">
        <f t="shared" si="127"/>
        <v>1.5100074614278185</v>
      </c>
      <c r="U93" s="267">
        <f t="shared" si="140"/>
        <v>0.33963532158215359</v>
      </c>
      <c r="V93" s="42" t="s">
        <v>72</v>
      </c>
      <c r="W93" s="199">
        <f>0.027*W3</f>
        <v>3.4020000000000002E-2</v>
      </c>
      <c r="X93" s="199"/>
      <c r="Y93" s="333">
        <v>0</v>
      </c>
      <c r="Z93" s="334">
        <f t="shared" si="141"/>
        <v>4.8636266243643238</v>
      </c>
      <c r="AA93" s="309">
        <f t="shared" si="142"/>
        <v>0.2431813312182162</v>
      </c>
      <c r="AB93" s="309">
        <f t="shared" si="143"/>
        <v>0.14104517210656539</v>
      </c>
      <c r="AC93" s="309">
        <f t="shared" si="144"/>
        <v>1.9454506497457294E-2</v>
      </c>
      <c r="AD93" s="309">
        <f t="shared" si="145"/>
        <v>0</v>
      </c>
      <c r="AE93" s="309">
        <f t="shared" si="146"/>
        <v>0.35504474357859561</v>
      </c>
      <c r="AF93" s="309">
        <f t="shared" si="147"/>
        <v>3.5844928221565064</v>
      </c>
      <c r="AG93" s="309" t="s">
        <v>38</v>
      </c>
      <c r="AH93" s="309">
        <f t="shared" si="139"/>
        <v>0</v>
      </c>
      <c r="AI93" s="309">
        <f t="shared" si="148"/>
        <v>0.40368100982223892</v>
      </c>
      <c r="AJ93" s="309">
        <f t="shared" si="149"/>
        <v>0.11186341236037944</v>
      </c>
      <c r="AK93" s="309">
        <f t="shared" si="128"/>
        <v>4.8587629977399587</v>
      </c>
      <c r="AL93" s="246" t="s">
        <v>456</v>
      </c>
      <c r="AM93" s="234" t="s">
        <v>331</v>
      </c>
      <c r="AN93" s="102" t="s">
        <v>72</v>
      </c>
      <c r="AO93" s="246"/>
      <c r="AP93" s="43" t="s">
        <v>80</v>
      </c>
      <c r="AQ93" s="44">
        <v>34.809493562697931</v>
      </c>
      <c r="AR93" s="45">
        <v>192.98383231634384</v>
      </c>
      <c r="AS93" s="46">
        <v>34.809493562697931</v>
      </c>
      <c r="AT93" s="45">
        <v>192.98383231634384</v>
      </c>
      <c r="AU93" s="393">
        <v>136969.61480211152</v>
      </c>
      <c r="AV93" s="295">
        <f t="shared" si="129"/>
        <v>46519.719170298857</v>
      </c>
      <c r="AW93" s="295">
        <f t="shared" si="133"/>
        <v>183489.33397241039</v>
      </c>
      <c r="AX93" s="39">
        <v>121515.51476368752</v>
      </c>
      <c r="AY93" s="41">
        <v>1776.157263765489</v>
      </c>
      <c r="AZ93" s="39">
        <v>15454.100038424003</v>
      </c>
      <c r="BA93" s="47">
        <v>1.1271779991919366</v>
      </c>
      <c r="BB93" s="41">
        <f t="shared" si="134"/>
        <v>1.5100074614278185</v>
      </c>
      <c r="BC93" s="39">
        <v>43648.780320208476</v>
      </c>
      <c r="BD93" s="47">
        <v>3.1379940927856222</v>
      </c>
      <c r="BE93" s="46">
        <v>32.76139737413699</v>
      </c>
      <c r="BF93" s="45">
        <v>181.62918704668269</v>
      </c>
      <c r="BG93" s="46">
        <v>67.570890936834914</v>
      </c>
      <c r="BH93" s="45">
        <v>374.61301936302652</v>
      </c>
      <c r="BI93" s="393">
        <v>138685.06081104887</v>
      </c>
      <c r="BJ93" s="295">
        <f t="shared" si="130"/>
        <v>43281.297300297294</v>
      </c>
      <c r="BK93" s="295">
        <f t="shared" si="135"/>
        <v>181966.35811134617</v>
      </c>
      <c r="BL93" s="39">
        <v>113143.90588425178</v>
      </c>
      <c r="BM93" s="41">
        <v>1652.5119230340963</v>
      </c>
      <c r="BN93" s="39">
        <v>25541.154926797084</v>
      </c>
      <c r="BO93" s="47">
        <v>1.2257404384901307</v>
      </c>
      <c r="BP93" s="41">
        <f t="shared" si="136"/>
        <v>1.608273611284915</v>
      </c>
      <c r="BQ93" s="39">
        <v>40697.783178436985</v>
      </c>
      <c r="BR93" s="47">
        <v>3.407680959009304</v>
      </c>
      <c r="BS93" s="44">
        <v>35.511483218843694</v>
      </c>
      <c r="BT93" s="45">
        <v>196.87566297011165</v>
      </c>
      <c r="BU93" s="46">
        <v>103.08237415567861</v>
      </c>
      <c r="BV93" s="45">
        <v>571.48868233313817</v>
      </c>
      <c r="BW93" s="393">
        <v>162264.97512743459</v>
      </c>
      <c r="BX93" s="295">
        <f t="shared" si="131"/>
        <v>46383.346752820129</v>
      </c>
      <c r="BY93" s="295">
        <f t="shared" si="137"/>
        <v>208648.32188025472</v>
      </c>
      <c r="BZ93" s="39">
        <v>121346.97922459712</v>
      </c>
      <c r="CA93" s="41">
        <v>1770.9504640641537</v>
      </c>
      <c r="CB93" s="39">
        <v>40917.995902837472</v>
      </c>
      <c r="CC93" s="47">
        <v>1.3371983065775679</v>
      </c>
      <c r="CD93" s="41">
        <f t="shared" si="138"/>
        <v>1.7194356482008046</v>
      </c>
      <c r="CE93" s="39">
        <v>43708.510880024623</v>
      </c>
      <c r="CF93" s="47">
        <v>3.7124343030773868</v>
      </c>
    </row>
    <row r="94" spans="1:84" s="22" customFormat="1" ht="15" customHeight="1">
      <c r="A94" s="324" t="str">
        <f t="shared" si="124"/>
        <v>BNI - Efficient Product Rebates; LED Linear Replacement Lamps; COM-Lighting; Office</v>
      </c>
      <c r="B94" s="108" t="s">
        <v>80</v>
      </c>
      <c r="C94" s="15" t="s">
        <v>71</v>
      </c>
      <c r="D94" s="15" t="s">
        <v>64</v>
      </c>
      <c r="E94" s="37">
        <v>10</v>
      </c>
      <c r="F94" s="38">
        <v>154.51927757938296</v>
      </c>
      <c r="G94" s="38">
        <v>17.659340237075604</v>
      </c>
      <c r="H94" s="39">
        <v>84</v>
      </c>
      <c r="I94" s="40">
        <v>0.23809523809523808</v>
      </c>
      <c r="J94" s="39">
        <v>4.944616882540255</v>
      </c>
      <c r="K94" s="39">
        <v>24.944616882540256</v>
      </c>
      <c r="L94" s="39">
        <v>64</v>
      </c>
      <c r="M94" s="39">
        <v>88.944616882540259</v>
      </c>
      <c r="N94" s="39">
        <v>98.255624666244529</v>
      </c>
      <c r="O94" s="41">
        <v>0.76</v>
      </c>
      <c r="P94" s="41">
        <v>1.0856246371752427</v>
      </c>
      <c r="Q94" s="261">
        <f t="shared" si="125"/>
        <v>1.0856246371752427</v>
      </c>
      <c r="R94" s="262">
        <f t="shared" si="132"/>
        <v>0</v>
      </c>
      <c r="S94" s="262">
        <f t="shared" si="126"/>
        <v>37.247645634932198</v>
      </c>
      <c r="T94" s="261">
        <f t="shared" si="127"/>
        <v>1.4971732066888135</v>
      </c>
      <c r="U94" s="267">
        <f t="shared" si="140"/>
        <v>0.37908919475557018</v>
      </c>
      <c r="V94" s="42" t="s">
        <v>72</v>
      </c>
      <c r="W94" s="199">
        <f>0.027*W3</f>
        <v>3.4020000000000002E-2</v>
      </c>
      <c r="X94" s="199"/>
      <c r="Y94" s="333">
        <v>0</v>
      </c>
      <c r="Z94" s="334">
        <f t="shared" si="141"/>
        <v>5.2567458232506086</v>
      </c>
      <c r="AA94" s="309">
        <f t="shared" si="142"/>
        <v>0.26283729116253046</v>
      </c>
      <c r="AB94" s="309">
        <f t="shared" si="143"/>
        <v>0.15244562887426766</v>
      </c>
      <c r="AC94" s="309">
        <f t="shared" si="144"/>
        <v>2.1026983293002434E-2</v>
      </c>
      <c r="AD94" s="309">
        <f t="shared" si="145"/>
        <v>0</v>
      </c>
      <c r="AE94" s="309">
        <f t="shared" si="146"/>
        <v>0.38374244509729438</v>
      </c>
      <c r="AF94" s="309">
        <f t="shared" si="147"/>
        <v>3.8742216717356985</v>
      </c>
      <c r="AG94" s="309" t="s">
        <v>38</v>
      </c>
      <c r="AH94" s="309">
        <f t="shared" si="139"/>
        <v>0</v>
      </c>
      <c r="AI94" s="309">
        <f t="shared" si="148"/>
        <v>0.43630990332980052</v>
      </c>
      <c r="AJ94" s="309">
        <f t="shared" si="149"/>
        <v>0.12090515393476399</v>
      </c>
      <c r="AK94" s="309">
        <f t="shared" si="128"/>
        <v>5.2514890774273582</v>
      </c>
      <c r="AL94" s="246" t="s">
        <v>456</v>
      </c>
      <c r="AM94" s="234" t="s">
        <v>331</v>
      </c>
      <c r="AN94" s="102" t="s">
        <v>72</v>
      </c>
      <c r="AO94" s="246"/>
      <c r="AP94" s="43" t="s">
        <v>80</v>
      </c>
      <c r="AQ94" s="44">
        <v>22.038881327891186</v>
      </c>
      <c r="AR94" s="45">
        <v>192.84027464932288</v>
      </c>
      <c r="AS94" s="46">
        <v>22.038881327891186</v>
      </c>
      <c r="AT94" s="45">
        <v>192.84027464932288</v>
      </c>
      <c r="AU94" s="393">
        <v>122623.15707983548</v>
      </c>
      <c r="AV94" s="295">
        <f t="shared" si="129"/>
        <v>46485.113875780655</v>
      </c>
      <c r="AW94" s="295">
        <f t="shared" si="133"/>
        <v>169108.27095561614</v>
      </c>
      <c r="AX94" s="39">
        <v>112951.70805896286</v>
      </c>
      <c r="AY94" s="41">
        <v>1642.1071044394175</v>
      </c>
      <c r="AZ94" s="39">
        <v>9671.4490208726202</v>
      </c>
      <c r="BA94" s="47">
        <v>1.0856246371752425</v>
      </c>
      <c r="BB94" s="41">
        <f t="shared" si="134"/>
        <v>1.4971732066888137</v>
      </c>
      <c r="BC94" s="39">
        <v>40961.732600338786</v>
      </c>
      <c r="BD94" s="47">
        <v>2.9936027920562442</v>
      </c>
      <c r="BE94" s="46">
        <v>24.555236897123056</v>
      </c>
      <c r="BF94" s="45">
        <v>214.85839307677298</v>
      </c>
      <c r="BG94" s="46">
        <v>46.594118225014242</v>
      </c>
      <c r="BH94" s="45">
        <v>407.69866772609589</v>
      </c>
      <c r="BI94" s="393">
        <v>145519.25533657006</v>
      </c>
      <c r="BJ94" s="295">
        <f t="shared" si="130"/>
        <v>51199.645494365468</v>
      </c>
      <c r="BK94" s="295">
        <f t="shared" si="135"/>
        <v>196718.90083093551</v>
      </c>
      <c r="BL94" s="39">
        <v>124510.88573103155</v>
      </c>
      <c r="BM94" s="41">
        <v>1808.6500085973</v>
      </c>
      <c r="BN94" s="39">
        <v>21008.369605538508</v>
      </c>
      <c r="BO94" s="47">
        <v>1.1687271717825605</v>
      </c>
      <c r="BP94" s="41">
        <f t="shared" si="136"/>
        <v>1.579933350212348</v>
      </c>
      <c r="BQ94" s="39">
        <v>45219.669354125916</v>
      </c>
      <c r="BR94" s="47">
        <v>3.2180521754145168</v>
      </c>
      <c r="BS94" s="44">
        <v>31.54828423658466</v>
      </c>
      <c r="BT94" s="45">
        <v>276.04757729688373</v>
      </c>
      <c r="BU94" s="46">
        <v>78.142402461598905</v>
      </c>
      <c r="BV94" s="45">
        <v>683.74624502297956</v>
      </c>
      <c r="BW94" s="393">
        <v>200078.35320739998</v>
      </c>
      <c r="BX94" s="295">
        <f t="shared" si="131"/>
        <v>65036.024792871911</v>
      </c>
      <c r="BY94" s="295">
        <f t="shared" si="137"/>
        <v>265114.37800027191</v>
      </c>
      <c r="BZ94" s="39">
        <v>158290.74425889115</v>
      </c>
      <c r="CA94" s="41">
        <v>2297.4261963143263</v>
      </c>
      <c r="CB94" s="39">
        <v>41787.608948508831</v>
      </c>
      <c r="CC94" s="47">
        <v>1.2639927504552222</v>
      </c>
      <c r="CD94" s="41">
        <f t="shared" si="138"/>
        <v>1.6748571070375804</v>
      </c>
      <c r="CE94" s="39">
        <v>57571.5798124711</v>
      </c>
      <c r="CF94" s="47">
        <v>3.4752972535948925</v>
      </c>
    </row>
    <row r="95" spans="1:84" s="22" customFormat="1" ht="15" customHeight="1">
      <c r="A95" s="324" t="str">
        <f t="shared" si="124"/>
        <v>BNI - Efficient Product Rebates; LED Linear Replacement Lamps; COM-Lighting; Other Commercial</v>
      </c>
      <c r="B95" s="108" t="s">
        <v>80</v>
      </c>
      <c r="C95" s="15" t="s">
        <v>71</v>
      </c>
      <c r="D95" s="15" t="s">
        <v>54</v>
      </c>
      <c r="E95" s="37">
        <v>10</v>
      </c>
      <c r="F95" s="38">
        <v>140.82693968693931</v>
      </c>
      <c r="G95" s="38">
        <v>17.073125803416566</v>
      </c>
      <c r="H95" s="39">
        <v>84</v>
      </c>
      <c r="I95" s="40">
        <v>0.23809523809523808</v>
      </c>
      <c r="J95" s="39">
        <v>4.5064620699820583</v>
      </c>
      <c r="K95" s="39">
        <v>24.506462069982057</v>
      </c>
      <c r="L95" s="39">
        <v>64</v>
      </c>
      <c r="M95" s="39">
        <v>88.506462069982064</v>
      </c>
      <c r="N95" s="39">
        <v>90.64274121640824</v>
      </c>
      <c r="O95" s="41">
        <v>0.76</v>
      </c>
      <c r="P95" s="41">
        <v>1.0079304946894427</v>
      </c>
      <c r="Q95" s="261">
        <f t="shared" si="125"/>
        <v>1.0079304946894427</v>
      </c>
      <c r="R95" s="262">
        <f t="shared" si="132"/>
        <v>0</v>
      </c>
      <c r="S95" s="262">
        <f t="shared" si="126"/>
        <v>33.947039019880663</v>
      </c>
      <c r="T95" s="261">
        <f t="shared" si="127"/>
        <v>1.3854152813736773</v>
      </c>
      <c r="U95" s="267">
        <f t="shared" si="140"/>
        <v>0.37451469984598773</v>
      </c>
      <c r="V95" s="42" t="s">
        <v>72</v>
      </c>
      <c r="W95" s="199">
        <f>0.027*W3</f>
        <v>3.4020000000000002E-2</v>
      </c>
      <c r="X95" s="199"/>
      <c r="Y95" s="333">
        <v>0</v>
      </c>
      <c r="Z95" s="334">
        <f t="shared" si="141"/>
        <v>4.790932488149676</v>
      </c>
      <c r="AA95" s="309">
        <f t="shared" si="142"/>
        <v>0.23954662440748381</v>
      </c>
      <c r="AB95" s="309">
        <f t="shared" si="143"/>
        <v>0.13893704215634062</v>
      </c>
      <c r="AC95" s="309">
        <f t="shared" si="144"/>
        <v>1.9163729952598706E-2</v>
      </c>
      <c r="AD95" s="309">
        <f t="shared" si="145"/>
        <v>0</v>
      </c>
      <c r="AE95" s="309">
        <f t="shared" si="146"/>
        <v>0.34973807163492632</v>
      </c>
      <c r="AF95" s="309">
        <f t="shared" si="147"/>
        <v>3.5309172437663112</v>
      </c>
      <c r="AG95" s="309" t="s">
        <v>38</v>
      </c>
      <c r="AH95" s="309">
        <f t="shared" si="139"/>
        <v>0</v>
      </c>
      <c r="AI95" s="309">
        <f t="shared" si="148"/>
        <v>0.39764739651642311</v>
      </c>
      <c r="AJ95" s="309">
        <f t="shared" si="149"/>
        <v>0.11019144722744255</v>
      </c>
      <c r="AK95" s="309">
        <f t="shared" si="128"/>
        <v>4.7861415556615263</v>
      </c>
      <c r="AL95" s="246" t="s">
        <v>456</v>
      </c>
      <c r="AM95" s="234" t="s">
        <v>331</v>
      </c>
      <c r="AN95" s="102" t="s">
        <v>72</v>
      </c>
      <c r="AO95" s="246"/>
      <c r="AP95" s="43" t="s">
        <v>80</v>
      </c>
      <c r="AQ95" s="44">
        <v>28.955319483017252</v>
      </c>
      <c r="AR95" s="45">
        <v>238.83670028571618</v>
      </c>
      <c r="AS95" s="46">
        <v>28.955319483017252</v>
      </c>
      <c r="AT95" s="45">
        <v>238.83670028571618</v>
      </c>
      <c r="AU95" s="393">
        <v>153726.36276201633</v>
      </c>
      <c r="AV95" s="295">
        <f t="shared" si="129"/>
        <v>57572.782608231959</v>
      </c>
      <c r="AW95" s="295">
        <f t="shared" si="133"/>
        <v>211299.1453702483</v>
      </c>
      <c r="AX95" s="39">
        <v>152516.82886068599</v>
      </c>
      <c r="AY95" s="41">
        <v>2231.5248550030183</v>
      </c>
      <c r="AZ95" s="39">
        <v>1209.5339013303455</v>
      </c>
      <c r="BA95" s="47">
        <v>1.007930494689443</v>
      </c>
      <c r="BB95" s="41">
        <f t="shared" si="134"/>
        <v>1.3854152813736775</v>
      </c>
      <c r="BC95" s="39">
        <v>54686.77921735368</v>
      </c>
      <c r="BD95" s="47">
        <v>2.8110333971402461</v>
      </c>
      <c r="BE95" s="46">
        <v>32.344038402660289</v>
      </c>
      <c r="BF95" s="45">
        <v>266.78840171446456</v>
      </c>
      <c r="BG95" s="46">
        <v>61.299357885677537</v>
      </c>
      <c r="BH95" s="45">
        <v>505.62510200018073</v>
      </c>
      <c r="BI95" s="393">
        <v>183110.78042111313</v>
      </c>
      <c r="BJ95" s="295">
        <f t="shared" si="130"/>
        <v>63574.298374781938</v>
      </c>
      <c r="BK95" s="295">
        <f t="shared" si="135"/>
        <v>246685.07879589507</v>
      </c>
      <c r="BL95" s="39">
        <v>168544.14897171751</v>
      </c>
      <c r="BM95" s="41">
        <v>2464.1440023504988</v>
      </c>
      <c r="BN95" s="39">
        <v>14566.631449395616</v>
      </c>
      <c r="BO95" s="47">
        <v>1.0864262066542574</v>
      </c>
      <c r="BP95" s="41">
        <f t="shared" si="136"/>
        <v>1.463622916018817</v>
      </c>
      <c r="BQ95" s="39">
        <v>60516.075908671643</v>
      </c>
      <c r="BR95" s="47">
        <v>3.0258204563272799</v>
      </c>
      <c r="BS95" s="44">
        <v>41.692359629480919</v>
      </c>
      <c r="BT95" s="45">
        <v>343.89762498980383</v>
      </c>
      <c r="BU95" s="46">
        <v>102.99171751515846</v>
      </c>
      <c r="BV95" s="45">
        <v>849.52272698998456</v>
      </c>
      <c r="BW95" s="393">
        <v>252850.26022024508</v>
      </c>
      <c r="BX95" s="295">
        <f t="shared" si="131"/>
        <v>81021.303226265009</v>
      </c>
      <c r="BY95" s="295">
        <f t="shared" si="137"/>
        <v>333871.56344651012</v>
      </c>
      <c r="BZ95" s="39">
        <v>214962.46541626388</v>
      </c>
      <c r="CA95" s="41">
        <v>3140.39106229156</v>
      </c>
      <c r="CB95" s="39">
        <v>37887.794803981204</v>
      </c>
      <c r="CC95" s="47">
        <v>1.1762530715797914</v>
      </c>
      <c r="CD95" s="41">
        <f t="shared" si="138"/>
        <v>1.5531621429814959</v>
      </c>
      <c r="CE95" s="39">
        <v>77287.721245401888</v>
      </c>
      <c r="CF95" s="47">
        <v>3.2715450287038705</v>
      </c>
    </row>
    <row r="96" spans="1:84" s="22" customFormat="1" ht="15" customHeight="1">
      <c r="A96" s="324" t="str">
        <f t="shared" si="124"/>
        <v>BNI - Efficient Product Rebates; LED Linear Replacement Lamps; COM-Lighting; Retail</v>
      </c>
      <c r="B96" s="108" t="s">
        <v>80</v>
      </c>
      <c r="C96" s="15" t="s">
        <v>71</v>
      </c>
      <c r="D96" s="15" t="s">
        <v>28</v>
      </c>
      <c r="E96" s="37">
        <v>10</v>
      </c>
      <c r="F96" s="38">
        <v>146.26155127685635</v>
      </c>
      <c r="G96" s="38">
        <v>19.721207603737518</v>
      </c>
      <c r="H96" s="39">
        <v>84</v>
      </c>
      <c r="I96" s="40">
        <v>0.23809523809523808</v>
      </c>
      <c r="J96" s="39">
        <v>4.6803696408594035</v>
      </c>
      <c r="K96" s="39">
        <v>24.680369640859404</v>
      </c>
      <c r="L96" s="39">
        <v>64</v>
      </c>
      <c r="M96" s="39">
        <v>88.680369640859396</v>
      </c>
      <c r="N96" s="39">
        <v>96.364025932695483</v>
      </c>
      <c r="O96" s="41">
        <v>0.76</v>
      </c>
      <c r="P96" s="41">
        <v>1.0688304819823504</v>
      </c>
      <c r="Q96" s="261">
        <f t="shared" si="125"/>
        <v>1.0688304819823504</v>
      </c>
      <c r="R96" s="262">
        <f t="shared" si="132"/>
        <v>0</v>
      </c>
      <c r="S96" s="262">
        <f t="shared" si="126"/>
        <v>35.257079358120855</v>
      </c>
      <c r="T96" s="261">
        <f t="shared" si="127"/>
        <v>1.4598876296979326</v>
      </c>
      <c r="U96" s="267">
        <f t="shared" si="140"/>
        <v>0.36587387271206184</v>
      </c>
      <c r="V96" s="42" t="s">
        <v>72</v>
      </c>
      <c r="W96" s="199">
        <f>0.027*W3</f>
        <v>3.4020000000000002E-2</v>
      </c>
      <c r="X96" s="199"/>
      <c r="Y96" s="333">
        <v>0</v>
      </c>
      <c r="Z96" s="334">
        <f t="shared" si="141"/>
        <v>4.9758179744386535</v>
      </c>
      <c r="AA96" s="309">
        <f t="shared" si="142"/>
        <v>0.24879089872193269</v>
      </c>
      <c r="AB96" s="309">
        <f t="shared" si="143"/>
        <v>0.14429872125872095</v>
      </c>
      <c r="AC96" s="309">
        <f t="shared" si="144"/>
        <v>1.9903271897754614E-2</v>
      </c>
      <c r="AD96" s="309">
        <f t="shared" si="145"/>
        <v>0</v>
      </c>
      <c r="AE96" s="309">
        <f t="shared" si="146"/>
        <v>0.3632347121340217</v>
      </c>
      <c r="AF96" s="309">
        <f t="shared" si="147"/>
        <v>3.6671778471612875</v>
      </c>
      <c r="AG96" s="309" t="s">
        <v>38</v>
      </c>
      <c r="AH96" s="309">
        <f t="shared" si="139"/>
        <v>0</v>
      </c>
      <c r="AI96" s="309">
        <f t="shared" si="148"/>
        <v>0.41299289187840826</v>
      </c>
      <c r="AJ96" s="309">
        <f t="shared" si="149"/>
        <v>0.11444381341208903</v>
      </c>
      <c r="AK96" s="309">
        <f t="shared" si="128"/>
        <v>4.9708421564642151</v>
      </c>
      <c r="AL96" s="246" t="s">
        <v>456</v>
      </c>
      <c r="AM96" s="234" t="s">
        <v>331</v>
      </c>
      <c r="AN96" s="102" t="s">
        <v>72</v>
      </c>
      <c r="AO96" s="246"/>
      <c r="AP96" s="43" t="s">
        <v>80</v>
      </c>
      <c r="AQ96" s="44">
        <v>47.822703910453853</v>
      </c>
      <c r="AR96" s="45">
        <v>354.67518017868031</v>
      </c>
      <c r="AS96" s="46">
        <v>47.822703910453853</v>
      </c>
      <c r="AT96" s="45">
        <v>354.67518017868031</v>
      </c>
      <c r="AU96" s="393">
        <v>233676.77945468316</v>
      </c>
      <c r="AV96" s="295">
        <f t="shared" si="129"/>
        <v>85496.228261967291</v>
      </c>
      <c r="AW96" s="295">
        <f t="shared" si="133"/>
        <v>319173.00771665043</v>
      </c>
      <c r="AX96" s="39">
        <v>218628.47607160761</v>
      </c>
      <c r="AY96" s="41">
        <v>3190.7077737251025</v>
      </c>
      <c r="AZ96" s="39">
        <v>15048.303383075545</v>
      </c>
      <c r="BA96" s="47">
        <v>1.0688304819823506</v>
      </c>
      <c r="BB96" s="41">
        <f t="shared" si="134"/>
        <v>1.4598876296979326</v>
      </c>
      <c r="BC96" s="39">
        <v>78747.847271499108</v>
      </c>
      <c r="BD96" s="47">
        <v>2.9674053012399852</v>
      </c>
      <c r="BE96" s="46">
        <v>53.369370488664771</v>
      </c>
      <c r="BF96" s="45">
        <v>395.81181209522038</v>
      </c>
      <c r="BG96" s="46">
        <v>101.19207439911862</v>
      </c>
      <c r="BH96" s="45">
        <v>750.48699227390068</v>
      </c>
      <c r="BI96" s="393">
        <v>278694.19482075778</v>
      </c>
      <c r="BJ96" s="295">
        <f t="shared" si="130"/>
        <v>94319.910763348482</v>
      </c>
      <c r="BK96" s="295">
        <f t="shared" si="135"/>
        <v>373014.10558410629</v>
      </c>
      <c r="BL96" s="39">
        <v>241382.97045299332</v>
      </c>
      <c r="BM96" s="41">
        <v>3520.0064214241993</v>
      </c>
      <c r="BN96" s="39">
        <v>37311.224367764458</v>
      </c>
      <c r="BO96" s="47">
        <v>1.1545727285472709</v>
      </c>
      <c r="BP96" s="41">
        <f t="shared" si="136"/>
        <v>1.5453207195357912</v>
      </c>
      <c r="BQ96" s="39">
        <v>87065.888937756434</v>
      </c>
      <c r="BR96" s="47">
        <v>3.200957323481723</v>
      </c>
      <c r="BS96" s="44">
        <v>68.710001829863998</v>
      </c>
      <c r="BT96" s="45">
        <v>509.58499387060675</v>
      </c>
      <c r="BU96" s="46">
        <v>169.90207622898262</v>
      </c>
      <c r="BV96" s="45">
        <v>1260.0719861445075</v>
      </c>
      <c r="BW96" s="393">
        <v>385095.77322645206</v>
      </c>
      <c r="BX96" s="295">
        <f t="shared" si="131"/>
        <v>120056.77651646749</v>
      </c>
      <c r="BY96" s="295">
        <f t="shared" si="137"/>
        <v>505152.54974291957</v>
      </c>
      <c r="BZ96" s="39">
        <v>307491.50902194344</v>
      </c>
      <c r="CA96" s="41">
        <v>4480.5028000267448</v>
      </c>
      <c r="CB96" s="39">
        <v>77604.264204508625</v>
      </c>
      <c r="CC96" s="47">
        <v>1.2523785598221855</v>
      </c>
      <c r="CD96" s="41">
        <f t="shared" si="138"/>
        <v>1.6428178825154827</v>
      </c>
      <c r="CE96" s="39">
        <v>111066.26626877097</v>
      </c>
      <c r="CF96" s="47">
        <v>3.4672613581386886</v>
      </c>
    </row>
    <row r="97" spans="1:84" s="22" customFormat="1" ht="15" customHeight="1">
      <c r="A97" s="324" t="str">
        <f t="shared" si="124"/>
        <v>BNI - Efficient Product Rebates; LED Linear Replacement Lamps; COM-Lighting; School</v>
      </c>
      <c r="B97" s="108" t="s">
        <v>80</v>
      </c>
      <c r="C97" s="15" t="s">
        <v>71</v>
      </c>
      <c r="D97" s="15" t="s">
        <v>57</v>
      </c>
      <c r="E97" s="37">
        <v>10</v>
      </c>
      <c r="F97" s="38">
        <v>148.53399936431882</v>
      </c>
      <c r="G97" s="38">
        <v>19.146346278203854</v>
      </c>
      <c r="H97" s="39">
        <v>84</v>
      </c>
      <c r="I97" s="40">
        <v>0.23809523809523808</v>
      </c>
      <c r="J97" s="39">
        <v>4.7530879796582024</v>
      </c>
      <c r="K97" s="39">
        <v>24.753087979658204</v>
      </c>
      <c r="L97" s="39">
        <v>64</v>
      </c>
      <c r="M97" s="39">
        <v>88.753087979658204</v>
      </c>
      <c r="N97" s="39">
        <v>96.876243714496368</v>
      </c>
      <c r="O97" s="41">
        <v>0.76</v>
      </c>
      <c r="P97" s="41">
        <v>1.0733726588435786</v>
      </c>
      <c r="Q97" s="261">
        <f t="shared" si="125"/>
        <v>1.0733726588435786</v>
      </c>
      <c r="R97" s="262">
        <f t="shared" si="132"/>
        <v>0</v>
      </c>
      <c r="S97" s="262">
        <f t="shared" si="126"/>
        <v>35.804864349168959</v>
      </c>
      <c r="T97" s="261">
        <f t="shared" si="127"/>
        <v>1.4700845974202212</v>
      </c>
      <c r="U97" s="267">
        <f t="shared" si="140"/>
        <v>0.36959385476060935</v>
      </c>
      <c r="V97" s="42" t="s">
        <v>72</v>
      </c>
      <c r="W97" s="199">
        <f>0.027*W3</f>
        <v>3.4020000000000002E-2</v>
      </c>
      <c r="X97" s="199"/>
      <c r="Y97" s="333">
        <v>0</v>
      </c>
      <c r="Z97" s="334">
        <f t="shared" si="141"/>
        <v>5.0531266583741266</v>
      </c>
      <c r="AA97" s="309">
        <f t="shared" si="142"/>
        <v>0.25265633291870632</v>
      </c>
      <c r="AB97" s="309">
        <f t="shared" si="143"/>
        <v>0.14654067309284968</v>
      </c>
      <c r="AC97" s="309">
        <f t="shared" si="144"/>
        <v>2.0212506633496507E-2</v>
      </c>
      <c r="AD97" s="309">
        <f t="shared" si="145"/>
        <v>0</v>
      </c>
      <c r="AE97" s="309">
        <f t="shared" si="146"/>
        <v>0.3688782460613112</v>
      </c>
      <c r="AF97" s="309">
        <f t="shared" si="147"/>
        <v>3.7241543472217313</v>
      </c>
      <c r="AG97" s="309" t="s">
        <v>38</v>
      </c>
      <c r="AH97" s="309">
        <f t="shared" si="139"/>
        <v>0</v>
      </c>
      <c r="AI97" s="309">
        <f t="shared" si="148"/>
        <v>0.41940951264505255</v>
      </c>
      <c r="AJ97" s="309">
        <f t="shared" si="149"/>
        <v>0.11622191314260491</v>
      </c>
      <c r="AK97" s="309">
        <f t="shared" si="128"/>
        <v>5.0480735317157519</v>
      </c>
      <c r="AL97" s="246" t="s">
        <v>456</v>
      </c>
      <c r="AM97" s="234" t="s">
        <v>331</v>
      </c>
      <c r="AN97" s="102" t="s">
        <v>72</v>
      </c>
      <c r="AO97" s="246"/>
      <c r="AP97" s="43" t="s">
        <v>80</v>
      </c>
      <c r="AQ97" s="44">
        <v>46.263405248312566</v>
      </c>
      <c r="AR97" s="45">
        <v>358.903391064581</v>
      </c>
      <c r="AS97" s="46">
        <v>46.263405248312566</v>
      </c>
      <c r="AT97" s="45">
        <v>358.903391064581</v>
      </c>
      <c r="AU97" s="393">
        <v>234082.51667317515</v>
      </c>
      <c r="AV97" s="295">
        <f t="shared" si="129"/>
        <v>86515.459669303411</v>
      </c>
      <c r="AW97" s="295">
        <f t="shared" si="133"/>
        <v>320597.97634247853</v>
      </c>
      <c r="AX97" s="39">
        <v>218081.31103820837</v>
      </c>
      <c r="AY97" s="41">
        <v>3179.3482034644949</v>
      </c>
      <c r="AZ97" s="39">
        <v>16001.205634966784</v>
      </c>
      <c r="BA97" s="47">
        <v>1.0733726588435784</v>
      </c>
      <c r="BB97" s="41">
        <f t="shared" si="134"/>
        <v>1.470084597420221</v>
      </c>
      <c r="BC97" s="39">
        <v>78698.685798324892</v>
      </c>
      <c r="BD97" s="47">
        <v>2.9744145572270484</v>
      </c>
      <c r="BE97" s="46">
        <v>51.607321407767742</v>
      </c>
      <c r="BF97" s="45">
        <v>400.36055620188421</v>
      </c>
      <c r="BG97" s="46">
        <v>97.870726656080308</v>
      </c>
      <c r="BH97" s="45">
        <v>759.26394726646527</v>
      </c>
      <c r="BI97" s="393">
        <v>278795.87572146935</v>
      </c>
      <c r="BJ97" s="295">
        <f t="shared" si="130"/>
        <v>95403.85299325503</v>
      </c>
      <c r="BK97" s="295">
        <f t="shared" si="135"/>
        <v>374199.72871472436</v>
      </c>
      <c r="BL97" s="39">
        <v>240679.4905456799</v>
      </c>
      <c r="BM97" s="41">
        <v>3505.9869042725322</v>
      </c>
      <c r="BN97" s="39">
        <v>38116.385175789444</v>
      </c>
      <c r="BO97" s="47">
        <v>1.1583698930447717</v>
      </c>
      <c r="BP97" s="41">
        <f t="shared" si="136"/>
        <v>1.5547636729092333</v>
      </c>
      <c r="BQ97" s="39">
        <v>86977.024662372089</v>
      </c>
      <c r="BR97" s="47">
        <v>3.2053967907467609</v>
      </c>
      <c r="BS97" s="44">
        <v>66.40517421625492</v>
      </c>
      <c r="BT97" s="45">
        <v>515.15970522549173</v>
      </c>
      <c r="BU97" s="46">
        <v>164.27590087233523</v>
      </c>
      <c r="BV97" s="45">
        <v>1274.423652491957</v>
      </c>
      <c r="BW97" s="393">
        <v>384711.40758042369</v>
      </c>
      <c r="BX97" s="295">
        <f t="shared" si="131"/>
        <v>121370.1626705488</v>
      </c>
      <c r="BY97" s="295">
        <f t="shared" si="137"/>
        <v>506081.57025097252</v>
      </c>
      <c r="BZ97" s="39">
        <v>306431.3982889835</v>
      </c>
      <c r="CA97" s="41">
        <v>4460.2202902901108</v>
      </c>
      <c r="CB97" s="39">
        <v>78280.00929144019</v>
      </c>
      <c r="CC97" s="47">
        <v>1.2554568811438094</v>
      </c>
      <c r="CD97" s="41">
        <f t="shared" si="138"/>
        <v>1.6515330122068848</v>
      </c>
      <c r="CE97" s="39">
        <v>110895.34076266503</v>
      </c>
      <c r="CF97" s="47">
        <v>3.4691395051823846</v>
      </c>
    </row>
    <row r="98" spans="1:84" s="22" customFormat="1" ht="15" customHeight="1">
      <c r="A98" s="324" t="str">
        <f t="shared" si="124"/>
        <v xml:space="preserve">BNI - Efficient Product Rebates; LED Exterior Fixtures-End of Life replacement; IND; Industrial </v>
      </c>
      <c r="B98" s="36" t="s">
        <v>81</v>
      </c>
      <c r="C98" s="15" t="s">
        <v>67</v>
      </c>
      <c r="D98" s="15" t="s">
        <v>68</v>
      </c>
      <c r="E98" s="37">
        <v>10</v>
      </c>
      <c r="F98" s="38">
        <v>608.15983078196314</v>
      </c>
      <c r="G98" s="38">
        <v>139.42224456257779</v>
      </c>
      <c r="H98" s="39">
        <v>125</v>
      </c>
      <c r="I98" s="40">
        <v>0.4</v>
      </c>
      <c r="J98" s="39">
        <v>19.46111458502282</v>
      </c>
      <c r="K98" s="39">
        <v>69.461114585022813</v>
      </c>
      <c r="L98" s="39">
        <v>75</v>
      </c>
      <c r="M98" s="39">
        <v>144.46111458502281</v>
      </c>
      <c r="N98" s="39">
        <v>464.86285945580494</v>
      </c>
      <c r="O98" s="41">
        <v>0.76</v>
      </c>
      <c r="P98" s="41">
        <v>3.0866008466480577</v>
      </c>
      <c r="Q98" s="261">
        <f t="shared" si="125"/>
        <v>3.0866008466480577</v>
      </c>
      <c r="R98" s="262">
        <f t="shared" si="132"/>
        <v>0</v>
      </c>
      <c r="S98" s="262">
        <f t="shared" si="126"/>
        <v>146.59997264567426</v>
      </c>
      <c r="T98" s="261">
        <f t="shared" si="127"/>
        <v>4.059996742840835</v>
      </c>
      <c r="U98" s="267">
        <f t="shared" si="140"/>
        <v>0.3153617667311443</v>
      </c>
      <c r="V98" s="42" t="s">
        <v>72</v>
      </c>
      <c r="W98" s="199">
        <f>0.027*W3</f>
        <v>3.4020000000000002E-2</v>
      </c>
      <c r="X98" s="199"/>
      <c r="Y98" s="333">
        <v>0</v>
      </c>
      <c r="Z98" s="334">
        <f t="shared" si="141"/>
        <v>20.689597443202388</v>
      </c>
      <c r="AA98" s="309">
        <f t="shared" si="142"/>
        <v>1.0344798721601194</v>
      </c>
      <c r="AB98" s="309">
        <f t="shared" si="143"/>
        <v>0.59999832585286927</v>
      </c>
      <c r="AC98" s="309">
        <f t="shared" si="144"/>
        <v>8.2758389772809554E-2</v>
      </c>
      <c r="AD98" s="309">
        <f t="shared" si="145"/>
        <v>0</v>
      </c>
      <c r="AE98" s="309">
        <f t="shared" si="146"/>
        <v>1.5103406133537742</v>
      </c>
      <c r="AF98" s="309">
        <f t="shared" si="147"/>
        <v>15.24823331564016</v>
      </c>
      <c r="AG98" s="309" t="s">
        <v>38</v>
      </c>
      <c r="AH98" s="309">
        <f t="shared" si="139"/>
        <v>0</v>
      </c>
      <c r="AI98" s="309">
        <f t="shared" si="148"/>
        <v>1.7172365877857982</v>
      </c>
      <c r="AJ98" s="309">
        <f t="shared" si="149"/>
        <v>0.4758607411936549</v>
      </c>
      <c r="AK98" s="309">
        <f t="shared" si="128"/>
        <v>20.668907845759186</v>
      </c>
      <c r="AL98" s="246" t="s">
        <v>456</v>
      </c>
      <c r="AM98" s="234" t="s">
        <v>331</v>
      </c>
      <c r="AN98" s="102" t="s">
        <v>72</v>
      </c>
      <c r="AO98" s="246"/>
      <c r="AP98" s="43" t="s">
        <v>81</v>
      </c>
      <c r="AQ98" s="44">
        <v>9.2142953711831836</v>
      </c>
      <c r="AR98" s="45">
        <v>40.192756409100973</v>
      </c>
      <c r="AS98" s="46">
        <v>9.2142953711831836</v>
      </c>
      <c r="AT98" s="45">
        <v>40.192756409100973</v>
      </c>
      <c r="AU98" s="393">
        <v>30722.383702523621</v>
      </c>
      <c r="AV98" s="295">
        <f t="shared" si="129"/>
        <v>9688.6652026199627</v>
      </c>
      <c r="AW98" s="295">
        <f t="shared" si="133"/>
        <v>40411.048905143587</v>
      </c>
      <c r="AX98" s="39">
        <v>9953.4683066931302</v>
      </c>
      <c r="AY98" s="41">
        <v>86.959386537334453</v>
      </c>
      <c r="AZ98" s="39">
        <v>20768.915395830489</v>
      </c>
      <c r="BA98" s="47">
        <v>3.0866008466480572</v>
      </c>
      <c r="BB98" s="41">
        <f t="shared" si="134"/>
        <v>4.059996742840835</v>
      </c>
      <c r="BC98" s="39">
        <v>6040.2959125130792</v>
      </c>
      <c r="BD98" s="47">
        <v>5.086238182284931</v>
      </c>
      <c r="BE98" s="46">
        <v>7.0098975532226264</v>
      </c>
      <c r="BF98" s="45">
        <v>30.577173127157039</v>
      </c>
      <c r="BG98" s="46">
        <v>16.224192924405813</v>
      </c>
      <c r="BH98" s="45">
        <v>70.769929536258019</v>
      </c>
      <c r="BI98" s="393">
        <v>25298.710024603446</v>
      </c>
      <c r="BJ98" s="295">
        <f t="shared" si="130"/>
        <v>7286.3824489782955</v>
      </c>
      <c r="BK98" s="295">
        <f t="shared" si="135"/>
        <v>32585.092473581743</v>
      </c>
      <c r="BL98" s="39">
        <v>7500.2701262561495</v>
      </c>
      <c r="BM98" s="41">
        <v>65.398002159081003</v>
      </c>
      <c r="BN98" s="39">
        <v>17798.439898347297</v>
      </c>
      <c r="BO98" s="47">
        <v>3.3730398503969088</v>
      </c>
      <c r="BP98" s="41">
        <f t="shared" si="136"/>
        <v>4.3445225205304689</v>
      </c>
      <c r="BQ98" s="39">
        <v>4557.3600290975046</v>
      </c>
      <c r="BR98" s="47">
        <v>5.5511765283142127</v>
      </c>
      <c r="BS98" s="44">
        <v>7.5508706391574396</v>
      </c>
      <c r="BT98" s="45">
        <v>32.936897728004688</v>
      </c>
      <c r="BU98" s="46">
        <v>23.775063563563251</v>
      </c>
      <c r="BV98" s="45">
        <v>103.7068272642627</v>
      </c>
      <c r="BW98" s="393">
        <v>29567.969799436891</v>
      </c>
      <c r="BX98" s="295">
        <f t="shared" si="131"/>
        <v>7759.8395110529409</v>
      </c>
      <c r="BY98" s="295">
        <f t="shared" si="137"/>
        <v>37327.809310489829</v>
      </c>
      <c r="BZ98" s="39">
        <v>8003.325067531945</v>
      </c>
      <c r="CA98" s="41">
        <v>69.647456011469913</v>
      </c>
      <c r="CB98" s="39">
        <v>21564.644731904948</v>
      </c>
      <c r="CC98" s="47">
        <v>3.6944606835212586</v>
      </c>
      <c r="CD98" s="41">
        <f t="shared" si="138"/>
        <v>4.6640376337982392</v>
      </c>
      <c r="CE98" s="39">
        <v>4869.1895470157979</v>
      </c>
      <c r="CF98" s="47">
        <v>6.0724622678856992</v>
      </c>
    </row>
    <row r="99" spans="1:84" s="22" customFormat="1" ht="15" customHeight="1">
      <c r="A99" s="324" t="str">
        <f t="shared" si="124"/>
        <v>BNI - Efficient Product Rebates; LED Exterior Fixtures-End of Life replacement; COM-Lighting; Office</v>
      </c>
      <c r="B99" s="36" t="s">
        <v>81</v>
      </c>
      <c r="C99" s="15" t="s">
        <v>71</v>
      </c>
      <c r="D99" s="15" t="s">
        <v>64</v>
      </c>
      <c r="E99" s="37">
        <v>10</v>
      </c>
      <c r="F99" s="38">
        <v>608.15983078196314</v>
      </c>
      <c r="G99" s="38">
        <v>138.39492859225055</v>
      </c>
      <c r="H99" s="39">
        <v>125</v>
      </c>
      <c r="I99" s="40">
        <v>0.4</v>
      </c>
      <c r="J99" s="39">
        <v>19.46111458502282</v>
      </c>
      <c r="K99" s="39">
        <v>69.461114585022813</v>
      </c>
      <c r="L99" s="39">
        <v>75</v>
      </c>
      <c r="M99" s="39">
        <v>144.46111458502281</v>
      </c>
      <c r="N99" s="39">
        <v>463.71464477059749</v>
      </c>
      <c r="O99" s="41">
        <v>0.76</v>
      </c>
      <c r="P99" s="41">
        <v>3.0789769198330741</v>
      </c>
      <c r="Q99" s="261">
        <f t="shared" si="125"/>
        <v>3.0789769198330741</v>
      </c>
      <c r="R99" s="262">
        <f t="shared" si="132"/>
        <v>0</v>
      </c>
      <c r="S99" s="262">
        <f t="shared" si="126"/>
        <v>146.59997264567426</v>
      </c>
      <c r="T99" s="261">
        <f t="shared" si="127"/>
        <v>4.0523728160258514</v>
      </c>
      <c r="U99" s="267">
        <f t="shared" si="140"/>
        <v>0.31614264138282328</v>
      </c>
      <c r="V99" s="42" t="s">
        <v>72</v>
      </c>
      <c r="W99" s="199">
        <f>0.027*W3</f>
        <v>3.4020000000000002E-2</v>
      </c>
      <c r="X99" s="199"/>
      <c r="Y99" s="333">
        <v>0</v>
      </c>
      <c r="Z99" s="334">
        <f t="shared" si="141"/>
        <v>20.689597443202388</v>
      </c>
      <c r="AA99" s="309">
        <f t="shared" si="142"/>
        <v>1.0344798721601194</v>
      </c>
      <c r="AB99" s="309">
        <f t="shared" si="143"/>
        <v>0.59999832585286927</v>
      </c>
      <c r="AC99" s="309">
        <f t="shared" si="144"/>
        <v>8.2758389772809554E-2</v>
      </c>
      <c r="AD99" s="309">
        <f t="shared" si="145"/>
        <v>0</v>
      </c>
      <c r="AE99" s="309">
        <f t="shared" si="146"/>
        <v>1.5103406133537742</v>
      </c>
      <c r="AF99" s="309">
        <f t="shared" si="147"/>
        <v>15.24823331564016</v>
      </c>
      <c r="AG99" s="309" t="s">
        <v>38</v>
      </c>
      <c r="AH99" s="309">
        <f t="shared" si="139"/>
        <v>0</v>
      </c>
      <c r="AI99" s="309">
        <f t="shared" si="148"/>
        <v>1.7172365877857982</v>
      </c>
      <c r="AJ99" s="309">
        <f t="shared" si="149"/>
        <v>0.4758607411936549</v>
      </c>
      <c r="AK99" s="309">
        <f t="shared" si="128"/>
        <v>20.668907845759186</v>
      </c>
      <c r="AL99" s="246" t="s">
        <v>456</v>
      </c>
      <c r="AM99" s="234" t="s">
        <v>331</v>
      </c>
      <c r="AN99" s="102" t="s">
        <v>72</v>
      </c>
      <c r="AO99" s="246"/>
      <c r="AP99" s="43" t="s">
        <v>81</v>
      </c>
      <c r="AQ99" s="44">
        <v>7.2661938421033501</v>
      </c>
      <c r="AR99" s="45">
        <v>31.930412930535365</v>
      </c>
      <c r="AS99" s="46">
        <v>7.2661938421033501</v>
      </c>
      <c r="AT99" s="45">
        <v>31.930412930535365</v>
      </c>
      <c r="AU99" s="393">
        <v>24346.560459975772</v>
      </c>
      <c r="AV99" s="295">
        <f t="shared" si="129"/>
        <v>7696.9859324033432</v>
      </c>
      <c r="AW99" s="295">
        <f t="shared" si="133"/>
        <v>32043.546392379114</v>
      </c>
      <c r="AX99" s="39">
        <v>7907.3539990341051</v>
      </c>
      <c r="AY99" s="41">
        <v>69.083321682670203</v>
      </c>
      <c r="AZ99" s="39">
        <v>16439.206460941667</v>
      </c>
      <c r="BA99" s="47">
        <v>3.0789769198330745</v>
      </c>
      <c r="BB99" s="41">
        <f t="shared" si="134"/>
        <v>4.0523728160258514</v>
      </c>
      <c r="BC99" s="39">
        <v>4798.6045233139466</v>
      </c>
      <c r="BD99" s="47">
        <v>5.0736751365294595</v>
      </c>
      <c r="BE99" s="46">
        <v>5.5827376888615428</v>
      </c>
      <c r="BF99" s="45">
        <v>24.532667798552833</v>
      </c>
      <c r="BG99" s="46">
        <v>12.848931530964892</v>
      </c>
      <c r="BH99" s="45">
        <v>56.463080729088198</v>
      </c>
      <c r="BI99" s="393">
        <v>20243.550464982309</v>
      </c>
      <c r="BJ99" s="295">
        <f t="shared" si="130"/>
        <v>5846.008044322125</v>
      </c>
      <c r="BK99" s="295">
        <f t="shared" si="135"/>
        <v>26089.558509304436</v>
      </c>
      <c r="BL99" s="39">
        <v>6017.6143373905106</v>
      </c>
      <c r="BM99" s="41">
        <v>52.4701042501814</v>
      </c>
      <c r="BN99" s="39">
        <v>14225.936127591798</v>
      </c>
      <c r="BO99" s="47">
        <v>3.3640491613426922</v>
      </c>
      <c r="BP99" s="41">
        <f t="shared" si="136"/>
        <v>4.3355318314762528</v>
      </c>
      <c r="BQ99" s="39">
        <v>3656.4596461323472</v>
      </c>
      <c r="BR99" s="47">
        <v>5.536380111946567</v>
      </c>
      <c r="BS99" s="44">
        <v>6.2187021057898129</v>
      </c>
      <c r="BT99" s="45">
        <v>27.327336765953877</v>
      </c>
      <c r="BU99" s="46">
        <v>19.067633636754707</v>
      </c>
      <c r="BV99" s="45">
        <v>83.790417495042078</v>
      </c>
      <c r="BW99" s="393">
        <v>24462.747919255125</v>
      </c>
      <c r="BX99" s="295">
        <f t="shared" si="131"/>
        <v>6438.2428885522386</v>
      </c>
      <c r="BY99" s="295">
        <f t="shared" si="137"/>
        <v>30900.990807807364</v>
      </c>
      <c r="BZ99" s="39">
        <v>6640.2598439587582</v>
      </c>
      <c r="CA99" s="41">
        <v>57.785633031830088</v>
      </c>
      <c r="CB99" s="39">
        <v>17822.488075296365</v>
      </c>
      <c r="CC99" s="47">
        <v>3.6840046164023366</v>
      </c>
      <c r="CD99" s="41">
        <f t="shared" si="138"/>
        <v>4.6535815666793185</v>
      </c>
      <c r="CE99" s="39">
        <v>4039.9063575264045</v>
      </c>
      <c r="CF99" s="47">
        <v>6.0552759777910863</v>
      </c>
    </row>
    <row r="100" spans="1:84" s="22" customFormat="1" ht="15" customHeight="1">
      <c r="A100" s="324" t="str">
        <f t="shared" si="124"/>
        <v>BNI - Efficient Product Rebates; LED Exterior Fixtures-End of Life replacement; COM-Lighting; Other Commercial</v>
      </c>
      <c r="B100" s="36" t="s">
        <v>81</v>
      </c>
      <c r="C100" s="15" t="s">
        <v>71</v>
      </c>
      <c r="D100" s="15" t="s">
        <v>54</v>
      </c>
      <c r="E100" s="37">
        <v>10</v>
      </c>
      <c r="F100" s="38">
        <v>608.15983078196314</v>
      </c>
      <c r="G100" s="38">
        <v>138.39492859225055</v>
      </c>
      <c r="H100" s="39">
        <v>125</v>
      </c>
      <c r="I100" s="40">
        <v>0.4</v>
      </c>
      <c r="J100" s="39">
        <v>19.46111458502282</v>
      </c>
      <c r="K100" s="39">
        <v>69.461114585022813</v>
      </c>
      <c r="L100" s="39">
        <v>75</v>
      </c>
      <c r="M100" s="39">
        <v>144.46111458502281</v>
      </c>
      <c r="N100" s="39">
        <v>463.71464477059749</v>
      </c>
      <c r="O100" s="41">
        <v>0.76</v>
      </c>
      <c r="P100" s="41">
        <v>3.0789769198330741</v>
      </c>
      <c r="Q100" s="261">
        <f t="shared" si="125"/>
        <v>3.0789769198330741</v>
      </c>
      <c r="R100" s="262">
        <f t="shared" si="132"/>
        <v>0</v>
      </c>
      <c r="S100" s="262">
        <f t="shared" si="126"/>
        <v>146.59997264567426</v>
      </c>
      <c r="T100" s="261">
        <f t="shared" si="127"/>
        <v>4.0523728160258514</v>
      </c>
      <c r="U100" s="267">
        <f t="shared" si="140"/>
        <v>0.31614264138282328</v>
      </c>
      <c r="V100" s="42" t="s">
        <v>72</v>
      </c>
      <c r="W100" s="199">
        <f>0.027*W3</f>
        <v>3.4020000000000002E-2</v>
      </c>
      <c r="X100" s="199"/>
      <c r="Y100" s="333">
        <v>0</v>
      </c>
      <c r="Z100" s="334">
        <f t="shared" si="141"/>
        <v>20.689597443202388</v>
      </c>
      <c r="AA100" s="309">
        <f t="shared" si="142"/>
        <v>1.0344798721601194</v>
      </c>
      <c r="AB100" s="309">
        <f t="shared" si="143"/>
        <v>0.59999832585286927</v>
      </c>
      <c r="AC100" s="309">
        <f t="shared" si="144"/>
        <v>8.2758389772809554E-2</v>
      </c>
      <c r="AD100" s="309">
        <f t="shared" si="145"/>
        <v>0</v>
      </c>
      <c r="AE100" s="309">
        <f t="shared" si="146"/>
        <v>1.5103406133537742</v>
      </c>
      <c r="AF100" s="309">
        <f t="shared" si="147"/>
        <v>15.24823331564016</v>
      </c>
      <c r="AG100" s="309" t="s">
        <v>38</v>
      </c>
      <c r="AH100" s="309">
        <f t="shared" si="139"/>
        <v>0</v>
      </c>
      <c r="AI100" s="309">
        <f t="shared" si="148"/>
        <v>1.7172365877857982</v>
      </c>
      <c r="AJ100" s="309">
        <f t="shared" si="149"/>
        <v>0.4758607411936549</v>
      </c>
      <c r="AK100" s="309">
        <f t="shared" si="128"/>
        <v>20.668907845759186</v>
      </c>
      <c r="AL100" s="246" t="s">
        <v>456</v>
      </c>
      <c r="AM100" s="234" t="s">
        <v>331</v>
      </c>
      <c r="AN100" s="102" t="s">
        <v>72</v>
      </c>
      <c r="AO100" s="246"/>
      <c r="AP100" s="43" t="s">
        <v>81</v>
      </c>
      <c r="AQ100" s="44">
        <v>9.8568601156258087</v>
      </c>
      <c r="AR100" s="45">
        <v>43.314783575791651</v>
      </c>
      <c r="AS100" s="46">
        <v>9.8568601156258087</v>
      </c>
      <c r="AT100" s="45">
        <v>43.314783575791651</v>
      </c>
      <c r="AU100" s="393">
        <v>33027.007807039205</v>
      </c>
      <c r="AV100" s="295">
        <f t="shared" si="129"/>
        <v>10441.245485088497</v>
      </c>
      <c r="AW100" s="295">
        <f t="shared" si="133"/>
        <v>43468.253292127702</v>
      </c>
      <c r="AX100" s="39">
        <v>10726.617531394082</v>
      </c>
      <c r="AY100" s="41">
        <v>93.714075476927562</v>
      </c>
      <c r="AZ100" s="39">
        <v>22300.390275645121</v>
      </c>
      <c r="BA100" s="47">
        <v>3.0789769198330741</v>
      </c>
      <c r="BB100" s="41">
        <f t="shared" si="134"/>
        <v>4.0523728160258514</v>
      </c>
      <c r="BC100" s="39">
        <v>6509.4841349323424</v>
      </c>
      <c r="BD100" s="47">
        <v>5.0736751365294595</v>
      </c>
      <c r="BE100" s="46">
        <v>7.5731897135036066</v>
      </c>
      <c r="BF100" s="45">
        <v>33.279469280364616</v>
      </c>
      <c r="BG100" s="46">
        <v>17.430049829129413</v>
      </c>
      <c r="BH100" s="45">
        <v>76.59425285615626</v>
      </c>
      <c r="BI100" s="393">
        <v>27461.123321640156</v>
      </c>
      <c r="BJ100" s="295">
        <f t="shared" si="130"/>
        <v>7930.3256670381015</v>
      </c>
      <c r="BK100" s="295">
        <f t="shared" si="135"/>
        <v>35391.448988678254</v>
      </c>
      <c r="BL100" s="39">
        <v>8163.115936950102</v>
      </c>
      <c r="BM100" s="41">
        <v>71.177632896266061</v>
      </c>
      <c r="BN100" s="39">
        <v>19298.007384690056</v>
      </c>
      <c r="BO100" s="47">
        <v>3.3640491613426922</v>
      </c>
      <c r="BP100" s="41">
        <f t="shared" si="136"/>
        <v>4.3355318314762519</v>
      </c>
      <c r="BQ100" s="39">
        <v>4960.122456618129</v>
      </c>
      <c r="BR100" s="47">
        <v>5.536380111946567</v>
      </c>
      <c r="BS100" s="44">
        <v>8.4358989162026266</v>
      </c>
      <c r="BT100" s="45">
        <v>37.070540875721157</v>
      </c>
      <c r="BU100" s="46">
        <v>25.865948745332037</v>
      </c>
      <c r="BV100" s="45">
        <v>113.66479373187741</v>
      </c>
      <c r="BW100" s="393">
        <v>33184.620383608599</v>
      </c>
      <c r="BX100" s="295">
        <f t="shared" si="131"/>
        <v>8733.7140904724365</v>
      </c>
      <c r="BY100" s="295">
        <f t="shared" si="137"/>
        <v>41918.334474081035</v>
      </c>
      <c r="BZ100" s="39">
        <v>9007.7575461931647</v>
      </c>
      <c r="CA100" s="41">
        <v>78.388343865425597</v>
      </c>
      <c r="CB100" s="39">
        <v>24176.862837415436</v>
      </c>
      <c r="CC100" s="47">
        <v>3.6840046164023361</v>
      </c>
      <c r="CD100" s="41">
        <f t="shared" si="138"/>
        <v>4.6535815666793177</v>
      </c>
      <c r="CE100" s="39">
        <v>5480.2820722490123</v>
      </c>
      <c r="CF100" s="47">
        <v>6.0552759777910863</v>
      </c>
    </row>
    <row r="101" spans="1:84" s="22" customFormat="1" ht="15" customHeight="1">
      <c r="A101" s="324" t="str">
        <f t="shared" ref="A101:A132" si="150">CONCATENATE($B$4,"; ",B101,"; ",C101,"; ",D101)</f>
        <v>BNI - Efficient Product Rebates; LED Exterior Fixtures-End of Life replacement; COM-Lighting; Retail</v>
      </c>
      <c r="B101" s="36" t="s">
        <v>81</v>
      </c>
      <c r="C101" s="15" t="s">
        <v>71</v>
      </c>
      <c r="D101" s="15" t="s">
        <v>28</v>
      </c>
      <c r="E101" s="37">
        <v>10</v>
      </c>
      <c r="F101" s="38">
        <v>608.15983078196314</v>
      </c>
      <c r="G101" s="38">
        <v>138.39492859225055</v>
      </c>
      <c r="H101" s="39">
        <v>125</v>
      </c>
      <c r="I101" s="40">
        <v>0.4</v>
      </c>
      <c r="J101" s="39">
        <v>19.46111458502282</v>
      </c>
      <c r="K101" s="39">
        <v>69.461114585022813</v>
      </c>
      <c r="L101" s="39">
        <v>75</v>
      </c>
      <c r="M101" s="39">
        <v>144.46111458502281</v>
      </c>
      <c r="N101" s="39">
        <v>463.71464477059749</v>
      </c>
      <c r="O101" s="41">
        <v>0.76</v>
      </c>
      <c r="P101" s="41">
        <v>3.0789769198330741</v>
      </c>
      <c r="Q101" s="261">
        <f t="shared" ref="Q101:Q132" si="151">N101*O101/(O101*H101+J101)</f>
        <v>3.0789769198330741</v>
      </c>
      <c r="R101" s="262">
        <f t="shared" si="132"/>
        <v>0</v>
      </c>
      <c r="S101" s="262">
        <f t="shared" ref="S101:S132" si="152">-PV(RDR,E101,Z101)</f>
        <v>146.59997264567426</v>
      </c>
      <c r="T101" s="261">
        <f t="shared" ref="T101:T132" si="153">(N101+SUM(R101:S101))*O101/(O101*H101+J101)</f>
        <v>4.0523728160258514</v>
      </c>
      <c r="U101" s="267">
        <f t="shared" si="140"/>
        <v>0.31614264138282328</v>
      </c>
      <c r="V101" s="42" t="s">
        <v>72</v>
      </c>
      <c r="W101" s="199">
        <f>0.027*W3</f>
        <v>3.4020000000000002E-2</v>
      </c>
      <c r="X101" s="199"/>
      <c r="Y101" s="333">
        <v>0</v>
      </c>
      <c r="Z101" s="334">
        <f t="shared" si="141"/>
        <v>20.689597443202388</v>
      </c>
      <c r="AA101" s="309">
        <f t="shared" si="142"/>
        <v>1.0344798721601194</v>
      </c>
      <c r="AB101" s="309">
        <f t="shared" si="143"/>
        <v>0.59999832585286927</v>
      </c>
      <c r="AC101" s="309">
        <f t="shared" si="144"/>
        <v>8.2758389772809554E-2</v>
      </c>
      <c r="AD101" s="309">
        <f t="shared" si="145"/>
        <v>0</v>
      </c>
      <c r="AE101" s="309">
        <f t="shared" si="146"/>
        <v>1.5103406133537742</v>
      </c>
      <c r="AF101" s="309">
        <f t="shared" si="147"/>
        <v>15.24823331564016</v>
      </c>
      <c r="AG101" s="309" t="s">
        <v>38</v>
      </c>
      <c r="AH101" s="309">
        <f t="shared" si="139"/>
        <v>0</v>
      </c>
      <c r="AI101" s="309">
        <f t="shared" si="148"/>
        <v>1.7172365877857982</v>
      </c>
      <c r="AJ101" s="309">
        <f t="shared" si="149"/>
        <v>0.4758607411936549</v>
      </c>
      <c r="AK101" s="309">
        <f t="shared" ref="AK101:AK132" si="154">SUM(AA101:AJ101)</f>
        <v>20.668907845759186</v>
      </c>
      <c r="AL101" s="246" t="s">
        <v>456</v>
      </c>
      <c r="AM101" s="234" t="s">
        <v>331</v>
      </c>
      <c r="AN101" s="102" t="s">
        <v>72</v>
      </c>
      <c r="AO101" s="246"/>
      <c r="AP101" s="43" t="s">
        <v>81</v>
      </c>
      <c r="AQ101" s="44">
        <v>14.102626278814716</v>
      </c>
      <c r="AR101" s="45">
        <v>61.972291170974849</v>
      </c>
      <c r="AS101" s="46">
        <v>14.102626278814716</v>
      </c>
      <c r="AT101" s="45">
        <v>61.972291170974849</v>
      </c>
      <c r="AU101" s="393">
        <v>47253.135658464038</v>
      </c>
      <c r="AV101" s="295">
        <f t="shared" ref="AV101:AV132" si="155">SUM(R101:S101)*O101*AY101</f>
        <v>14938.731120687691</v>
      </c>
      <c r="AW101" s="295">
        <f t="shared" si="133"/>
        <v>62191.866779151729</v>
      </c>
      <c r="AX101" s="39">
        <v>15347.024966015611</v>
      </c>
      <c r="AY101" s="41">
        <v>134.08068776593726</v>
      </c>
      <c r="AZ101" s="39">
        <v>31906.110692448427</v>
      </c>
      <c r="BA101" s="47">
        <v>3.0789769198330741</v>
      </c>
      <c r="BB101" s="41">
        <f t="shared" si="134"/>
        <v>4.0523728160258514</v>
      </c>
      <c r="BC101" s="39">
        <v>9313.3940165484346</v>
      </c>
      <c r="BD101" s="47">
        <v>5.0736751365294603</v>
      </c>
      <c r="BE101" s="46">
        <v>10.835282535743321</v>
      </c>
      <c r="BF101" s="45">
        <v>47.614342956360346</v>
      </c>
      <c r="BG101" s="46">
        <v>24.937908814558039</v>
      </c>
      <c r="BH101" s="45">
        <v>109.5866341273352</v>
      </c>
      <c r="BI101" s="393">
        <v>39289.789533240844</v>
      </c>
      <c r="BJ101" s="295">
        <f t="shared" ref="BJ101:BJ132" si="156">SUM(R101:S101)*O101*BM101</f>
        <v>11346.252035598634</v>
      </c>
      <c r="BK101" s="295">
        <f t="shared" si="135"/>
        <v>50636.041568839479</v>
      </c>
      <c r="BL101" s="39">
        <v>11679.314911545203</v>
      </c>
      <c r="BM101" s="41">
        <v>101.83684706607788</v>
      </c>
      <c r="BN101" s="39">
        <v>27610.474621695641</v>
      </c>
      <c r="BO101" s="47">
        <v>3.3640491613426926</v>
      </c>
      <c r="BP101" s="41">
        <f t="shared" si="136"/>
        <v>4.3355318314762519</v>
      </c>
      <c r="BQ101" s="39">
        <v>7096.6567935716976</v>
      </c>
      <c r="BR101" s="47">
        <v>5.5363801119465679</v>
      </c>
      <c r="BS101" s="44">
        <v>12.069597046676808</v>
      </c>
      <c r="BT101" s="45">
        <v>53.038389283322822</v>
      </c>
      <c r="BU101" s="46">
        <v>37.007505861234847</v>
      </c>
      <c r="BV101" s="45">
        <v>162.62502341065803</v>
      </c>
      <c r="BW101" s="393">
        <v>47478.638631837413</v>
      </c>
      <c r="BX101" s="295">
        <f t="shared" ref="BX101:BX132" si="157">SUM(R101:S101)*O101*CA101</f>
        <v>12495.693800979845</v>
      </c>
      <c r="BY101" s="295">
        <f t="shared" si="137"/>
        <v>59974.33243281726</v>
      </c>
      <c r="BZ101" s="39">
        <v>12887.779353057194</v>
      </c>
      <c r="CA101" s="41">
        <v>112.1535159453897</v>
      </c>
      <c r="CB101" s="39">
        <v>34590.859278780219</v>
      </c>
      <c r="CC101" s="47">
        <v>3.6840046164023357</v>
      </c>
      <c r="CD101" s="41">
        <f t="shared" si="138"/>
        <v>4.6535815666793177</v>
      </c>
      <c r="CE101" s="39">
        <v>7840.8711355146561</v>
      </c>
      <c r="CF101" s="47">
        <v>6.0552759777910863</v>
      </c>
    </row>
    <row r="102" spans="1:84" s="22" customFormat="1" ht="15" customHeight="1">
      <c r="A102" s="324" t="str">
        <f t="shared" si="150"/>
        <v>BNI - Efficient Product Rebates; LED Exterior Fixtures-End of Life replacement; COM-Lighting; School</v>
      </c>
      <c r="B102" s="36" t="s">
        <v>81</v>
      </c>
      <c r="C102" s="15" t="s">
        <v>71</v>
      </c>
      <c r="D102" s="15" t="s">
        <v>57</v>
      </c>
      <c r="E102" s="37">
        <v>10</v>
      </c>
      <c r="F102" s="38">
        <v>608.15983078196314</v>
      </c>
      <c r="G102" s="38">
        <v>138.39492859225055</v>
      </c>
      <c r="H102" s="39">
        <v>125</v>
      </c>
      <c r="I102" s="40">
        <v>0.4</v>
      </c>
      <c r="J102" s="39">
        <v>19.46111458502282</v>
      </c>
      <c r="K102" s="39">
        <v>69.461114585022813</v>
      </c>
      <c r="L102" s="39">
        <v>75</v>
      </c>
      <c r="M102" s="39">
        <v>144.46111458502281</v>
      </c>
      <c r="N102" s="39">
        <v>463.71464477059749</v>
      </c>
      <c r="O102" s="41">
        <v>0.76</v>
      </c>
      <c r="P102" s="41">
        <v>3.0789769198330741</v>
      </c>
      <c r="Q102" s="261">
        <f t="shared" si="151"/>
        <v>3.0789769198330741</v>
      </c>
      <c r="R102" s="262">
        <f t="shared" si="132"/>
        <v>0</v>
      </c>
      <c r="S102" s="262">
        <f t="shared" si="152"/>
        <v>146.59997264567426</v>
      </c>
      <c r="T102" s="261">
        <f t="shared" si="153"/>
        <v>4.0523728160258514</v>
      </c>
      <c r="U102" s="267">
        <f t="shared" si="140"/>
        <v>0.31614264138282328</v>
      </c>
      <c r="V102" s="42" t="s">
        <v>72</v>
      </c>
      <c r="W102" s="199">
        <f>0.027*W3</f>
        <v>3.4020000000000002E-2</v>
      </c>
      <c r="X102" s="199"/>
      <c r="Y102" s="333">
        <v>0</v>
      </c>
      <c r="Z102" s="334">
        <f t="shared" si="141"/>
        <v>20.689597443202388</v>
      </c>
      <c r="AA102" s="309">
        <f t="shared" si="142"/>
        <v>1.0344798721601194</v>
      </c>
      <c r="AB102" s="309">
        <f t="shared" si="143"/>
        <v>0.59999832585286927</v>
      </c>
      <c r="AC102" s="309">
        <f t="shared" si="144"/>
        <v>8.2758389772809554E-2</v>
      </c>
      <c r="AD102" s="309">
        <f t="shared" si="145"/>
        <v>0</v>
      </c>
      <c r="AE102" s="309">
        <f t="shared" si="146"/>
        <v>1.5103406133537742</v>
      </c>
      <c r="AF102" s="309">
        <f t="shared" si="147"/>
        <v>15.24823331564016</v>
      </c>
      <c r="AG102" s="309" t="s">
        <v>38</v>
      </c>
      <c r="AH102" s="309">
        <f t="shared" si="139"/>
        <v>0</v>
      </c>
      <c r="AI102" s="309">
        <f t="shared" si="148"/>
        <v>1.7172365877857982</v>
      </c>
      <c r="AJ102" s="309">
        <f t="shared" si="149"/>
        <v>0.4758607411936549</v>
      </c>
      <c r="AK102" s="309">
        <f t="shared" si="154"/>
        <v>20.668907845759186</v>
      </c>
      <c r="AL102" s="246" t="s">
        <v>456</v>
      </c>
      <c r="AM102" s="234" t="s">
        <v>331</v>
      </c>
      <c r="AN102" s="102" t="s">
        <v>72</v>
      </c>
      <c r="AO102" s="246"/>
      <c r="AP102" s="43" t="s">
        <v>81</v>
      </c>
      <c r="AQ102" s="44">
        <v>14.056539264831658</v>
      </c>
      <c r="AR102" s="45">
        <v>61.76976734361871</v>
      </c>
      <c r="AS102" s="46">
        <v>14.056539264831658</v>
      </c>
      <c r="AT102" s="45">
        <v>61.76976734361871</v>
      </c>
      <c r="AU102" s="393">
        <v>47098.713646508273</v>
      </c>
      <c r="AV102" s="295">
        <f t="shared" si="155"/>
        <v>14889.911737940345</v>
      </c>
      <c r="AW102" s="295">
        <f t="shared" si="133"/>
        <v>61988.62538444862</v>
      </c>
      <c r="AX102" s="39">
        <v>15296.871289656083</v>
      </c>
      <c r="AY102" s="41">
        <v>133.64251558369563</v>
      </c>
      <c r="AZ102" s="39">
        <v>31801.84235685219</v>
      </c>
      <c r="BA102" s="47">
        <v>3.0789769198330745</v>
      </c>
      <c r="BB102" s="41">
        <f t="shared" si="134"/>
        <v>4.0523728160258514</v>
      </c>
      <c r="BC102" s="39">
        <v>9282.9580883897797</v>
      </c>
      <c r="BD102" s="47">
        <v>5.0736751365294603</v>
      </c>
      <c r="BE102" s="46">
        <v>10.799873115691875</v>
      </c>
      <c r="BF102" s="45">
        <v>47.458740528398401</v>
      </c>
      <c r="BG102" s="46">
        <v>24.856412380523533</v>
      </c>
      <c r="BH102" s="45">
        <v>109.2285078720171</v>
      </c>
      <c r="BI102" s="393">
        <v>39161.39152823027</v>
      </c>
      <c r="BJ102" s="295">
        <f t="shared" si="156"/>
        <v>11309.172780580342</v>
      </c>
      <c r="BK102" s="295">
        <f t="shared" si="135"/>
        <v>50470.564308810615</v>
      </c>
      <c r="BL102" s="39">
        <v>11641.147215755844</v>
      </c>
      <c r="BM102" s="41">
        <v>101.5040469122672</v>
      </c>
      <c r="BN102" s="39">
        <v>27520.244312474424</v>
      </c>
      <c r="BO102" s="47">
        <v>3.3640491613426926</v>
      </c>
      <c r="BP102" s="41">
        <f t="shared" si="136"/>
        <v>4.3355318314762528</v>
      </c>
      <c r="BQ102" s="39">
        <v>7073.4651047038187</v>
      </c>
      <c r="BR102" s="47">
        <v>5.5363801119465679</v>
      </c>
      <c r="BS102" s="44">
        <v>12.030153919073296</v>
      </c>
      <c r="BT102" s="45">
        <v>52.865061213769515</v>
      </c>
      <c r="BU102" s="46">
        <v>36.886566299596829</v>
      </c>
      <c r="BV102" s="45">
        <v>162.09356908578661</v>
      </c>
      <c r="BW102" s="393">
        <v>47323.479682060184</v>
      </c>
      <c r="BX102" s="295">
        <f t="shared" si="157"/>
        <v>12454.858200323053</v>
      </c>
      <c r="BY102" s="295">
        <f t="shared" si="137"/>
        <v>59778.337882383239</v>
      </c>
      <c r="BZ102" s="39">
        <v>12845.662427066814</v>
      </c>
      <c r="CA102" s="41">
        <v>111.78700118739827</v>
      </c>
      <c r="CB102" s="39">
        <v>34477.817254993366</v>
      </c>
      <c r="CC102" s="47">
        <v>3.6840046164023361</v>
      </c>
      <c r="CD102" s="41">
        <f t="shared" si="138"/>
        <v>4.6535815666793185</v>
      </c>
      <c r="CE102" s="39">
        <v>7815.2473736338925</v>
      </c>
      <c r="CF102" s="47">
        <v>6.0552759777910863</v>
      </c>
    </row>
    <row r="103" spans="1:84" s="22" customFormat="1" ht="15" customHeight="1">
      <c r="A103" s="324" t="str">
        <f t="shared" si="150"/>
        <v xml:space="preserve">BNI - Efficient Product Rebates; LED Exit Sign-End of Life replacement; IND; Industrial </v>
      </c>
      <c r="B103" s="36" t="s">
        <v>82</v>
      </c>
      <c r="C103" s="15" t="s">
        <v>67</v>
      </c>
      <c r="D103" s="15" t="s">
        <v>68</v>
      </c>
      <c r="E103" s="37">
        <v>10</v>
      </c>
      <c r="F103" s="38">
        <v>88.22196000000001</v>
      </c>
      <c r="G103" s="38">
        <v>10.071000000000048</v>
      </c>
      <c r="H103" s="39">
        <v>25</v>
      </c>
      <c r="I103" s="40">
        <v>0.4</v>
      </c>
      <c r="J103" s="39">
        <v>2.8231027200000005</v>
      </c>
      <c r="K103" s="39">
        <v>12.823102720000001</v>
      </c>
      <c r="L103" s="39">
        <v>15</v>
      </c>
      <c r="M103" s="39">
        <v>27.823102720000001</v>
      </c>
      <c r="N103" s="39">
        <v>56.085665965801198</v>
      </c>
      <c r="O103" s="41">
        <v>0.76</v>
      </c>
      <c r="P103" s="41">
        <v>1.9532101681831293</v>
      </c>
      <c r="Q103" s="261">
        <f t="shared" si="151"/>
        <v>1.9532101681831293</v>
      </c>
      <c r="R103" s="262">
        <f t="shared" si="132"/>
        <v>0</v>
      </c>
      <c r="S103" s="262">
        <f t="shared" si="152"/>
        <v>21.266345240392269</v>
      </c>
      <c r="T103" s="261">
        <f t="shared" si="153"/>
        <v>2.693820822409025</v>
      </c>
      <c r="U103" s="267">
        <f t="shared" si="140"/>
        <v>0.37917612056812589</v>
      </c>
      <c r="V103" s="42" t="s">
        <v>72</v>
      </c>
      <c r="W103" s="199">
        <f>0.027*W3</f>
        <v>3.4020000000000002E-2</v>
      </c>
      <c r="X103" s="199"/>
      <c r="Y103" s="333">
        <v>0</v>
      </c>
      <c r="Z103" s="334">
        <f t="shared" si="141"/>
        <v>3.0013110792000006</v>
      </c>
      <c r="AA103" s="309">
        <f t="shared" si="142"/>
        <v>0.15006555396000004</v>
      </c>
      <c r="AB103" s="309">
        <f t="shared" si="143"/>
        <v>8.7038021296800022E-2</v>
      </c>
      <c r="AC103" s="309">
        <f t="shared" si="144"/>
        <v>1.2005244316800003E-2</v>
      </c>
      <c r="AD103" s="309">
        <f t="shared" si="145"/>
        <v>0</v>
      </c>
      <c r="AE103" s="309">
        <f t="shared" si="146"/>
        <v>0.21909570878160003</v>
      </c>
      <c r="AF103" s="309">
        <f t="shared" si="147"/>
        <v>2.2119662653704006</v>
      </c>
      <c r="AG103" s="309" t="s">
        <v>38</v>
      </c>
      <c r="AH103" s="309">
        <f t="shared" si="139"/>
        <v>0</v>
      </c>
      <c r="AI103" s="309">
        <f t="shared" si="148"/>
        <v>0.24910881957360007</v>
      </c>
      <c r="AJ103" s="309">
        <f t="shared" si="149"/>
        <v>6.9030154821600007E-2</v>
      </c>
      <c r="AK103" s="309">
        <f t="shared" si="154"/>
        <v>2.9983097681208011</v>
      </c>
      <c r="AL103" s="246" t="s">
        <v>456</v>
      </c>
      <c r="AM103" s="234" t="s">
        <v>331</v>
      </c>
      <c r="AN103" s="102" t="s">
        <v>72</v>
      </c>
      <c r="AO103" s="246"/>
      <c r="AP103" s="43" t="s">
        <v>82</v>
      </c>
      <c r="AQ103" s="44">
        <v>0.1293231500247177</v>
      </c>
      <c r="AR103" s="45">
        <v>1.1328707942165219</v>
      </c>
      <c r="AS103" s="46">
        <v>0.1293231500247177</v>
      </c>
      <c r="AT103" s="45">
        <v>1.1328707942165219</v>
      </c>
      <c r="AU103" s="393">
        <v>720.20405063364899</v>
      </c>
      <c r="AV103" s="295">
        <f t="shared" si="155"/>
        <v>273.08417793671714</v>
      </c>
      <c r="AW103" s="295">
        <f t="shared" si="133"/>
        <v>993.28822857036607</v>
      </c>
      <c r="AX103" s="39">
        <v>368.72839511355846</v>
      </c>
      <c r="AY103" s="41">
        <v>16.896240642062033</v>
      </c>
      <c r="AZ103" s="39">
        <v>351.47565552009053</v>
      </c>
      <c r="BA103" s="47">
        <v>1.9532101681831295</v>
      </c>
      <c r="BB103" s="41">
        <f t="shared" si="134"/>
        <v>2.6938208224090254</v>
      </c>
      <c r="BC103" s="39">
        <v>216.66222933500018</v>
      </c>
      <c r="BD103" s="47">
        <v>3.3240867725037542</v>
      </c>
      <c r="BE103" s="46">
        <v>9.9814413076675185E-2</v>
      </c>
      <c r="BF103" s="45">
        <v>0.87437425855167061</v>
      </c>
      <c r="BG103" s="46">
        <v>0.22913756310139291</v>
      </c>
      <c r="BH103" s="45">
        <v>2.0072450527681927</v>
      </c>
      <c r="BI103" s="393">
        <v>592.04716306920329</v>
      </c>
      <c r="BJ103" s="295">
        <f t="shared" si="156"/>
        <v>210.77229356128385</v>
      </c>
      <c r="BK103" s="295">
        <f t="shared" si="135"/>
        <v>802.81945663048714</v>
      </c>
      <c r="BL103" s="39">
        <v>284.59257554374261</v>
      </c>
      <c r="BM103" s="41">
        <v>13.040885120470284</v>
      </c>
      <c r="BN103" s="39">
        <v>307.45458752546068</v>
      </c>
      <c r="BO103" s="47">
        <v>2.0803324258829941</v>
      </c>
      <c r="BP103" s="41">
        <f t="shared" si="136"/>
        <v>2.8209430801088895</v>
      </c>
      <c r="BQ103" s="39">
        <v>167.22460945951002</v>
      </c>
      <c r="BR103" s="47">
        <v>3.5404308312201813</v>
      </c>
      <c r="BS103" s="44">
        <v>0.10437372980995543</v>
      </c>
      <c r="BT103" s="45">
        <v>0.9143138731352054</v>
      </c>
      <c r="BU103" s="46">
        <v>0.33351129291134834</v>
      </c>
      <c r="BV103" s="45">
        <v>2.9215589259033981</v>
      </c>
      <c r="BW103" s="393">
        <v>662.51225098929967</v>
      </c>
      <c r="BX103" s="295">
        <f t="shared" si="157"/>
        <v>220.39993765921201</v>
      </c>
      <c r="BY103" s="295">
        <f t="shared" si="137"/>
        <v>882.91218864851169</v>
      </c>
      <c r="BZ103" s="39">
        <v>297.59217802447006</v>
      </c>
      <c r="CA103" s="41">
        <v>13.63656588353675</v>
      </c>
      <c r="CB103" s="39">
        <v>364.92007296482961</v>
      </c>
      <c r="CC103" s="47">
        <v>2.2262421525569245</v>
      </c>
      <c r="CD103" s="41">
        <f t="shared" si="138"/>
        <v>2.9668528067828204</v>
      </c>
      <c r="CE103" s="39">
        <v>174.86308507263931</v>
      </c>
      <c r="CF103" s="47">
        <v>3.7887484983699538</v>
      </c>
    </row>
    <row r="104" spans="1:84" s="22" customFormat="1" ht="15" customHeight="1">
      <c r="A104" s="324" t="str">
        <f t="shared" si="150"/>
        <v>BNI - Efficient Product Rebates; LED Exit Sign-End of Life replacement; COM-Lighting; Office</v>
      </c>
      <c r="B104" s="36" t="s">
        <v>82</v>
      </c>
      <c r="C104" s="15" t="s">
        <v>71</v>
      </c>
      <c r="D104" s="15" t="s">
        <v>64</v>
      </c>
      <c r="E104" s="37">
        <v>10</v>
      </c>
      <c r="F104" s="38">
        <v>88.22196000000001</v>
      </c>
      <c r="G104" s="38">
        <v>10.071000000000048</v>
      </c>
      <c r="H104" s="39">
        <v>25</v>
      </c>
      <c r="I104" s="40">
        <v>0.4</v>
      </c>
      <c r="J104" s="39">
        <v>2.8231027200000005</v>
      </c>
      <c r="K104" s="39">
        <v>12.823102720000001</v>
      </c>
      <c r="L104" s="39">
        <v>15</v>
      </c>
      <c r="M104" s="39">
        <v>27.823102720000001</v>
      </c>
      <c r="N104" s="39">
        <v>56.085665965801198</v>
      </c>
      <c r="O104" s="41">
        <v>0.76</v>
      </c>
      <c r="P104" s="41">
        <v>1.9532101681831293</v>
      </c>
      <c r="Q104" s="261">
        <f t="shared" si="151"/>
        <v>1.9532101681831293</v>
      </c>
      <c r="R104" s="262">
        <f t="shared" si="132"/>
        <v>0</v>
      </c>
      <c r="S104" s="262">
        <f t="shared" si="152"/>
        <v>21.266345240392269</v>
      </c>
      <c r="T104" s="261">
        <f t="shared" si="153"/>
        <v>2.693820822409025</v>
      </c>
      <c r="U104" s="267">
        <f t="shared" si="140"/>
        <v>0.37917612056812589</v>
      </c>
      <c r="V104" s="42" t="s">
        <v>72</v>
      </c>
      <c r="W104" s="199">
        <f>0.027*W3</f>
        <v>3.4020000000000002E-2</v>
      </c>
      <c r="X104" s="199"/>
      <c r="Y104" s="333">
        <v>0</v>
      </c>
      <c r="Z104" s="334">
        <f t="shared" si="141"/>
        <v>3.0013110792000006</v>
      </c>
      <c r="AA104" s="309">
        <f t="shared" si="142"/>
        <v>0.15006555396000004</v>
      </c>
      <c r="AB104" s="309">
        <f t="shared" si="143"/>
        <v>8.7038021296800022E-2</v>
      </c>
      <c r="AC104" s="309">
        <f t="shared" si="144"/>
        <v>1.2005244316800003E-2</v>
      </c>
      <c r="AD104" s="309">
        <f t="shared" si="145"/>
        <v>0</v>
      </c>
      <c r="AE104" s="309">
        <f t="shared" si="146"/>
        <v>0.21909570878160003</v>
      </c>
      <c r="AF104" s="309">
        <f t="shared" si="147"/>
        <v>2.2119662653704006</v>
      </c>
      <c r="AG104" s="309" t="s">
        <v>38</v>
      </c>
      <c r="AH104" s="309">
        <f t="shared" si="139"/>
        <v>0</v>
      </c>
      <c r="AI104" s="309">
        <f t="shared" si="148"/>
        <v>0.24910881957360007</v>
      </c>
      <c r="AJ104" s="309">
        <f t="shared" si="149"/>
        <v>6.9030154821600007E-2</v>
      </c>
      <c r="AK104" s="309">
        <f t="shared" si="154"/>
        <v>2.9983097681208011</v>
      </c>
      <c r="AL104" s="246" t="s">
        <v>456</v>
      </c>
      <c r="AM104" s="234" t="s">
        <v>331</v>
      </c>
      <c r="AN104" s="102" t="s">
        <v>72</v>
      </c>
      <c r="AO104" s="246"/>
      <c r="AP104" s="43" t="s">
        <v>82</v>
      </c>
      <c r="AQ104" s="44">
        <v>0.1569207056546825</v>
      </c>
      <c r="AR104" s="45">
        <v>1.3746253815350125</v>
      </c>
      <c r="AS104" s="46">
        <v>0.1569207056546825</v>
      </c>
      <c r="AT104" s="45">
        <v>1.3746253815350125</v>
      </c>
      <c r="AU104" s="393">
        <v>873.89556950315716</v>
      </c>
      <c r="AV104" s="295">
        <f t="shared" si="155"/>
        <v>331.36033182588005</v>
      </c>
      <c r="AW104" s="295">
        <f t="shared" si="133"/>
        <v>1205.2559013290372</v>
      </c>
      <c r="AX104" s="39">
        <v>447.41502155707701</v>
      </c>
      <c r="AY104" s="41">
        <v>20.501897796001256</v>
      </c>
      <c r="AZ104" s="39">
        <v>426.48054794608015</v>
      </c>
      <c r="BA104" s="47">
        <v>1.95321016818313</v>
      </c>
      <c r="BB104" s="41">
        <f t="shared" si="134"/>
        <v>2.6938208224090259</v>
      </c>
      <c r="BC104" s="39">
        <v>262.89794139306571</v>
      </c>
      <c r="BD104" s="47">
        <v>3.3240867725037551</v>
      </c>
      <c r="BE104" s="46">
        <v>0.12967977170037026</v>
      </c>
      <c r="BF104" s="45">
        <v>1.1359948000952382</v>
      </c>
      <c r="BG104" s="46">
        <v>0.28660047735505273</v>
      </c>
      <c r="BH104" s="45">
        <v>2.5106201816302507</v>
      </c>
      <c r="BI104" s="393">
        <v>769.1929309215908</v>
      </c>
      <c r="BJ104" s="295">
        <f t="shared" si="156"/>
        <v>273.83723519762805</v>
      </c>
      <c r="BK104" s="295">
        <f t="shared" si="135"/>
        <v>1043.0301661192188</v>
      </c>
      <c r="BL104" s="39">
        <v>369.74520098397636</v>
      </c>
      <c r="BM104" s="41">
        <v>16.942833735787701</v>
      </c>
      <c r="BN104" s="39">
        <v>399.44772993761444</v>
      </c>
      <c r="BO104" s="47">
        <v>2.0803324258829941</v>
      </c>
      <c r="BP104" s="41">
        <f t="shared" si="136"/>
        <v>2.8209430801088899</v>
      </c>
      <c r="BQ104" s="39">
        <v>217.25969736188705</v>
      </c>
      <c r="BR104" s="47">
        <v>3.5404308312201813</v>
      </c>
      <c r="BS104" s="44">
        <v>0.14196581268970321</v>
      </c>
      <c r="BT104" s="45">
        <v>1.2436205191617944</v>
      </c>
      <c r="BU104" s="46">
        <v>0.42856629004475594</v>
      </c>
      <c r="BV104" s="45">
        <v>3.7542407007920451</v>
      </c>
      <c r="BW104" s="393">
        <v>901.12799743608912</v>
      </c>
      <c r="BX104" s="295">
        <f t="shared" si="157"/>
        <v>299.78095372774067</v>
      </c>
      <c r="BY104" s="295">
        <f t="shared" si="137"/>
        <v>1200.9089511638299</v>
      </c>
      <c r="BZ104" s="39">
        <v>404.77537288614758</v>
      </c>
      <c r="CA104" s="41">
        <v>18.548021245172766</v>
      </c>
      <c r="CB104" s="39">
        <v>496.35262454994154</v>
      </c>
      <c r="CC104" s="47">
        <v>2.2262421525569249</v>
      </c>
      <c r="CD104" s="41">
        <f t="shared" si="138"/>
        <v>2.9668528067828208</v>
      </c>
      <c r="CE104" s="39">
        <v>237.84318167959267</v>
      </c>
      <c r="CF104" s="47">
        <v>3.7887484983699551</v>
      </c>
    </row>
    <row r="105" spans="1:84" s="22" customFormat="1" ht="15" customHeight="1">
      <c r="A105" s="324" t="str">
        <f t="shared" si="150"/>
        <v>BNI - Efficient Product Rebates; LED Exit Sign-End of Life replacement; COM-Lighting; Other Commercial</v>
      </c>
      <c r="B105" s="36" t="s">
        <v>82</v>
      </c>
      <c r="C105" s="15" t="s">
        <v>71</v>
      </c>
      <c r="D105" s="15" t="s">
        <v>54</v>
      </c>
      <c r="E105" s="37">
        <v>10</v>
      </c>
      <c r="F105" s="38">
        <v>88.22196000000001</v>
      </c>
      <c r="G105" s="38">
        <v>10.071000000000048</v>
      </c>
      <c r="H105" s="39">
        <v>25</v>
      </c>
      <c r="I105" s="40">
        <v>0.4</v>
      </c>
      <c r="J105" s="39">
        <v>2.8231027200000005</v>
      </c>
      <c r="K105" s="39">
        <v>12.823102720000001</v>
      </c>
      <c r="L105" s="39">
        <v>15</v>
      </c>
      <c r="M105" s="39">
        <v>27.823102720000001</v>
      </c>
      <c r="N105" s="39">
        <v>56.085665965801198</v>
      </c>
      <c r="O105" s="41">
        <v>0.76</v>
      </c>
      <c r="P105" s="41">
        <v>1.9532101681831293</v>
      </c>
      <c r="Q105" s="261">
        <f t="shared" si="151"/>
        <v>1.9532101681831293</v>
      </c>
      <c r="R105" s="262">
        <f t="shared" si="132"/>
        <v>0</v>
      </c>
      <c r="S105" s="262">
        <f t="shared" si="152"/>
        <v>21.266345240392269</v>
      </c>
      <c r="T105" s="261">
        <f t="shared" si="153"/>
        <v>2.693820822409025</v>
      </c>
      <c r="U105" s="267">
        <f t="shared" si="140"/>
        <v>0.37917612056812589</v>
      </c>
      <c r="V105" s="42" t="s">
        <v>72</v>
      </c>
      <c r="W105" s="199">
        <f>0.027*W3</f>
        <v>3.4020000000000002E-2</v>
      </c>
      <c r="X105" s="199"/>
      <c r="Y105" s="333">
        <v>0</v>
      </c>
      <c r="Z105" s="334">
        <f t="shared" si="141"/>
        <v>3.0013110792000006</v>
      </c>
      <c r="AA105" s="309">
        <f t="shared" si="142"/>
        <v>0.15006555396000004</v>
      </c>
      <c r="AB105" s="309">
        <f t="shared" si="143"/>
        <v>8.7038021296800022E-2</v>
      </c>
      <c r="AC105" s="309">
        <f t="shared" si="144"/>
        <v>1.2005244316800003E-2</v>
      </c>
      <c r="AD105" s="309">
        <f t="shared" si="145"/>
        <v>0</v>
      </c>
      <c r="AE105" s="309">
        <f t="shared" si="146"/>
        <v>0.21909570878160003</v>
      </c>
      <c r="AF105" s="309">
        <f t="shared" si="147"/>
        <v>2.2119662653704006</v>
      </c>
      <c r="AG105" s="309" t="s">
        <v>38</v>
      </c>
      <c r="AH105" s="309">
        <f t="shared" si="139"/>
        <v>0</v>
      </c>
      <c r="AI105" s="309">
        <f t="shared" si="148"/>
        <v>0.24910881957360007</v>
      </c>
      <c r="AJ105" s="309">
        <f t="shared" si="149"/>
        <v>6.9030154821600007E-2</v>
      </c>
      <c r="AK105" s="309">
        <f t="shared" si="154"/>
        <v>2.9983097681208011</v>
      </c>
      <c r="AL105" s="246" t="s">
        <v>456</v>
      </c>
      <c r="AM105" s="234" t="s">
        <v>331</v>
      </c>
      <c r="AN105" s="102" t="s">
        <v>72</v>
      </c>
      <c r="AO105" s="246"/>
      <c r="AP105" s="43" t="s">
        <v>82</v>
      </c>
      <c r="AQ105" s="44">
        <v>0.21286872859364303</v>
      </c>
      <c r="AR105" s="45">
        <v>1.8647300624803045</v>
      </c>
      <c r="AS105" s="46">
        <v>0.21286872859364303</v>
      </c>
      <c r="AT105" s="45">
        <v>1.8647300624803045</v>
      </c>
      <c r="AU105" s="393">
        <v>1185.4715923411584</v>
      </c>
      <c r="AV105" s="295">
        <f t="shared" si="155"/>
        <v>449.50251942763907</v>
      </c>
      <c r="AW105" s="295">
        <f t="shared" si="133"/>
        <v>1634.9741117687975</v>
      </c>
      <c r="AX105" s="39">
        <v>606.93498920491504</v>
      </c>
      <c r="AY105" s="41">
        <v>27.811581010828647</v>
      </c>
      <c r="AZ105" s="39">
        <v>578.53660313624334</v>
      </c>
      <c r="BA105" s="47">
        <v>1.9532101681831302</v>
      </c>
      <c r="BB105" s="41">
        <f t="shared" si="134"/>
        <v>2.6938208224090259</v>
      </c>
      <c r="BC105" s="39">
        <v>356.63076010745721</v>
      </c>
      <c r="BD105" s="47">
        <v>3.3240867725037551</v>
      </c>
      <c r="BE105" s="46">
        <v>0.17591539632072747</v>
      </c>
      <c r="BF105" s="45">
        <v>1.5410188717695656</v>
      </c>
      <c r="BG105" s="46">
        <v>0.38878412491437053</v>
      </c>
      <c r="BH105" s="45">
        <v>3.4057489342498704</v>
      </c>
      <c r="BI105" s="393">
        <v>1043.4385989113155</v>
      </c>
      <c r="BJ105" s="295">
        <f t="shared" si="156"/>
        <v>371.47031588293169</v>
      </c>
      <c r="BK105" s="295">
        <f t="shared" si="135"/>
        <v>1414.9089147942473</v>
      </c>
      <c r="BL105" s="39">
        <v>501.57301108664376</v>
      </c>
      <c r="BM105" s="41">
        <v>22.983579261026534</v>
      </c>
      <c r="BN105" s="39">
        <v>541.86558782467171</v>
      </c>
      <c r="BO105" s="47">
        <v>2.0803324258829941</v>
      </c>
      <c r="BP105" s="41">
        <f t="shared" si="136"/>
        <v>2.8209430801088899</v>
      </c>
      <c r="BQ105" s="39">
        <v>294.72079773740495</v>
      </c>
      <c r="BR105" s="47">
        <v>3.5404308312201809</v>
      </c>
      <c r="BS105" s="44">
        <v>0.19258186435588856</v>
      </c>
      <c r="BT105" s="45">
        <v>1.6870171317575762</v>
      </c>
      <c r="BU105" s="46">
        <v>0.58136598927025918</v>
      </c>
      <c r="BV105" s="45">
        <v>5.0927660660074467</v>
      </c>
      <c r="BW105" s="393">
        <v>1222.4133858821444</v>
      </c>
      <c r="BX105" s="295">
        <f t="shared" si="157"/>
        <v>406.66392755741253</v>
      </c>
      <c r="BY105" s="295">
        <f t="shared" si="137"/>
        <v>1629.077313439557</v>
      </c>
      <c r="BZ105" s="39">
        <v>549.09273210829997</v>
      </c>
      <c r="CA105" s="41">
        <v>25.161075359145812</v>
      </c>
      <c r="CB105" s="39">
        <v>673.32065377384447</v>
      </c>
      <c r="CC105" s="47">
        <v>2.2262421525569245</v>
      </c>
      <c r="CD105" s="41">
        <f t="shared" si="138"/>
        <v>2.9668528067828204</v>
      </c>
      <c r="CE105" s="39">
        <v>322.64305387598768</v>
      </c>
      <c r="CF105" s="47">
        <v>3.7887484983699538</v>
      </c>
    </row>
    <row r="106" spans="1:84" s="22" customFormat="1" ht="15" customHeight="1">
      <c r="A106" s="324" t="str">
        <f t="shared" si="150"/>
        <v>BNI - Efficient Product Rebates; LED Exit Sign-End of Life replacement; COM-Lighting; Retail</v>
      </c>
      <c r="B106" s="36" t="s">
        <v>82</v>
      </c>
      <c r="C106" s="15" t="s">
        <v>71</v>
      </c>
      <c r="D106" s="15" t="s">
        <v>28</v>
      </c>
      <c r="E106" s="37">
        <v>10</v>
      </c>
      <c r="F106" s="38">
        <v>88.22196000000001</v>
      </c>
      <c r="G106" s="38">
        <v>10.071000000000048</v>
      </c>
      <c r="H106" s="39">
        <v>25</v>
      </c>
      <c r="I106" s="40">
        <v>0.4</v>
      </c>
      <c r="J106" s="39">
        <v>2.8231027200000005</v>
      </c>
      <c r="K106" s="39">
        <v>12.823102720000001</v>
      </c>
      <c r="L106" s="39">
        <v>15</v>
      </c>
      <c r="M106" s="39">
        <v>27.823102720000001</v>
      </c>
      <c r="N106" s="39">
        <v>56.085665965801198</v>
      </c>
      <c r="O106" s="41">
        <v>0.76</v>
      </c>
      <c r="P106" s="41">
        <v>1.9532101681831293</v>
      </c>
      <c r="Q106" s="261">
        <f t="shared" si="151"/>
        <v>1.9532101681831293</v>
      </c>
      <c r="R106" s="262">
        <f t="shared" si="132"/>
        <v>0</v>
      </c>
      <c r="S106" s="262">
        <f t="shared" si="152"/>
        <v>21.266345240392269</v>
      </c>
      <c r="T106" s="261">
        <f t="shared" si="153"/>
        <v>2.693820822409025</v>
      </c>
      <c r="U106" s="267">
        <f t="shared" si="140"/>
        <v>0.37917612056812589</v>
      </c>
      <c r="V106" s="42" t="s">
        <v>72</v>
      </c>
      <c r="W106" s="199">
        <f>0.027*W3</f>
        <v>3.4020000000000002E-2</v>
      </c>
      <c r="X106" s="199"/>
      <c r="Y106" s="333">
        <v>0</v>
      </c>
      <c r="Z106" s="334">
        <f t="shared" si="141"/>
        <v>3.0013110792000006</v>
      </c>
      <c r="AA106" s="309">
        <f t="shared" si="142"/>
        <v>0.15006555396000004</v>
      </c>
      <c r="AB106" s="309">
        <f t="shared" si="143"/>
        <v>8.7038021296800022E-2</v>
      </c>
      <c r="AC106" s="309">
        <f t="shared" si="144"/>
        <v>1.2005244316800003E-2</v>
      </c>
      <c r="AD106" s="309">
        <f t="shared" si="145"/>
        <v>0</v>
      </c>
      <c r="AE106" s="309">
        <f t="shared" si="146"/>
        <v>0.21909570878160003</v>
      </c>
      <c r="AF106" s="309">
        <f t="shared" si="147"/>
        <v>2.2119662653704006</v>
      </c>
      <c r="AG106" s="309" t="s">
        <v>38</v>
      </c>
      <c r="AH106" s="309">
        <f t="shared" si="139"/>
        <v>0</v>
      </c>
      <c r="AI106" s="309">
        <f t="shared" si="148"/>
        <v>0.24910881957360007</v>
      </c>
      <c r="AJ106" s="309">
        <f t="shared" si="149"/>
        <v>6.9030154821600007E-2</v>
      </c>
      <c r="AK106" s="309">
        <f t="shared" si="154"/>
        <v>2.9983097681208011</v>
      </c>
      <c r="AL106" s="246" t="s">
        <v>456</v>
      </c>
      <c r="AM106" s="234" t="s">
        <v>331</v>
      </c>
      <c r="AN106" s="102" t="s">
        <v>72</v>
      </c>
      <c r="AO106" s="246"/>
      <c r="AP106" s="43" t="s">
        <v>82</v>
      </c>
      <c r="AQ106" s="44">
        <v>0.30456028497793003</v>
      </c>
      <c r="AR106" s="45">
        <v>2.6679480964066546</v>
      </c>
      <c r="AS106" s="46">
        <v>0.30456028497793003</v>
      </c>
      <c r="AT106" s="45">
        <v>2.6679480964066546</v>
      </c>
      <c r="AU106" s="393">
        <v>1696.1043004390156</v>
      </c>
      <c r="AV106" s="295">
        <f t="shared" si="155"/>
        <v>643.12224871938088</v>
      </c>
      <c r="AW106" s="295">
        <f t="shared" si="133"/>
        <v>2339.2265491583967</v>
      </c>
      <c r="AX106" s="39">
        <v>868.36753569470034</v>
      </c>
      <c r="AY106" s="41">
        <v>39.791204158099674</v>
      </c>
      <c r="AZ106" s="39">
        <v>827.73676474431522</v>
      </c>
      <c r="BA106" s="47">
        <v>1.9532101681831298</v>
      </c>
      <c r="BB106" s="41">
        <f t="shared" si="134"/>
        <v>2.6938208224090259</v>
      </c>
      <c r="BC106" s="39">
        <v>510.24669827180327</v>
      </c>
      <c r="BD106" s="47">
        <v>3.3240867725037546</v>
      </c>
      <c r="BE106" s="46">
        <v>0.25168959099540666</v>
      </c>
      <c r="BF106" s="45">
        <v>2.2048008171197524</v>
      </c>
      <c r="BG106" s="46">
        <v>0.55624987597333664</v>
      </c>
      <c r="BH106" s="45">
        <v>4.872748913526407</v>
      </c>
      <c r="BI106" s="393">
        <v>1492.8916949940974</v>
      </c>
      <c r="BJ106" s="295">
        <f t="shared" si="156"/>
        <v>531.4782777799046</v>
      </c>
      <c r="BK106" s="295">
        <f t="shared" si="135"/>
        <v>2024.369972774002</v>
      </c>
      <c r="BL106" s="39">
        <v>717.6217014261274</v>
      </c>
      <c r="BM106" s="41">
        <v>32.883578042660993</v>
      </c>
      <c r="BN106" s="39">
        <v>775.26999356797</v>
      </c>
      <c r="BO106" s="47">
        <v>2.0803324258829941</v>
      </c>
      <c r="BP106" s="41">
        <f t="shared" si="136"/>
        <v>2.8209430801088899</v>
      </c>
      <c r="BQ106" s="39">
        <v>421.66949904217847</v>
      </c>
      <c r="BR106" s="47">
        <v>3.5404308312201813</v>
      </c>
      <c r="BS106" s="44">
        <v>0.27553501107142914</v>
      </c>
      <c r="BT106" s="45">
        <v>2.413686696985708</v>
      </c>
      <c r="BU106" s="46">
        <v>0.83178488704476572</v>
      </c>
      <c r="BV106" s="45">
        <v>7.2864356105121146</v>
      </c>
      <c r="BW106" s="393">
        <v>1748.958485470187</v>
      </c>
      <c r="BX106" s="295">
        <f t="shared" si="157"/>
        <v>581.83126514351011</v>
      </c>
      <c r="BY106" s="295">
        <f t="shared" si="137"/>
        <v>2330.7897506136969</v>
      </c>
      <c r="BZ106" s="39">
        <v>785.61017428469802</v>
      </c>
      <c r="CA106" s="41">
        <v>35.999013722495</v>
      </c>
      <c r="CB106" s="39">
        <v>963.34831118548902</v>
      </c>
      <c r="CC106" s="47">
        <v>2.2262421525569249</v>
      </c>
      <c r="CD106" s="41">
        <f t="shared" si="138"/>
        <v>2.9668528067828204</v>
      </c>
      <c r="CE106" s="39">
        <v>461.61905078224299</v>
      </c>
      <c r="CF106" s="47">
        <v>3.7887484983699546</v>
      </c>
    </row>
    <row r="107" spans="1:84" s="22" customFormat="1" ht="15" customHeight="1">
      <c r="A107" s="324" t="str">
        <f t="shared" si="150"/>
        <v>BNI - Efficient Product Rebates; LED Exit Sign-End of Life replacement; COM-Lighting; School</v>
      </c>
      <c r="B107" s="36" t="s">
        <v>82</v>
      </c>
      <c r="C107" s="15" t="s">
        <v>71</v>
      </c>
      <c r="D107" s="15" t="s">
        <v>57</v>
      </c>
      <c r="E107" s="37">
        <v>10</v>
      </c>
      <c r="F107" s="38">
        <v>88.22196000000001</v>
      </c>
      <c r="G107" s="38">
        <v>10.071000000000048</v>
      </c>
      <c r="H107" s="39">
        <v>25</v>
      </c>
      <c r="I107" s="40">
        <v>0.4</v>
      </c>
      <c r="J107" s="39">
        <v>2.8231027200000005</v>
      </c>
      <c r="K107" s="39">
        <v>12.823102720000001</v>
      </c>
      <c r="L107" s="39">
        <v>15</v>
      </c>
      <c r="M107" s="39">
        <v>27.823102720000001</v>
      </c>
      <c r="N107" s="39">
        <v>56.085665965801198</v>
      </c>
      <c r="O107" s="41">
        <v>0.76</v>
      </c>
      <c r="P107" s="41">
        <v>1.9532101681831293</v>
      </c>
      <c r="Q107" s="261">
        <f t="shared" si="151"/>
        <v>1.9532101681831293</v>
      </c>
      <c r="R107" s="262">
        <f t="shared" si="132"/>
        <v>0</v>
      </c>
      <c r="S107" s="262">
        <f t="shared" si="152"/>
        <v>21.266345240392269</v>
      </c>
      <c r="T107" s="261">
        <f t="shared" si="153"/>
        <v>2.693820822409025</v>
      </c>
      <c r="U107" s="267">
        <f t="shared" si="140"/>
        <v>0.37917612056812589</v>
      </c>
      <c r="V107" s="42" t="s">
        <v>72</v>
      </c>
      <c r="W107" s="199">
        <f>0.027*W3</f>
        <v>3.4020000000000002E-2</v>
      </c>
      <c r="X107" s="199"/>
      <c r="Y107" s="333">
        <v>0</v>
      </c>
      <c r="Z107" s="334">
        <f t="shared" si="141"/>
        <v>3.0013110792000006</v>
      </c>
      <c r="AA107" s="309">
        <f t="shared" si="142"/>
        <v>0.15006555396000004</v>
      </c>
      <c r="AB107" s="309">
        <f t="shared" si="143"/>
        <v>8.7038021296800022E-2</v>
      </c>
      <c r="AC107" s="309">
        <f t="shared" si="144"/>
        <v>1.2005244316800003E-2</v>
      </c>
      <c r="AD107" s="309">
        <f t="shared" si="145"/>
        <v>0</v>
      </c>
      <c r="AE107" s="309">
        <f t="shared" si="146"/>
        <v>0.21909570878160003</v>
      </c>
      <c r="AF107" s="309">
        <f t="shared" si="147"/>
        <v>2.2119662653704006</v>
      </c>
      <c r="AG107" s="309" t="s">
        <v>38</v>
      </c>
      <c r="AH107" s="309">
        <f t="shared" si="139"/>
        <v>0</v>
      </c>
      <c r="AI107" s="309">
        <f t="shared" si="148"/>
        <v>0.24910881957360007</v>
      </c>
      <c r="AJ107" s="309">
        <f t="shared" si="149"/>
        <v>6.9030154821600007E-2</v>
      </c>
      <c r="AK107" s="309">
        <f t="shared" si="154"/>
        <v>2.9983097681208011</v>
      </c>
      <c r="AL107" s="246" t="s">
        <v>456</v>
      </c>
      <c r="AM107" s="234" t="s">
        <v>331</v>
      </c>
      <c r="AN107" s="102" t="s">
        <v>72</v>
      </c>
      <c r="AO107" s="246"/>
      <c r="AP107" s="43" t="s">
        <v>82</v>
      </c>
      <c r="AQ107" s="44">
        <v>0.30356498992898262</v>
      </c>
      <c r="AR107" s="45">
        <v>2.6592293117778758</v>
      </c>
      <c r="AS107" s="46">
        <v>0.30356498992898262</v>
      </c>
      <c r="AT107" s="45">
        <v>2.6592293117778758</v>
      </c>
      <c r="AU107" s="393">
        <v>1690.561475927778</v>
      </c>
      <c r="AV107" s="295">
        <f t="shared" si="155"/>
        <v>641.02054202421982</v>
      </c>
      <c r="AW107" s="295">
        <f t="shared" si="133"/>
        <v>2331.5820179519978</v>
      </c>
      <c r="AX107" s="39">
        <v>865.52973329046972</v>
      </c>
      <c r="AY107" s="41">
        <v>39.661167543203945</v>
      </c>
      <c r="AZ107" s="39">
        <v>825.0317426373083</v>
      </c>
      <c r="BA107" s="47">
        <v>1.95321016818313</v>
      </c>
      <c r="BB107" s="41">
        <f t="shared" si="134"/>
        <v>2.6938208224090259</v>
      </c>
      <c r="BC107" s="39">
        <v>508.57922540163418</v>
      </c>
      <c r="BD107" s="47">
        <v>3.3240867725037551</v>
      </c>
      <c r="BE107" s="46">
        <v>0.2508670759921538</v>
      </c>
      <c r="BF107" s="45">
        <v>2.197595585691257</v>
      </c>
      <c r="BG107" s="46">
        <v>0.55443206592113647</v>
      </c>
      <c r="BH107" s="45">
        <v>4.8568248974691333</v>
      </c>
      <c r="BI107" s="393">
        <v>1488.0129639647048</v>
      </c>
      <c r="BJ107" s="295">
        <f t="shared" si="156"/>
        <v>529.74142066297691</v>
      </c>
      <c r="BK107" s="295">
        <f t="shared" si="135"/>
        <v>2017.7543846276817</v>
      </c>
      <c r="BL107" s="39">
        <v>715.27653246721854</v>
      </c>
      <c r="BM107" s="41">
        <v>32.776115369318966</v>
      </c>
      <c r="BN107" s="39">
        <v>772.73643149748625</v>
      </c>
      <c r="BO107" s="47">
        <v>2.0803324258829941</v>
      </c>
      <c r="BP107" s="41">
        <f t="shared" si="136"/>
        <v>2.8209430801088895</v>
      </c>
      <c r="BQ107" s="39">
        <v>420.29149414334785</v>
      </c>
      <c r="BR107" s="47">
        <v>3.5404308312201809</v>
      </c>
      <c r="BS107" s="44">
        <v>0.27463456985877738</v>
      </c>
      <c r="BT107" s="45">
        <v>2.4057988319628789</v>
      </c>
      <c r="BU107" s="46">
        <v>0.8290666357799138</v>
      </c>
      <c r="BV107" s="45">
        <v>7.2626237294320122</v>
      </c>
      <c r="BW107" s="393">
        <v>1743.2429348640751</v>
      </c>
      <c r="BX107" s="295">
        <f t="shared" si="157"/>
        <v>579.92985578029607</v>
      </c>
      <c r="BY107" s="295">
        <f t="shared" si="137"/>
        <v>2323.1727906443712</v>
      </c>
      <c r="BZ107" s="39">
        <v>783.04282077396363</v>
      </c>
      <c r="CA107" s="41">
        <v>35.88136988680057</v>
      </c>
      <c r="CB107" s="39">
        <v>960.20011409011147</v>
      </c>
      <c r="CC107" s="47">
        <v>2.2262421525569249</v>
      </c>
      <c r="CD107" s="41">
        <f t="shared" si="138"/>
        <v>2.9668528067828208</v>
      </c>
      <c r="CE107" s="39">
        <v>460.11049179275847</v>
      </c>
      <c r="CF107" s="47">
        <v>3.7887484983699551</v>
      </c>
    </row>
    <row r="108" spans="1:84" s="22" customFormat="1" ht="15" customHeight="1">
      <c r="A108" s="324" t="str">
        <f t="shared" si="150"/>
        <v xml:space="preserve">BNI - Efficient Product Rebates; Photoluminescent Exit Sign; IND; Industrial </v>
      </c>
      <c r="B108" s="36" t="s">
        <v>83</v>
      </c>
      <c r="C108" s="15" t="s">
        <v>67</v>
      </c>
      <c r="D108" s="15" t="s">
        <v>68</v>
      </c>
      <c r="E108" s="37">
        <v>10</v>
      </c>
      <c r="F108" s="38">
        <v>107.82684</v>
      </c>
      <c r="G108" s="38">
        <v>12.309000000000056</v>
      </c>
      <c r="H108" s="39">
        <v>40</v>
      </c>
      <c r="I108" s="40">
        <v>0.375</v>
      </c>
      <c r="J108" s="39">
        <v>3.4504588800000002</v>
      </c>
      <c r="K108" s="39">
        <v>18.450458879999999</v>
      </c>
      <c r="L108" s="39">
        <v>25</v>
      </c>
      <c r="M108" s="39">
        <v>43.450458879999999</v>
      </c>
      <c r="N108" s="39">
        <v>68.549147291534794</v>
      </c>
      <c r="O108" s="41">
        <v>0.82</v>
      </c>
      <c r="P108" s="41">
        <v>1.5506093582189306</v>
      </c>
      <c r="Q108" s="261">
        <f t="shared" si="151"/>
        <v>1.5506093582189306</v>
      </c>
      <c r="R108" s="262">
        <f t="shared" si="132"/>
        <v>0</v>
      </c>
      <c r="S108" s="262">
        <f t="shared" si="152"/>
        <v>25.99219973825722</v>
      </c>
      <c r="T108" s="261">
        <f t="shared" si="153"/>
        <v>2.1385633991850161</v>
      </c>
      <c r="U108" s="267">
        <f t="shared" si="140"/>
        <v>0.37917612056812583</v>
      </c>
      <c r="V108" s="42" t="s">
        <v>72</v>
      </c>
      <c r="W108" s="199">
        <f>0.027*W3</f>
        <v>3.4020000000000002E-2</v>
      </c>
      <c r="X108" s="199"/>
      <c r="Y108" s="333">
        <v>0</v>
      </c>
      <c r="Z108" s="334">
        <f t="shared" si="141"/>
        <v>3.6682690968000005</v>
      </c>
      <c r="AA108" s="309">
        <f t="shared" si="142"/>
        <v>0.18341345484000005</v>
      </c>
      <c r="AB108" s="309">
        <f t="shared" si="143"/>
        <v>0.10637980380720002</v>
      </c>
      <c r="AC108" s="309">
        <f t="shared" si="144"/>
        <v>1.4673076387200001E-2</v>
      </c>
      <c r="AD108" s="309">
        <f t="shared" si="145"/>
        <v>0</v>
      </c>
      <c r="AE108" s="309">
        <f t="shared" si="146"/>
        <v>0.26778364406640004</v>
      </c>
      <c r="AF108" s="309">
        <f t="shared" si="147"/>
        <v>2.7035143243416004</v>
      </c>
      <c r="AG108" s="309" t="s">
        <v>38</v>
      </c>
      <c r="AH108" s="309">
        <f t="shared" si="139"/>
        <v>0</v>
      </c>
      <c r="AI108" s="309">
        <f t="shared" si="148"/>
        <v>0.30446633503440007</v>
      </c>
      <c r="AJ108" s="309">
        <f t="shared" si="149"/>
        <v>8.4370189226400008E-2</v>
      </c>
      <c r="AK108" s="309">
        <f t="shared" si="154"/>
        <v>3.6646008277032007</v>
      </c>
      <c r="AL108" s="246" t="s">
        <v>456</v>
      </c>
      <c r="AM108" s="234" t="s">
        <v>331</v>
      </c>
      <c r="AN108" s="102" t="s">
        <v>72</v>
      </c>
      <c r="AO108" s="246"/>
      <c r="AP108" s="43" t="s">
        <v>83</v>
      </c>
      <c r="AQ108" s="44">
        <v>0.14092980614055212</v>
      </c>
      <c r="AR108" s="45">
        <v>1.234545101791231</v>
      </c>
      <c r="AS108" s="46">
        <v>0.14092980614055212</v>
      </c>
      <c r="AT108" s="45">
        <v>1.234545101791231</v>
      </c>
      <c r="AU108" s="393">
        <v>784.84182621627326</v>
      </c>
      <c r="AV108" s="295">
        <f t="shared" si="155"/>
        <v>297.59327892428979</v>
      </c>
      <c r="AW108" s="295">
        <f t="shared" si="133"/>
        <v>1082.4351051405631</v>
      </c>
      <c r="AX108" s="39">
        <v>506.15058012919684</v>
      </c>
      <c r="AY108" s="41">
        <v>13.962597875097488</v>
      </c>
      <c r="AZ108" s="39">
        <v>278.69124608707642</v>
      </c>
      <c r="BA108" s="47">
        <v>1.5506093582189304</v>
      </c>
      <c r="BB108" s="41">
        <f t="shared" si="134"/>
        <v>2.1385633991850161</v>
      </c>
      <c r="BC108" s="39">
        <v>257.61633795246161</v>
      </c>
      <c r="BD108" s="47">
        <v>3.0465529960335882</v>
      </c>
      <c r="BE108" s="46">
        <v>0.11235447551199949</v>
      </c>
      <c r="BF108" s="45">
        <v>0.98422520548511105</v>
      </c>
      <c r="BG108" s="46">
        <v>0.25328428165255162</v>
      </c>
      <c r="BH108" s="45">
        <v>2.2187703072763423</v>
      </c>
      <c r="BI108" s="393">
        <v>666.42828860706754</v>
      </c>
      <c r="BJ108" s="295">
        <f t="shared" si="156"/>
        <v>237.25241441181305</v>
      </c>
      <c r="BK108" s="295">
        <f t="shared" si="135"/>
        <v>903.68070301888065</v>
      </c>
      <c r="BL108" s="39">
        <v>403.52204063769381</v>
      </c>
      <c r="BM108" s="41">
        <v>11.131501589358468</v>
      </c>
      <c r="BN108" s="39">
        <v>262.90624796937374</v>
      </c>
      <c r="BO108" s="47">
        <v>1.6515288422756236</v>
      </c>
      <c r="BP108" s="41">
        <f t="shared" si="136"/>
        <v>2.2394828832417093</v>
      </c>
      <c r="BQ108" s="39">
        <v>205.38131234711307</v>
      </c>
      <c r="BR108" s="47">
        <v>3.2448341136351453</v>
      </c>
      <c r="BS108" s="44">
        <v>0.11700925320539583</v>
      </c>
      <c r="BT108" s="45">
        <v>1.0250010580792628</v>
      </c>
      <c r="BU108" s="46">
        <v>0.37029353485794747</v>
      </c>
      <c r="BV108" s="45">
        <v>3.2437713653556051</v>
      </c>
      <c r="BW108" s="393">
        <v>742.71623586541261</v>
      </c>
      <c r="BX108" s="295">
        <f t="shared" si="157"/>
        <v>247.08163786976584</v>
      </c>
      <c r="BY108" s="295">
        <f t="shared" si="137"/>
        <v>989.79787373517843</v>
      </c>
      <c r="BZ108" s="39">
        <v>420.23971374323463</v>
      </c>
      <c r="CA108" s="41">
        <v>11.592672940620018</v>
      </c>
      <c r="CB108" s="39">
        <v>322.47652212217798</v>
      </c>
      <c r="CC108" s="47">
        <v>1.7673632728562401</v>
      </c>
      <c r="CD108" s="41">
        <f t="shared" si="138"/>
        <v>2.3553173138223258</v>
      </c>
      <c r="CE108" s="39">
        <v>213.89013540019832</v>
      </c>
      <c r="CF108" s="47">
        <v>3.4724193075840373</v>
      </c>
    </row>
    <row r="109" spans="1:84" s="22" customFormat="1" ht="15" customHeight="1">
      <c r="A109" s="324" t="str">
        <f t="shared" si="150"/>
        <v>BNI - Efficient Product Rebates; Photoluminescent Exit Sign; COM-Lighting; Office</v>
      </c>
      <c r="B109" s="36" t="s">
        <v>83</v>
      </c>
      <c r="C109" s="15" t="s">
        <v>71</v>
      </c>
      <c r="D109" s="15" t="s">
        <v>64</v>
      </c>
      <c r="E109" s="37">
        <v>10</v>
      </c>
      <c r="F109" s="38">
        <v>107.82684</v>
      </c>
      <c r="G109" s="38">
        <v>12.309000000000056</v>
      </c>
      <c r="H109" s="39">
        <v>40</v>
      </c>
      <c r="I109" s="40">
        <v>0.375</v>
      </c>
      <c r="J109" s="39">
        <v>3.4504588800000002</v>
      </c>
      <c r="K109" s="39">
        <v>18.450458879999999</v>
      </c>
      <c r="L109" s="39">
        <v>25</v>
      </c>
      <c r="M109" s="39">
        <v>43.450458879999999</v>
      </c>
      <c r="N109" s="39">
        <v>68.549147291534794</v>
      </c>
      <c r="O109" s="41">
        <v>0.82</v>
      </c>
      <c r="P109" s="41">
        <v>1.5506093582189306</v>
      </c>
      <c r="Q109" s="261">
        <f t="shared" si="151"/>
        <v>1.5506093582189306</v>
      </c>
      <c r="R109" s="262">
        <f t="shared" si="132"/>
        <v>0</v>
      </c>
      <c r="S109" s="262">
        <f t="shared" si="152"/>
        <v>25.99219973825722</v>
      </c>
      <c r="T109" s="261">
        <f t="shared" si="153"/>
        <v>2.1385633991850161</v>
      </c>
      <c r="U109" s="267">
        <f t="shared" si="140"/>
        <v>0.37917612056812583</v>
      </c>
      <c r="V109" s="42" t="s">
        <v>72</v>
      </c>
      <c r="W109" s="199">
        <f>0.027*W3</f>
        <v>3.4020000000000002E-2</v>
      </c>
      <c r="X109" s="199"/>
      <c r="Y109" s="333">
        <v>0</v>
      </c>
      <c r="Z109" s="334">
        <f t="shared" si="141"/>
        <v>3.6682690968000005</v>
      </c>
      <c r="AA109" s="309">
        <f t="shared" si="142"/>
        <v>0.18341345484000005</v>
      </c>
      <c r="AB109" s="309">
        <f t="shared" si="143"/>
        <v>0.10637980380720002</v>
      </c>
      <c r="AC109" s="309">
        <f t="shared" si="144"/>
        <v>1.4673076387200001E-2</v>
      </c>
      <c r="AD109" s="309">
        <f t="shared" si="145"/>
        <v>0</v>
      </c>
      <c r="AE109" s="309">
        <f t="shared" si="146"/>
        <v>0.26778364406640004</v>
      </c>
      <c r="AF109" s="309">
        <f t="shared" si="147"/>
        <v>2.7035143243416004</v>
      </c>
      <c r="AG109" s="309" t="s">
        <v>38</v>
      </c>
      <c r="AH109" s="309">
        <f t="shared" si="139"/>
        <v>0</v>
      </c>
      <c r="AI109" s="309">
        <f t="shared" si="148"/>
        <v>0.30446633503440007</v>
      </c>
      <c r="AJ109" s="309">
        <f t="shared" si="149"/>
        <v>8.4370189226400008E-2</v>
      </c>
      <c r="AK109" s="309">
        <f t="shared" si="154"/>
        <v>3.6646008277032007</v>
      </c>
      <c r="AL109" s="246" t="s">
        <v>456</v>
      </c>
      <c r="AM109" s="234" t="s">
        <v>331</v>
      </c>
      <c r="AN109" s="102" t="s">
        <v>72</v>
      </c>
      <c r="AO109" s="246"/>
      <c r="AP109" s="43" t="s">
        <v>83</v>
      </c>
      <c r="AQ109" s="44">
        <v>0.19663711768268999</v>
      </c>
      <c r="AR109" s="45">
        <v>1.7225411509003565</v>
      </c>
      <c r="AS109" s="46">
        <v>0.19663711768268999</v>
      </c>
      <c r="AT109" s="45">
        <v>1.7225411509003565</v>
      </c>
      <c r="AU109" s="393">
        <v>1095.0773209045024</v>
      </c>
      <c r="AV109" s="295">
        <f t="shared" si="155"/>
        <v>415.22717026270584</v>
      </c>
      <c r="AW109" s="295">
        <f t="shared" si="133"/>
        <v>1510.3044911672082</v>
      </c>
      <c r="AX109" s="39">
        <v>706.22385651169805</v>
      </c>
      <c r="AY109" s="41">
        <v>19.481790805725051</v>
      </c>
      <c r="AZ109" s="39">
        <v>388.85346439280431</v>
      </c>
      <c r="BA109" s="47">
        <v>1.5506093582189309</v>
      </c>
      <c r="BB109" s="41">
        <f t="shared" si="134"/>
        <v>2.1385633991850161</v>
      </c>
      <c r="BC109" s="39">
        <v>359.44798016979212</v>
      </c>
      <c r="BD109" s="47">
        <v>3.0465529960335891</v>
      </c>
      <c r="BE109" s="46">
        <v>0.1631702556012449</v>
      </c>
      <c r="BF109" s="45">
        <v>1.4293714390668988</v>
      </c>
      <c r="BG109" s="46">
        <v>0.35980737328393492</v>
      </c>
      <c r="BH109" s="45">
        <v>3.1519125899672553</v>
      </c>
      <c r="BI109" s="393">
        <v>967.84105569788233</v>
      </c>
      <c r="BJ109" s="295">
        <f t="shared" si="156"/>
        <v>344.55714314160554</v>
      </c>
      <c r="BK109" s="295">
        <f t="shared" si="135"/>
        <v>1312.3981988394878</v>
      </c>
      <c r="BL109" s="39">
        <v>586.02734080278265</v>
      </c>
      <c r="BM109" s="41">
        <v>16.166066828083771</v>
      </c>
      <c r="BN109" s="39">
        <v>381.81371489509968</v>
      </c>
      <c r="BO109" s="47">
        <v>1.6515288422756242</v>
      </c>
      <c r="BP109" s="41">
        <f t="shared" si="136"/>
        <v>2.2394828832417097</v>
      </c>
      <c r="BQ109" s="39">
        <v>298.27135126289164</v>
      </c>
      <c r="BR109" s="47">
        <v>3.2448341136351462</v>
      </c>
      <c r="BS109" s="44">
        <v>0.178435879839726</v>
      </c>
      <c r="BT109" s="45">
        <v>1.5630983073959928</v>
      </c>
      <c r="BU109" s="46">
        <v>0.53824325312366095</v>
      </c>
      <c r="BV109" s="45">
        <v>4.7150108973632481</v>
      </c>
      <c r="BW109" s="393">
        <v>1132.6217490274778</v>
      </c>
      <c r="BX109" s="295">
        <f t="shared" si="157"/>
        <v>376.79267440619077</v>
      </c>
      <c r="BY109" s="295">
        <f t="shared" si="137"/>
        <v>1509.4144234336686</v>
      </c>
      <c r="BZ109" s="39">
        <v>640.85395822277371</v>
      </c>
      <c r="CA109" s="41">
        <v>17.678506094066133</v>
      </c>
      <c r="CB109" s="39">
        <v>491.76779080470408</v>
      </c>
      <c r="CC109" s="47">
        <v>1.7673632728562405</v>
      </c>
      <c r="CD109" s="41">
        <f t="shared" si="138"/>
        <v>2.3553173138223262</v>
      </c>
      <c r="CE109" s="39">
        <v>326.17654974839661</v>
      </c>
      <c r="CF109" s="47">
        <v>3.4724193075840377</v>
      </c>
    </row>
    <row r="110" spans="1:84" s="22" customFormat="1" ht="15" customHeight="1">
      <c r="A110" s="324" t="str">
        <f t="shared" si="150"/>
        <v>BNI - Efficient Product Rebates; Photoluminescent Exit Sign; COM-Lighting; Other Commercial</v>
      </c>
      <c r="B110" s="36" t="s">
        <v>83</v>
      </c>
      <c r="C110" s="15" t="s">
        <v>71</v>
      </c>
      <c r="D110" s="15" t="s">
        <v>54</v>
      </c>
      <c r="E110" s="37">
        <v>10</v>
      </c>
      <c r="F110" s="38">
        <v>107.82684</v>
      </c>
      <c r="G110" s="38">
        <v>12.309000000000056</v>
      </c>
      <c r="H110" s="39">
        <v>40</v>
      </c>
      <c r="I110" s="40">
        <v>0.375</v>
      </c>
      <c r="J110" s="39">
        <v>3.4504588800000002</v>
      </c>
      <c r="K110" s="39">
        <v>18.450458879999999</v>
      </c>
      <c r="L110" s="39">
        <v>25</v>
      </c>
      <c r="M110" s="39">
        <v>43.450458879999999</v>
      </c>
      <c r="N110" s="39">
        <v>68.549147291534794</v>
      </c>
      <c r="O110" s="41">
        <v>0.82</v>
      </c>
      <c r="P110" s="41">
        <v>1.5506093582189306</v>
      </c>
      <c r="Q110" s="261">
        <f t="shared" si="151"/>
        <v>1.5506093582189306</v>
      </c>
      <c r="R110" s="262">
        <f t="shared" si="132"/>
        <v>0</v>
      </c>
      <c r="S110" s="262">
        <f t="shared" si="152"/>
        <v>25.99219973825722</v>
      </c>
      <c r="T110" s="261">
        <f t="shared" si="153"/>
        <v>2.1385633991850161</v>
      </c>
      <c r="U110" s="267">
        <f t="shared" si="140"/>
        <v>0.37917612056812583</v>
      </c>
      <c r="V110" s="42" t="s">
        <v>72</v>
      </c>
      <c r="W110" s="199">
        <f>0.027*W3</f>
        <v>3.4020000000000002E-2</v>
      </c>
      <c r="X110" s="199"/>
      <c r="Y110" s="333">
        <v>0</v>
      </c>
      <c r="Z110" s="334">
        <f t="shared" si="141"/>
        <v>3.6682690968000005</v>
      </c>
      <c r="AA110" s="309">
        <f t="shared" si="142"/>
        <v>0.18341345484000005</v>
      </c>
      <c r="AB110" s="309">
        <f t="shared" si="143"/>
        <v>0.10637980380720002</v>
      </c>
      <c r="AC110" s="309">
        <f t="shared" si="144"/>
        <v>1.4673076387200001E-2</v>
      </c>
      <c r="AD110" s="309">
        <f t="shared" si="145"/>
        <v>0</v>
      </c>
      <c r="AE110" s="309">
        <f t="shared" si="146"/>
        <v>0.26778364406640004</v>
      </c>
      <c r="AF110" s="309">
        <f t="shared" si="147"/>
        <v>2.7035143243416004</v>
      </c>
      <c r="AG110" s="309" t="s">
        <v>38</v>
      </c>
      <c r="AH110" s="309">
        <f t="shared" si="139"/>
        <v>0</v>
      </c>
      <c r="AI110" s="309">
        <f t="shared" si="148"/>
        <v>0.30446633503440007</v>
      </c>
      <c r="AJ110" s="309">
        <f t="shared" si="149"/>
        <v>8.4370189226400008E-2</v>
      </c>
      <c r="AK110" s="309">
        <f t="shared" si="154"/>
        <v>3.6646008277032007</v>
      </c>
      <c r="AL110" s="246" t="s">
        <v>456</v>
      </c>
      <c r="AM110" s="234" t="s">
        <v>331</v>
      </c>
      <c r="AN110" s="102" t="s">
        <v>72</v>
      </c>
      <c r="AO110" s="246"/>
      <c r="AP110" s="43" t="s">
        <v>83</v>
      </c>
      <c r="AQ110" s="44">
        <v>0.26674550729809127</v>
      </c>
      <c r="AR110" s="45">
        <v>2.3366906439312687</v>
      </c>
      <c r="AS110" s="46">
        <v>0.26674550729809127</v>
      </c>
      <c r="AT110" s="45">
        <v>2.3366906439312687</v>
      </c>
      <c r="AU110" s="393">
        <v>1485.5128011318504</v>
      </c>
      <c r="AV110" s="295">
        <f t="shared" si="155"/>
        <v>563.27098098746478</v>
      </c>
      <c r="AW110" s="295">
        <f t="shared" si="133"/>
        <v>2048.7837821193152</v>
      </c>
      <c r="AX110" s="39">
        <v>958.01872551456029</v>
      </c>
      <c r="AY110" s="41">
        <v>26.427768230076548</v>
      </c>
      <c r="AZ110" s="39">
        <v>527.49407561729015</v>
      </c>
      <c r="BA110" s="47">
        <v>1.5506093582189309</v>
      </c>
      <c r="BB110" s="41">
        <f t="shared" si="134"/>
        <v>2.1385633991850166</v>
      </c>
      <c r="BC110" s="39">
        <v>487.60445101919777</v>
      </c>
      <c r="BD110" s="47">
        <v>3.0465529960335891</v>
      </c>
      <c r="BE110" s="46">
        <v>0.22134647374433522</v>
      </c>
      <c r="BF110" s="45">
        <v>1.9389951100003677</v>
      </c>
      <c r="BG110" s="46">
        <v>0.48809198104242646</v>
      </c>
      <c r="BH110" s="45">
        <v>4.2756857539316364</v>
      </c>
      <c r="BI110" s="393">
        <v>1312.9121115508415</v>
      </c>
      <c r="BJ110" s="295">
        <f t="shared" si="156"/>
        <v>467.40448102377468</v>
      </c>
      <c r="BK110" s="295">
        <f t="shared" si="135"/>
        <v>1780.3165925746162</v>
      </c>
      <c r="BL110" s="39">
        <v>794.96771593876247</v>
      </c>
      <c r="BM110" s="41">
        <v>21.929866283082003</v>
      </c>
      <c r="BN110" s="39">
        <v>517.94439561207901</v>
      </c>
      <c r="BO110" s="47">
        <v>1.651528842275624</v>
      </c>
      <c r="BP110" s="41">
        <f t="shared" si="136"/>
        <v>2.2394828832417097</v>
      </c>
      <c r="BQ110" s="39">
        <v>404.61609609990296</v>
      </c>
      <c r="BR110" s="47">
        <v>3.2448341136351453</v>
      </c>
      <c r="BS110" s="44">
        <v>0.24205485642255709</v>
      </c>
      <c r="BT110" s="45">
        <v>2.1204005422615904</v>
      </c>
      <c r="BU110" s="46">
        <v>0.73014683746498354</v>
      </c>
      <c r="BV110" s="45">
        <v>6.3960862961932268</v>
      </c>
      <c r="BW110" s="393">
        <v>1536.4432035090892</v>
      </c>
      <c r="BX110" s="295">
        <f t="shared" si="157"/>
        <v>511.13316888051418</v>
      </c>
      <c r="BY110" s="295">
        <f t="shared" si="137"/>
        <v>2047.5763723896034</v>
      </c>
      <c r="BZ110" s="39">
        <v>869.34204592021399</v>
      </c>
      <c r="CA110" s="41">
        <v>23.981545966024861</v>
      </c>
      <c r="CB110" s="39">
        <v>667.10115758887525</v>
      </c>
      <c r="CC110" s="47">
        <v>1.7673632728562403</v>
      </c>
      <c r="CD110" s="41">
        <f t="shared" si="138"/>
        <v>2.3553173138223258</v>
      </c>
      <c r="CE110" s="39">
        <v>442.47052772497159</v>
      </c>
      <c r="CF110" s="47">
        <v>3.4724193075840368</v>
      </c>
    </row>
    <row r="111" spans="1:84" s="22" customFormat="1" ht="15" customHeight="1">
      <c r="A111" s="324" t="str">
        <f t="shared" si="150"/>
        <v>BNI - Efficient Product Rebates; Photoluminescent Exit Sign; COM-Lighting; Retail</v>
      </c>
      <c r="B111" s="36" t="s">
        <v>83</v>
      </c>
      <c r="C111" s="15" t="s">
        <v>71</v>
      </c>
      <c r="D111" s="15" t="s">
        <v>28</v>
      </c>
      <c r="E111" s="37">
        <v>10</v>
      </c>
      <c r="F111" s="38">
        <v>107.82684</v>
      </c>
      <c r="G111" s="38">
        <v>12.309000000000056</v>
      </c>
      <c r="H111" s="39">
        <v>40</v>
      </c>
      <c r="I111" s="40">
        <v>0.375</v>
      </c>
      <c r="J111" s="39">
        <v>3.4504588800000002</v>
      </c>
      <c r="K111" s="39">
        <v>18.450458879999999</v>
      </c>
      <c r="L111" s="39">
        <v>25</v>
      </c>
      <c r="M111" s="39">
        <v>43.450458879999999</v>
      </c>
      <c r="N111" s="39">
        <v>68.549147291534794</v>
      </c>
      <c r="O111" s="41">
        <v>0.82</v>
      </c>
      <c r="P111" s="41">
        <v>1.5506093582189306</v>
      </c>
      <c r="Q111" s="261">
        <f t="shared" si="151"/>
        <v>1.5506093582189306</v>
      </c>
      <c r="R111" s="262">
        <f t="shared" si="132"/>
        <v>0</v>
      </c>
      <c r="S111" s="262">
        <f t="shared" si="152"/>
        <v>25.99219973825722</v>
      </c>
      <c r="T111" s="261">
        <f t="shared" si="153"/>
        <v>2.1385633991850161</v>
      </c>
      <c r="U111" s="267">
        <f t="shared" si="140"/>
        <v>0.37917612056812583</v>
      </c>
      <c r="V111" s="42" t="s">
        <v>72</v>
      </c>
      <c r="W111" s="199">
        <f>0.027*W3</f>
        <v>3.4020000000000002E-2</v>
      </c>
      <c r="X111" s="199"/>
      <c r="Y111" s="333">
        <v>0</v>
      </c>
      <c r="Z111" s="334">
        <f t="shared" si="141"/>
        <v>3.6682690968000005</v>
      </c>
      <c r="AA111" s="309">
        <f t="shared" si="142"/>
        <v>0.18341345484000005</v>
      </c>
      <c r="AB111" s="309">
        <f t="shared" si="143"/>
        <v>0.10637980380720002</v>
      </c>
      <c r="AC111" s="309">
        <f t="shared" si="144"/>
        <v>1.4673076387200001E-2</v>
      </c>
      <c r="AD111" s="309">
        <f t="shared" si="145"/>
        <v>0</v>
      </c>
      <c r="AE111" s="309">
        <f t="shared" si="146"/>
        <v>0.26778364406640004</v>
      </c>
      <c r="AF111" s="309">
        <f t="shared" si="147"/>
        <v>2.7035143243416004</v>
      </c>
      <c r="AG111" s="309" t="s">
        <v>38</v>
      </c>
      <c r="AH111" s="309">
        <f t="shared" si="139"/>
        <v>0</v>
      </c>
      <c r="AI111" s="309">
        <f t="shared" si="148"/>
        <v>0.30446633503440007</v>
      </c>
      <c r="AJ111" s="309">
        <f t="shared" si="149"/>
        <v>8.4370189226400008E-2</v>
      </c>
      <c r="AK111" s="309">
        <f t="shared" si="154"/>
        <v>3.6646008277032007</v>
      </c>
      <c r="AL111" s="246" t="s">
        <v>456</v>
      </c>
      <c r="AM111" s="234" t="s">
        <v>331</v>
      </c>
      <c r="AN111" s="102" t="s">
        <v>72</v>
      </c>
      <c r="AO111" s="246"/>
      <c r="AP111" s="43" t="s">
        <v>83</v>
      </c>
      <c r="AQ111" s="44">
        <v>0.38164406888704117</v>
      </c>
      <c r="AR111" s="45">
        <v>3.3432020434504652</v>
      </c>
      <c r="AS111" s="46">
        <v>0.38164406888704117</v>
      </c>
      <c r="AT111" s="45">
        <v>3.3432020434504652</v>
      </c>
      <c r="AU111" s="393">
        <v>2125.385936394372</v>
      </c>
      <c r="AV111" s="295">
        <f t="shared" si="155"/>
        <v>805.89559407207139</v>
      </c>
      <c r="AW111" s="295">
        <f t="shared" si="133"/>
        <v>2931.2815304664437</v>
      </c>
      <c r="AX111" s="39">
        <v>1370.6778726239882</v>
      </c>
      <c r="AY111" s="41">
        <v>37.811324738297721</v>
      </c>
      <c r="AZ111" s="39">
        <v>754.70806377038389</v>
      </c>
      <c r="BA111" s="47">
        <v>1.5506093582189311</v>
      </c>
      <c r="BB111" s="41">
        <f t="shared" si="134"/>
        <v>2.138563399185017</v>
      </c>
      <c r="BC111" s="39">
        <v>697.63629228228888</v>
      </c>
      <c r="BD111" s="47">
        <v>3.0465529960335895</v>
      </c>
      <c r="BE111" s="46">
        <v>0.31668975320054521</v>
      </c>
      <c r="BF111" s="45">
        <v>2.7742022380367635</v>
      </c>
      <c r="BG111" s="46">
        <v>0.69833382208758632</v>
      </c>
      <c r="BH111" s="45">
        <v>6.1174042814872287</v>
      </c>
      <c r="BI111" s="393">
        <v>1878.438836397698</v>
      </c>
      <c r="BJ111" s="295">
        <f t="shared" si="156"/>
        <v>668.73534164009402</v>
      </c>
      <c r="BK111" s="295">
        <f t="shared" si="135"/>
        <v>2547.174178037792</v>
      </c>
      <c r="BL111" s="39">
        <v>1137.3939033419585</v>
      </c>
      <c r="BM111" s="41">
        <v>31.375986359430019</v>
      </c>
      <c r="BN111" s="39">
        <v>741.04493305573942</v>
      </c>
      <c r="BO111" s="47">
        <v>1.6515288422756242</v>
      </c>
      <c r="BP111" s="41">
        <f t="shared" si="136"/>
        <v>2.2394828832417097</v>
      </c>
      <c r="BQ111" s="39">
        <v>578.90134614410442</v>
      </c>
      <c r="BR111" s="47">
        <v>3.2448341136351462</v>
      </c>
      <c r="BS111" s="44">
        <v>0.34631811135150198</v>
      </c>
      <c r="BT111" s="45">
        <v>3.0337466554391437</v>
      </c>
      <c r="BU111" s="46">
        <v>1.0446519334390885</v>
      </c>
      <c r="BV111" s="45">
        <v>9.1511509369263724</v>
      </c>
      <c r="BW111" s="393">
        <v>2198.2542151900948</v>
      </c>
      <c r="BX111" s="295">
        <f t="shared" si="157"/>
        <v>731.29982315575626</v>
      </c>
      <c r="BY111" s="295">
        <f t="shared" si="137"/>
        <v>2929.554038345851</v>
      </c>
      <c r="BZ111" s="39">
        <v>1243.8044000074133</v>
      </c>
      <c r="CA111" s="41">
        <v>34.311411177573859</v>
      </c>
      <c r="CB111" s="39">
        <v>954.4498151826815</v>
      </c>
      <c r="CC111" s="47">
        <v>1.7673632728562407</v>
      </c>
      <c r="CD111" s="41">
        <f t="shared" si="138"/>
        <v>2.3553173138223262</v>
      </c>
      <c r="CE111" s="39">
        <v>633.06128104659888</v>
      </c>
      <c r="CF111" s="47">
        <v>3.4724193075840377</v>
      </c>
    </row>
    <row r="112" spans="1:84" s="22" customFormat="1" ht="15" customHeight="1">
      <c r="A112" s="324" t="str">
        <f t="shared" si="150"/>
        <v>BNI - Efficient Product Rebates; Photoluminescent Exit Sign; COM-Lighting; School</v>
      </c>
      <c r="B112" s="36" t="s">
        <v>83</v>
      </c>
      <c r="C112" s="15" t="s">
        <v>71</v>
      </c>
      <c r="D112" s="15" t="s">
        <v>57</v>
      </c>
      <c r="E112" s="37">
        <v>10</v>
      </c>
      <c r="F112" s="38">
        <v>107.82684</v>
      </c>
      <c r="G112" s="38">
        <v>12.309000000000056</v>
      </c>
      <c r="H112" s="39">
        <v>40</v>
      </c>
      <c r="I112" s="40">
        <v>0.375</v>
      </c>
      <c r="J112" s="39">
        <v>3.4504588800000002</v>
      </c>
      <c r="K112" s="39">
        <v>18.450458879999999</v>
      </c>
      <c r="L112" s="39">
        <v>25</v>
      </c>
      <c r="M112" s="39">
        <v>43.450458879999999</v>
      </c>
      <c r="N112" s="39">
        <v>68.549147291534794</v>
      </c>
      <c r="O112" s="41">
        <v>0.82</v>
      </c>
      <c r="P112" s="41">
        <v>1.5506093582189306</v>
      </c>
      <c r="Q112" s="261">
        <f t="shared" si="151"/>
        <v>1.5506093582189306</v>
      </c>
      <c r="R112" s="262">
        <f t="shared" si="132"/>
        <v>0</v>
      </c>
      <c r="S112" s="262">
        <f t="shared" si="152"/>
        <v>25.99219973825722</v>
      </c>
      <c r="T112" s="261">
        <f t="shared" si="153"/>
        <v>2.1385633991850161</v>
      </c>
      <c r="U112" s="267">
        <f t="shared" si="140"/>
        <v>0.37917612056812583</v>
      </c>
      <c r="V112" s="42" t="s">
        <v>72</v>
      </c>
      <c r="W112" s="199">
        <f>0.027*W3</f>
        <v>3.4020000000000002E-2</v>
      </c>
      <c r="X112" s="199"/>
      <c r="Y112" s="333">
        <v>0</v>
      </c>
      <c r="Z112" s="334">
        <f t="shared" si="141"/>
        <v>3.6682690968000005</v>
      </c>
      <c r="AA112" s="309">
        <f t="shared" si="142"/>
        <v>0.18341345484000005</v>
      </c>
      <c r="AB112" s="309">
        <f t="shared" si="143"/>
        <v>0.10637980380720002</v>
      </c>
      <c r="AC112" s="309">
        <f t="shared" si="144"/>
        <v>1.4673076387200001E-2</v>
      </c>
      <c r="AD112" s="309">
        <f t="shared" si="145"/>
        <v>0</v>
      </c>
      <c r="AE112" s="309">
        <f t="shared" si="146"/>
        <v>0.26778364406640004</v>
      </c>
      <c r="AF112" s="309">
        <f t="shared" si="147"/>
        <v>2.7035143243416004</v>
      </c>
      <c r="AG112" s="309" t="s">
        <v>38</v>
      </c>
      <c r="AH112" s="309">
        <f t="shared" si="139"/>
        <v>0</v>
      </c>
      <c r="AI112" s="309">
        <f t="shared" si="148"/>
        <v>0.30446633503440007</v>
      </c>
      <c r="AJ112" s="309">
        <f t="shared" si="149"/>
        <v>8.4370189226400008E-2</v>
      </c>
      <c r="AK112" s="309">
        <f t="shared" si="154"/>
        <v>3.6646008277032007</v>
      </c>
      <c r="AL112" s="246" t="s">
        <v>456</v>
      </c>
      <c r="AM112" s="234" t="s">
        <v>331</v>
      </c>
      <c r="AN112" s="102" t="s">
        <v>72</v>
      </c>
      <c r="AO112" s="246"/>
      <c r="AP112" s="43" t="s">
        <v>83</v>
      </c>
      <c r="AQ112" s="44">
        <v>0.38039686604754108</v>
      </c>
      <c r="AR112" s="45">
        <v>3.3322765465764448</v>
      </c>
      <c r="AS112" s="46">
        <v>0.38039686604754108</v>
      </c>
      <c r="AT112" s="45">
        <v>3.3322765465764448</v>
      </c>
      <c r="AU112" s="393">
        <v>2118.4402307198802</v>
      </c>
      <c r="AV112" s="295">
        <f t="shared" si="155"/>
        <v>803.26194833980981</v>
      </c>
      <c r="AW112" s="295">
        <f t="shared" si="133"/>
        <v>2921.70217905969</v>
      </c>
      <c r="AX112" s="39">
        <v>1366.1985331709689</v>
      </c>
      <c r="AY112" s="41">
        <v>37.687758317584333</v>
      </c>
      <c r="AZ112" s="39">
        <v>752.24169754891136</v>
      </c>
      <c r="BA112" s="47">
        <v>1.5506093582189304</v>
      </c>
      <c r="BB112" s="41">
        <f t="shared" si="134"/>
        <v>2.1385633991850161</v>
      </c>
      <c r="BC112" s="39">
        <v>695.35643511796775</v>
      </c>
      <c r="BD112" s="47">
        <v>3.0465529960335886</v>
      </c>
      <c r="BE112" s="46">
        <v>0.31565481936655648</v>
      </c>
      <c r="BF112" s="45">
        <v>2.7651362176510221</v>
      </c>
      <c r="BG112" s="46">
        <v>0.69605168541409768</v>
      </c>
      <c r="BH112" s="45">
        <v>6.0974127642274674</v>
      </c>
      <c r="BI112" s="393">
        <v>1872.3001473898623</v>
      </c>
      <c r="BJ112" s="295">
        <f t="shared" si="156"/>
        <v>666.54993202689104</v>
      </c>
      <c r="BK112" s="295">
        <f t="shared" si="135"/>
        <v>2538.8500794167535</v>
      </c>
      <c r="BL112" s="39">
        <v>1133.6769298016254</v>
      </c>
      <c r="BM112" s="41">
        <v>31.273450456294626</v>
      </c>
      <c r="BN112" s="39">
        <v>738.62321758823691</v>
      </c>
      <c r="BO112" s="47">
        <v>1.651528842275624</v>
      </c>
      <c r="BP112" s="41">
        <f t="shared" si="136"/>
        <v>2.2394828832417097</v>
      </c>
      <c r="BQ112" s="39">
        <v>577.00951167958124</v>
      </c>
      <c r="BR112" s="47">
        <v>3.2448341136351457</v>
      </c>
      <c r="BS112" s="44">
        <v>0.34518635281767346</v>
      </c>
      <c r="BT112" s="45">
        <v>3.0238324506828058</v>
      </c>
      <c r="BU112" s="46">
        <v>1.041238038231771</v>
      </c>
      <c r="BV112" s="45">
        <v>9.1212452149102727</v>
      </c>
      <c r="BW112" s="393">
        <v>2191.0703778855509</v>
      </c>
      <c r="BX112" s="295">
        <f t="shared" si="157"/>
        <v>728.90995445263263</v>
      </c>
      <c r="BY112" s="295">
        <f t="shared" si="137"/>
        <v>2919.9803323381834</v>
      </c>
      <c r="BZ112" s="39">
        <v>1239.739679745951</v>
      </c>
      <c r="CA112" s="41">
        <v>34.199282382875893</v>
      </c>
      <c r="CB112" s="39">
        <v>951.33069813959992</v>
      </c>
      <c r="CC112" s="47">
        <v>1.7673632728562401</v>
      </c>
      <c r="CD112" s="41">
        <f t="shared" si="138"/>
        <v>2.3553173138223253</v>
      </c>
      <c r="CE112" s="39">
        <v>630.9924533307601</v>
      </c>
      <c r="CF112" s="47">
        <v>3.4724193075840373</v>
      </c>
    </row>
    <row r="113" spans="1:84" s="22" customFormat="1" ht="15" customHeight="1">
      <c r="A113" s="324" t="str">
        <f t="shared" si="150"/>
        <v xml:space="preserve">BNI - Efficient Product Rebates; Lighting Controls - Occupancy Sensors; IND; Industrial </v>
      </c>
      <c r="B113" s="36" t="s">
        <v>84</v>
      </c>
      <c r="C113" s="15" t="s">
        <v>67</v>
      </c>
      <c r="D113" s="15" t="s">
        <v>68</v>
      </c>
      <c r="E113" s="37">
        <v>10</v>
      </c>
      <c r="F113" s="38">
        <v>602.09819102912854</v>
      </c>
      <c r="G113" s="38">
        <v>0</v>
      </c>
      <c r="H113" s="39">
        <v>145.56</v>
      </c>
      <c r="I113" s="40">
        <v>0.27480076944215442</v>
      </c>
      <c r="J113" s="39">
        <v>19.267142112932113</v>
      </c>
      <c r="K113" s="39">
        <v>59.267142112932113</v>
      </c>
      <c r="L113" s="39">
        <v>105.56</v>
      </c>
      <c r="M113" s="39">
        <v>164.82714211293211</v>
      </c>
      <c r="N113" s="39">
        <v>305.95265245089024</v>
      </c>
      <c r="O113" s="41">
        <v>0.82</v>
      </c>
      <c r="P113" s="41">
        <v>1.8097655264202912</v>
      </c>
      <c r="Q113" s="261">
        <f t="shared" si="151"/>
        <v>1.8097655264202912</v>
      </c>
      <c r="R113" s="262">
        <f t="shared" si="132"/>
        <v>0</v>
      </c>
      <c r="S113" s="262">
        <f t="shared" si="152"/>
        <v>145.13878402884157</v>
      </c>
      <c r="T113" s="261">
        <f t="shared" si="153"/>
        <v>2.66828780356943</v>
      </c>
      <c r="U113" s="267">
        <f t="shared" si="140"/>
        <v>0.47438315329571579</v>
      </c>
      <c r="V113" s="42" t="s">
        <v>72</v>
      </c>
      <c r="W113" s="199">
        <f>0.027*W3</f>
        <v>3.4020000000000002E-2</v>
      </c>
      <c r="X113" s="199"/>
      <c r="Y113" s="333">
        <v>0</v>
      </c>
      <c r="Z113" s="334">
        <f t="shared" si="141"/>
        <v>20.483380458810952</v>
      </c>
      <c r="AA113" s="309">
        <f t="shared" si="142"/>
        <v>1.0241690229405476</v>
      </c>
      <c r="AB113" s="309">
        <f t="shared" si="143"/>
        <v>0.59401803330551761</v>
      </c>
      <c r="AC113" s="309">
        <f t="shared" si="144"/>
        <v>8.1933521835243814E-2</v>
      </c>
      <c r="AD113" s="309">
        <f t="shared" si="145"/>
        <v>0</v>
      </c>
      <c r="AE113" s="309">
        <f t="shared" si="146"/>
        <v>1.4952867734931994</v>
      </c>
      <c r="AF113" s="309">
        <f t="shared" si="147"/>
        <v>15.096251398143671</v>
      </c>
      <c r="AG113" s="309" t="s">
        <v>38</v>
      </c>
      <c r="AH113" s="309">
        <f t="shared" si="139"/>
        <v>0</v>
      </c>
      <c r="AI113" s="309">
        <f t="shared" si="148"/>
        <v>1.7001205780813091</v>
      </c>
      <c r="AJ113" s="309">
        <f t="shared" si="149"/>
        <v>0.47111775055265187</v>
      </c>
      <c r="AK113" s="309">
        <f t="shared" si="154"/>
        <v>20.462897078352142</v>
      </c>
      <c r="AL113" s="246" t="s">
        <v>456</v>
      </c>
      <c r="AM113" s="234" t="s">
        <v>331</v>
      </c>
      <c r="AN113" s="102" t="s">
        <v>72</v>
      </c>
      <c r="AO113" s="246"/>
      <c r="AP113" s="43" t="s">
        <v>84</v>
      </c>
      <c r="AQ113" s="44">
        <v>0</v>
      </c>
      <c r="AR113" s="45">
        <v>67.97773526603531</v>
      </c>
      <c r="AS113" s="46">
        <v>0</v>
      </c>
      <c r="AT113" s="45">
        <v>67.97773526603531</v>
      </c>
      <c r="AU113" s="393">
        <v>34542.486129545192</v>
      </c>
      <c r="AV113" s="295">
        <f t="shared" si="155"/>
        <v>16386.373492807179</v>
      </c>
      <c r="AW113" s="295">
        <f t="shared" si="133"/>
        <v>50928.859622352371</v>
      </c>
      <c r="AX113" s="39">
        <v>19086.719039161992</v>
      </c>
      <c r="AY113" s="41">
        <v>137.68464743600441</v>
      </c>
      <c r="AZ113" s="39">
        <v>15455.7670903832</v>
      </c>
      <c r="BA113" s="47">
        <v>1.809765526420291</v>
      </c>
      <c r="BB113" s="41">
        <f t="shared" si="134"/>
        <v>2.66828780356943</v>
      </c>
      <c r="BC113" s="39">
        <v>8160.1755663586282</v>
      </c>
      <c r="BD113" s="47">
        <v>4.2330567337240916</v>
      </c>
      <c r="BE113" s="46">
        <v>0</v>
      </c>
      <c r="BF113" s="45">
        <v>64.864259101551482</v>
      </c>
      <c r="BG113" s="46">
        <v>0</v>
      </c>
      <c r="BH113" s="45">
        <v>132.84199436758678</v>
      </c>
      <c r="BI113" s="393">
        <v>34253.301184121934</v>
      </c>
      <c r="BJ113" s="295">
        <f t="shared" si="156"/>
        <v>15635.85447224081</v>
      </c>
      <c r="BK113" s="295">
        <f t="shared" si="135"/>
        <v>49889.155656362746</v>
      </c>
      <c r="BL113" s="39">
        <v>18212.520383468876</v>
      </c>
      <c r="BM113" s="41">
        <v>131.37849636566204</v>
      </c>
      <c r="BN113" s="39">
        <v>16040.780800653058</v>
      </c>
      <c r="BO113" s="47">
        <v>1.8807556814164468</v>
      </c>
      <c r="BP113" s="41">
        <f t="shared" si="136"/>
        <v>2.739277958565586</v>
      </c>
      <c r="BQ113" s="39">
        <v>7786.4280146870278</v>
      </c>
      <c r="BR113" s="47">
        <v>4.3991033012200438</v>
      </c>
      <c r="BS113" s="44">
        <v>0</v>
      </c>
      <c r="BT113" s="45">
        <v>70.000818197493615</v>
      </c>
      <c r="BU113" s="46">
        <v>0</v>
      </c>
      <c r="BV113" s="45">
        <v>202.84281256508041</v>
      </c>
      <c r="BW113" s="393">
        <v>38703.611218479033</v>
      </c>
      <c r="BX113" s="295">
        <f t="shared" si="157"/>
        <v>16874.047764273571</v>
      </c>
      <c r="BY113" s="295">
        <f t="shared" si="137"/>
        <v>55577.658982752604</v>
      </c>
      <c r="BZ113" s="39">
        <v>19654.758197197341</v>
      </c>
      <c r="CA113" s="41">
        <v>141.78227527049347</v>
      </c>
      <c r="CB113" s="39">
        <v>19048.853021281691</v>
      </c>
      <c r="CC113" s="47">
        <v>1.9691725957736763</v>
      </c>
      <c r="CD113" s="41">
        <f t="shared" si="138"/>
        <v>2.8276948729228155</v>
      </c>
      <c r="CE113" s="39">
        <v>8403.0302575511978</v>
      </c>
      <c r="CF113" s="47">
        <v>4.6059112049131192</v>
      </c>
    </row>
    <row r="114" spans="1:84" s="22" customFormat="1" ht="15" customHeight="1">
      <c r="A114" s="324" t="str">
        <f t="shared" si="150"/>
        <v>BNI - Efficient Product Rebates; Lighting Controls - Occupancy Sensors; COM-Lighting; Office</v>
      </c>
      <c r="B114" s="36" t="s">
        <v>84</v>
      </c>
      <c r="C114" s="15" t="s">
        <v>71</v>
      </c>
      <c r="D114" s="15" t="s">
        <v>64</v>
      </c>
      <c r="E114" s="37">
        <v>10</v>
      </c>
      <c r="F114" s="38">
        <v>383.57889128480269</v>
      </c>
      <c r="G114" s="38">
        <v>28.367447525234219</v>
      </c>
      <c r="H114" s="39">
        <v>145.56</v>
      </c>
      <c r="I114" s="40">
        <v>0.27480076944215442</v>
      </c>
      <c r="J114" s="39">
        <v>12.274524521113687</v>
      </c>
      <c r="K114" s="39">
        <v>52.27452452111369</v>
      </c>
      <c r="L114" s="39">
        <v>105.56</v>
      </c>
      <c r="M114" s="39">
        <v>157.83452452111368</v>
      </c>
      <c r="N114" s="39">
        <v>226.61920020009691</v>
      </c>
      <c r="O114" s="41">
        <v>0.82</v>
      </c>
      <c r="P114" s="41">
        <v>1.4117031546446381</v>
      </c>
      <c r="Q114" s="261">
        <f t="shared" si="151"/>
        <v>1.4117031546446381</v>
      </c>
      <c r="R114" s="262">
        <f t="shared" si="132"/>
        <v>0</v>
      </c>
      <c r="S114" s="262">
        <f t="shared" si="152"/>
        <v>92.463612563011594</v>
      </c>
      <c r="T114" s="261">
        <f t="shared" si="153"/>
        <v>1.9876965984031043</v>
      </c>
      <c r="U114" s="267">
        <f t="shared" si="140"/>
        <v>0.40801314487638052</v>
      </c>
      <c r="V114" s="42" t="s">
        <v>72</v>
      </c>
      <c r="W114" s="199">
        <f>0.027*W3</f>
        <v>3.4020000000000002E-2</v>
      </c>
      <c r="X114" s="199"/>
      <c r="Y114" s="333">
        <v>0</v>
      </c>
      <c r="Z114" s="334">
        <f t="shared" si="141"/>
        <v>13.049353881508988</v>
      </c>
      <c r="AA114" s="309">
        <f t="shared" si="142"/>
        <v>0.65246769407544947</v>
      </c>
      <c r="AB114" s="309">
        <f t="shared" si="143"/>
        <v>0.3784312625637607</v>
      </c>
      <c r="AC114" s="309">
        <f t="shared" si="144"/>
        <v>5.2197415526035955E-2</v>
      </c>
      <c r="AD114" s="309">
        <f t="shared" si="145"/>
        <v>0</v>
      </c>
      <c r="AE114" s="309">
        <f t="shared" si="146"/>
        <v>0.95260283335015605</v>
      </c>
      <c r="AF114" s="309">
        <f t="shared" si="147"/>
        <v>9.6173738106721238</v>
      </c>
      <c r="AG114" s="309" t="s">
        <v>38</v>
      </c>
      <c r="AH114" s="309">
        <f t="shared" si="139"/>
        <v>0</v>
      </c>
      <c r="AI114" s="309">
        <f t="shared" si="148"/>
        <v>1.083096372165246</v>
      </c>
      <c r="AJ114" s="309">
        <f t="shared" si="149"/>
        <v>0.30013513927470675</v>
      </c>
      <c r="AK114" s="309">
        <f t="shared" si="154"/>
        <v>13.036304527627479</v>
      </c>
      <c r="AL114" s="246" t="s">
        <v>456</v>
      </c>
      <c r="AM114" s="234" t="s">
        <v>331</v>
      </c>
      <c r="AN114" s="102" t="s">
        <v>72</v>
      </c>
      <c r="AO114" s="246"/>
      <c r="AP114" s="43" t="s">
        <v>84</v>
      </c>
      <c r="AQ114" s="44">
        <v>4.3964005506928139</v>
      </c>
      <c r="AR114" s="45">
        <v>59.447239564946443</v>
      </c>
      <c r="AS114" s="46">
        <v>4.3964005506928139</v>
      </c>
      <c r="AT114" s="45">
        <v>59.447239564946443</v>
      </c>
      <c r="AU114" s="393">
        <v>35121.551760023751</v>
      </c>
      <c r="AV114" s="295">
        <f t="shared" si="155"/>
        <v>14330.054786545861</v>
      </c>
      <c r="AW114" s="295">
        <f t="shared" si="133"/>
        <v>49451.606546569616</v>
      </c>
      <c r="AX114" s="39">
        <v>24878.850517880113</v>
      </c>
      <c r="AY114" s="41">
        <v>189.00058179155764</v>
      </c>
      <c r="AZ114" s="39">
        <v>10242.701242143638</v>
      </c>
      <c r="BA114" s="47">
        <v>1.4117031546446384</v>
      </c>
      <c r="BB114" s="41">
        <f t="shared" si="134"/>
        <v>1.9876965984031045</v>
      </c>
      <c r="BC114" s="39">
        <v>9879.9155473675328</v>
      </c>
      <c r="BD114" s="47">
        <v>3.5548433173987766</v>
      </c>
      <c r="BE114" s="46">
        <v>4.4682306639014824</v>
      </c>
      <c r="BF114" s="45">
        <v>60.418511836127465</v>
      </c>
      <c r="BG114" s="46">
        <v>8.8646312145942954</v>
      </c>
      <c r="BH114" s="45">
        <v>119.86575140107391</v>
      </c>
      <c r="BI114" s="393">
        <v>37739.006761247307</v>
      </c>
      <c r="BJ114" s="295">
        <f t="shared" si="156"/>
        <v>14564.18483128025</v>
      </c>
      <c r="BK114" s="295">
        <f t="shared" si="135"/>
        <v>52303.191592527553</v>
      </c>
      <c r="BL114" s="39">
        <v>25285.330916696195</v>
      </c>
      <c r="BM114" s="41">
        <v>192.08854728288492</v>
      </c>
      <c r="BN114" s="39">
        <v>12453.675844551111</v>
      </c>
      <c r="BO114" s="47">
        <v>1.4925257211614267</v>
      </c>
      <c r="BP114" s="41">
        <f t="shared" si="136"/>
        <v>2.0685191649198926</v>
      </c>
      <c r="BQ114" s="39">
        <v>10041.337475164273</v>
      </c>
      <c r="BR114" s="47">
        <v>3.7583645460168054</v>
      </c>
      <c r="BS114" s="44">
        <v>5.2130008915569341</v>
      </c>
      <c r="BT114" s="45">
        <v>70.489144307797105</v>
      </c>
      <c r="BU114" s="46">
        <v>14.077632106151231</v>
      </c>
      <c r="BV114" s="45">
        <v>190.35489570887103</v>
      </c>
      <c r="BW114" s="393">
        <v>46814.358053566168</v>
      </c>
      <c r="BX114" s="295">
        <f t="shared" si="157"/>
        <v>16991.761218515712</v>
      </c>
      <c r="BY114" s="295">
        <f t="shared" si="137"/>
        <v>63806.11927208188</v>
      </c>
      <c r="BZ114" s="39">
        <v>29499.92122764673</v>
      </c>
      <c r="CA114" s="41">
        <v>224.10610453337907</v>
      </c>
      <c r="CB114" s="39">
        <v>17314.436825919438</v>
      </c>
      <c r="CC114" s="47">
        <v>1.5869316291493245</v>
      </c>
      <c r="CD114" s="41">
        <f t="shared" si="138"/>
        <v>2.1629250729077905</v>
      </c>
      <c r="CE114" s="39">
        <v>11715.040056761392</v>
      </c>
      <c r="CF114" s="47">
        <v>3.9960903101263434</v>
      </c>
    </row>
    <row r="115" spans="1:84" s="22" customFormat="1" ht="15" customHeight="1">
      <c r="A115" s="324" t="str">
        <f t="shared" si="150"/>
        <v>BNI - Efficient Product Rebates; Lighting Controls - Occupancy Sensors; COM-Lighting; Other Commercial</v>
      </c>
      <c r="B115" s="36" t="s">
        <v>84</v>
      </c>
      <c r="C115" s="15" t="s">
        <v>71</v>
      </c>
      <c r="D115" s="15" t="s">
        <v>54</v>
      </c>
      <c r="E115" s="37">
        <v>10</v>
      </c>
      <c r="F115" s="38">
        <v>640.16355097455039</v>
      </c>
      <c r="G115" s="38">
        <v>50.147670603399824</v>
      </c>
      <c r="H115" s="39">
        <v>145.56</v>
      </c>
      <c r="I115" s="40">
        <v>0.27480076944215442</v>
      </c>
      <c r="J115" s="39">
        <v>20.485233631185611</v>
      </c>
      <c r="K115" s="39">
        <v>60.485233631185608</v>
      </c>
      <c r="L115" s="39">
        <v>105.56</v>
      </c>
      <c r="M115" s="39">
        <v>166.04523363118562</v>
      </c>
      <c r="N115" s="39">
        <v>381.34459320255365</v>
      </c>
      <c r="O115" s="41">
        <v>0.82</v>
      </c>
      <c r="P115" s="41">
        <v>2.236074460073187</v>
      </c>
      <c r="Q115" s="261">
        <f t="shared" si="151"/>
        <v>2.236074460073187</v>
      </c>
      <c r="R115" s="262">
        <f t="shared" si="132"/>
        <v>0</v>
      </c>
      <c r="S115" s="262">
        <f t="shared" si="152"/>
        <v>154.31462966069043</v>
      </c>
      <c r="T115" s="261">
        <f t="shared" si="153"/>
        <v>3.1409227478176045</v>
      </c>
      <c r="U115" s="267">
        <f t="shared" si="140"/>
        <v>0.40465928299847481</v>
      </c>
      <c r="V115" s="42" t="s">
        <v>72</v>
      </c>
      <c r="W115" s="199">
        <f>0.027*W3</f>
        <v>3.4020000000000002E-2</v>
      </c>
      <c r="X115" s="199"/>
      <c r="Y115" s="333">
        <v>0</v>
      </c>
      <c r="Z115" s="334">
        <f t="shared" si="141"/>
        <v>21.778364004154206</v>
      </c>
      <c r="AA115" s="309">
        <f t="shared" si="142"/>
        <v>1.0889182002077102</v>
      </c>
      <c r="AB115" s="309">
        <f t="shared" si="143"/>
        <v>0.63157255612047203</v>
      </c>
      <c r="AC115" s="309">
        <f t="shared" si="144"/>
        <v>8.7113456016616825E-2</v>
      </c>
      <c r="AD115" s="309">
        <f t="shared" si="145"/>
        <v>0</v>
      </c>
      <c r="AE115" s="309">
        <f t="shared" si="146"/>
        <v>1.589820572303257</v>
      </c>
      <c r="AF115" s="309">
        <f t="shared" si="147"/>
        <v>16.050654271061649</v>
      </c>
      <c r="AG115" s="309" t="s">
        <v>38</v>
      </c>
      <c r="AH115" s="309">
        <f t="shared" si="139"/>
        <v>0</v>
      </c>
      <c r="AI115" s="309">
        <f t="shared" si="148"/>
        <v>1.8076042123447991</v>
      </c>
      <c r="AJ115" s="309">
        <f t="shared" si="149"/>
        <v>0.50090237209554678</v>
      </c>
      <c r="AK115" s="309">
        <f t="shared" si="154"/>
        <v>21.75658564015005</v>
      </c>
      <c r="AL115" s="246" t="s">
        <v>456</v>
      </c>
      <c r="AM115" s="234" t="s">
        <v>331</v>
      </c>
      <c r="AN115" s="102" t="s">
        <v>72</v>
      </c>
      <c r="AO115" s="246"/>
      <c r="AP115" s="43" t="s">
        <v>84</v>
      </c>
      <c r="AQ115" s="44">
        <v>6.2042921141068472</v>
      </c>
      <c r="AR115" s="45">
        <v>79.201319288811973</v>
      </c>
      <c r="AS115" s="46">
        <v>6.2042921141068472</v>
      </c>
      <c r="AT115" s="45">
        <v>79.201319288811973</v>
      </c>
      <c r="AU115" s="393">
        <v>47180.122703515626</v>
      </c>
      <c r="AV115" s="295">
        <f t="shared" si="155"/>
        <v>19091.874624984695</v>
      </c>
      <c r="AW115" s="295">
        <f t="shared" si="133"/>
        <v>66271.997328500322</v>
      </c>
      <c r="AX115" s="39">
        <v>21099.531140824092</v>
      </c>
      <c r="AY115" s="41">
        <v>150.8785912528366</v>
      </c>
      <c r="AZ115" s="39">
        <v>26080.591562691534</v>
      </c>
      <c r="BA115" s="47">
        <v>2.236074460073187</v>
      </c>
      <c r="BB115" s="41">
        <f t="shared" si="134"/>
        <v>3.1409227478176045</v>
      </c>
      <c r="BC115" s="39">
        <v>9125.9268418719803</v>
      </c>
      <c r="BD115" s="47">
        <v>5.1698992903429497</v>
      </c>
      <c r="BE115" s="46">
        <v>6.1547452139368248</v>
      </c>
      <c r="BF115" s="45">
        <v>78.568824914278196</v>
      </c>
      <c r="BG115" s="46">
        <v>12.359037328043673</v>
      </c>
      <c r="BH115" s="45">
        <v>157.77014420309018</v>
      </c>
      <c r="BI115" s="393">
        <v>49525.5556666466</v>
      </c>
      <c r="BJ115" s="295">
        <f t="shared" si="156"/>
        <v>18939.408688709405</v>
      </c>
      <c r="BK115" s="295">
        <f t="shared" si="135"/>
        <v>68464.964355356002</v>
      </c>
      <c r="BL115" s="39">
        <v>20931.032246213421</v>
      </c>
      <c r="BM115" s="41">
        <v>149.67368884638793</v>
      </c>
      <c r="BN115" s="39">
        <v>28594.523420433179</v>
      </c>
      <c r="BO115" s="47">
        <v>2.3661305894555746</v>
      </c>
      <c r="BP115" s="41">
        <f t="shared" si="136"/>
        <v>3.2709788771999921</v>
      </c>
      <c r="BQ115" s="39">
        <v>9053.0480383151553</v>
      </c>
      <c r="BR115" s="47">
        <v>5.4705945949960633</v>
      </c>
      <c r="BS115" s="44">
        <v>6.987642882699781</v>
      </c>
      <c r="BT115" s="45">
        <v>89.201237603005765</v>
      </c>
      <c r="BU115" s="46">
        <v>19.346680210743454</v>
      </c>
      <c r="BV115" s="45">
        <v>246.97138180609596</v>
      </c>
      <c r="BW115" s="393">
        <v>59829.513558561339</v>
      </c>
      <c r="BX115" s="295">
        <f t="shared" si="157"/>
        <v>21502.405010450708</v>
      </c>
      <c r="BY115" s="295">
        <f t="shared" si="137"/>
        <v>81331.91856901205</v>
      </c>
      <c r="BZ115" s="39">
        <v>23763.547217458239</v>
      </c>
      <c r="CA115" s="41">
        <v>169.92844549058202</v>
      </c>
      <c r="CB115" s="39">
        <v>36065.9663411031</v>
      </c>
      <c r="CC115" s="47">
        <v>2.5177012931220433</v>
      </c>
      <c r="CD115" s="41">
        <f t="shared" si="138"/>
        <v>3.4225495808664608</v>
      </c>
      <c r="CE115" s="39">
        <v>10278.161726082042</v>
      </c>
      <c r="CF115" s="47">
        <v>5.8210325107783545</v>
      </c>
    </row>
    <row r="116" spans="1:84" s="22" customFormat="1" ht="15" customHeight="1">
      <c r="A116" s="324" t="str">
        <f t="shared" si="150"/>
        <v>BNI - Efficient Product Rebates; Lighting Controls - Occupancy Sensors; COM-Lighting; Retail</v>
      </c>
      <c r="B116" s="36" t="s">
        <v>84</v>
      </c>
      <c r="C116" s="15" t="s">
        <v>71</v>
      </c>
      <c r="D116" s="15" t="s">
        <v>28</v>
      </c>
      <c r="E116" s="37">
        <v>10</v>
      </c>
      <c r="F116" s="38">
        <v>599.56293810929276</v>
      </c>
      <c r="G116" s="38">
        <v>51.503147864761992</v>
      </c>
      <c r="H116" s="39">
        <v>145.56</v>
      </c>
      <c r="I116" s="40">
        <v>0.27480076944215442</v>
      </c>
      <c r="J116" s="39">
        <v>19.186014019497367</v>
      </c>
      <c r="K116" s="39">
        <v>59.186014019497364</v>
      </c>
      <c r="L116" s="39">
        <v>105.56</v>
      </c>
      <c r="M116" s="39">
        <v>164.74601401949735</v>
      </c>
      <c r="N116" s="39">
        <v>362.22862603733375</v>
      </c>
      <c r="O116" s="41">
        <v>0.82</v>
      </c>
      <c r="P116" s="41">
        <v>2.143902807850246</v>
      </c>
      <c r="Q116" s="261">
        <f t="shared" si="151"/>
        <v>2.143902807850246</v>
      </c>
      <c r="R116" s="262">
        <f t="shared" si="132"/>
        <v>0</v>
      </c>
      <c r="S116" s="262">
        <f t="shared" si="152"/>
        <v>144.52764861692216</v>
      </c>
      <c r="T116" s="261">
        <f t="shared" si="153"/>
        <v>2.9993107171353546</v>
      </c>
      <c r="U116" s="267">
        <f t="shared" si="140"/>
        <v>0.39899565696396988</v>
      </c>
      <c r="V116" s="42" t="s">
        <v>72</v>
      </c>
      <c r="W116" s="199">
        <f>0.027*W3</f>
        <v>3.4020000000000002E-2</v>
      </c>
      <c r="X116" s="199"/>
      <c r="Y116" s="333">
        <v>0</v>
      </c>
      <c r="Z116" s="334">
        <f t="shared" si="141"/>
        <v>20.397131154478142</v>
      </c>
      <c r="AA116" s="309">
        <f t="shared" si="142"/>
        <v>1.0198565577239072</v>
      </c>
      <c r="AB116" s="309">
        <f t="shared" si="143"/>
        <v>0.59151680347986613</v>
      </c>
      <c r="AC116" s="309">
        <f t="shared" si="144"/>
        <v>8.1588524617912564E-2</v>
      </c>
      <c r="AD116" s="309">
        <f t="shared" si="145"/>
        <v>0</v>
      </c>
      <c r="AE116" s="309">
        <f t="shared" si="146"/>
        <v>1.4889905742769043</v>
      </c>
      <c r="AF116" s="309">
        <f t="shared" si="147"/>
        <v>15.03268566085039</v>
      </c>
      <c r="AG116" s="309" t="s">
        <v>38</v>
      </c>
      <c r="AH116" s="309">
        <f t="shared" si="139"/>
        <v>0</v>
      </c>
      <c r="AI116" s="309">
        <f t="shared" si="148"/>
        <v>1.6929618858216859</v>
      </c>
      <c r="AJ116" s="309">
        <f t="shared" si="149"/>
        <v>0.46913401655299725</v>
      </c>
      <c r="AK116" s="309">
        <f t="shared" si="154"/>
        <v>20.37673402332366</v>
      </c>
      <c r="AL116" s="246" t="s">
        <v>456</v>
      </c>
      <c r="AM116" s="234" t="s">
        <v>331</v>
      </c>
      <c r="AN116" s="102" t="s">
        <v>72</v>
      </c>
      <c r="AO116" s="246"/>
      <c r="AP116" s="43" t="s">
        <v>84</v>
      </c>
      <c r="AQ116" s="44">
        <v>9.1430529135707701</v>
      </c>
      <c r="AR116" s="45">
        <v>106.43690522652197</v>
      </c>
      <c r="AS116" s="46">
        <v>9.1430529135707701</v>
      </c>
      <c r="AT116" s="45">
        <v>106.43690522652197</v>
      </c>
      <c r="AU116" s="393">
        <v>64304.331520973632</v>
      </c>
      <c r="AV116" s="295">
        <f t="shared" si="155"/>
        <v>25657.149000839796</v>
      </c>
      <c r="AW116" s="295">
        <f t="shared" si="133"/>
        <v>89961.480521813428</v>
      </c>
      <c r="AX116" s="39">
        <v>29994.051635882446</v>
      </c>
      <c r="AY116" s="41">
        <v>216.49287453308494</v>
      </c>
      <c r="AZ116" s="39">
        <v>34310.279885091186</v>
      </c>
      <c r="BA116" s="47">
        <v>2.1439028078502456</v>
      </c>
      <c r="BB116" s="41">
        <f t="shared" si="134"/>
        <v>2.9993107171353541</v>
      </c>
      <c r="BC116" s="39">
        <v>12813.350307236451</v>
      </c>
      <c r="BD116" s="47">
        <v>5.0185415975599454</v>
      </c>
      <c r="BE116" s="46">
        <v>9.1023097444844225</v>
      </c>
      <c r="BF116" s="45">
        <v>105.96260229207925</v>
      </c>
      <c r="BG116" s="46">
        <v>18.245362658055193</v>
      </c>
      <c r="BH116" s="45">
        <v>212.39950751860124</v>
      </c>
      <c r="BI116" s="393">
        <v>67839.698564626029</v>
      </c>
      <c r="BJ116" s="295">
        <f t="shared" si="156"/>
        <v>25542.81590336169</v>
      </c>
      <c r="BK116" s="295">
        <f t="shared" si="135"/>
        <v>93382.514467987727</v>
      </c>
      <c r="BL116" s="39">
        <v>29860.392481884606</v>
      </c>
      <c r="BM116" s="41">
        <v>215.52814143173777</v>
      </c>
      <c r="BN116" s="39">
        <v>37979.306082741423</v>
      </c>
      <c r="BO116" s="47">
        <v>2.2718957430242188</v>
      </c>
      <c r="BP116" s="41">
        <f t="shared" si="136"/>
        <v>3.1273036523093278</v>
      </c>
      <c r="BQ116" s="39">
        <v>12756.251600375042</v>
      </c>
      <c r="BR116" s="47">
        <v>5.3181530664252108</v>
      </c>
      <c r="BS116" s="44">
        <v>10.374696607281503</v>
      </c>
      <c r="BT116" s="45">
        <v>120.77482324357251</v>
      </c>
      <c r="BU116" s="46">
        <v>28.6200592653367</v>
      </c>
      <c r="BV116" s="45">
        <v>333.17433076217378</v>
      </c>
      <c r="BW116" s="393">
        <v>82381.007369316998</v>
      </c>
      <c r="BX116" s="295">
        <f t="shared" si="157"/>
        <v>29113.375937750261</v>
      </c>
      <c r="BY116" s="295">
        <f t="shared" si="137"/>
        <v>111494.38330706726</v>
      </c>
      <c r="BZ116" s="39">
        <v>34034.494679948926</v>
      </c>
      <c r="CA116" s="41">
        <v>245.65622797449555</v>
      </c>
      <c r="CB116" s="39">
        <v>48346.512689368072</v>
      </c>
      <c r="CC116" s="47">
        <v>2.4205150728402303</v>
      </c>
      <c r="CD116" s="41">
        <f t="shared" si="138"/>
        <v>3.2759229821253384</v>
      </c>
      <c r="CE116" s="39">
        <v>14539.412952875336</v>
      </c>
      <c r="CF116" s="47">
        <v>5.6660477033238958</v>
      </c>
    </row>
    <row r="117" spans="1:84" s="22" customFormat="1" ht="15" customHeight="1">
      <c r="A117" s="324" t="str">
        <f t="shared" si="150"/>
        <v>BNI - Efficient Product Rebates; Lighting Controls - Occupancy Sensors; COM-Lighting; School</v>
      </c>
      <c r="B117" s="36" t="s">
        <v>84</v>
      </c>
      <c r="C117" s="15" t="s">
        <v>71</v>
      </c>
      <c r="D117" s="15" t="s">
        <v>57</v>
      </c>
      <c r="E117" s="37">
        <v>10</v>
      </c>
      <c r="F117" s="38">
        <v>348.62165390937156</v>
      </c>
      <c r="G117" s="38">
        <v>1.8311682009709283</v>
      </c>
      <c r="H117" s="39">
        <v>145.56</v>
      </c>
      <c r="I117" s="40">
        <v>0.27480076944215442</v>
      </c>
      <c r="J117" s="39">
        <v>11.15589292509989</v>
      </c>
      <c r="K117" s="39">
        <v>51.155892925099891</v>
      </c>
      <c r="L117" s="39">
        <v>105.56</v>
      </c>
      <c r="M117" s="39">
        <v>156.71589292509989</v>
      </c>
      <c r="N117" s="39">
        <v>179.19670932187114</v>
      </c>
      <c r="O117" s="41">
        <v>0.82</v>
      </c>
      <c r="P117" s="41">
        <v>1.1258567752640007</v>
      </c>
      <c r="Q117" s="261">
        <f t="shared" si="151"/>
        <v>1.1258567752640007</v>
      </c>
      <c r="R117" s="262">
        <f t="shared" si="132"/>
        <v>0</v>
      </c>
      <c r="S117" s="262">
        <f t="shared" si="152"/>
        <v>84.0369954409678</v>
      </c>
      <c r="T117" s="261">
        <f t="shared" si="153"/>
        <v>1.6538442648115881</v>
      </c>
      <c r="U117" s="267">
        <f t="shared" si="140"/>
        <v>0.46896505945330408</v>
      </c>
      <c r="V117" s="42" t="s">
        <v>72</v>
      </c>
      <c r="W117" s="199">
        <f>0.027*W3</f>
        <v>3.4020000000000002E-2</v>
      </c>
      <c r="X117" s="199"/>
      <c r="Y117" s="333">
        <v>0</v>
      </c>
      <c r="Z117" s="334">
        <f t="shared" si="141"/>
        <v>11.860108665996821</v>
      </c>
      <c r="AA117" s="309">
        <f t="shared" si="142"/>
        <v>0.59300543329984101</v>
      </c>
      <c r="AB117" s="309">
        <f t="shared" si="143"/>
        <v>0.34394315131390779</v>
      </c>
      <c r="AC117" s="309">
        <f t="shared" si="144"/>
        <v>4.7440434663987285E-2</v>
      </c>
      <c r="AD117" s="309">
        <f t="shared" si="145"/>
        <v>0</v>
      </c>
      <c r="AE117" s="309">
        <f t="shared" si="146"/>
        <v>0.86578793261776787</v>
      </c>
      <c r="AF117" s="309">
        <f t="shared" si="147"/>
        <v>8.7409000868396571</v>
      </c>
      <c r="AG117" s="309" t="s">
        <v>38</v>
      </c>
      <c r="AH117" s="309">
        <f t="shared" si="139"/>
        <v>0</v>
      </c>
      <c r="AI117" s="309">
        <f t="shared" si="148"/>
        <v>0.98438901927773614</v>
      </c>
      <c r="AJ117" s="309">
        <f t="shared" si="149"/>
        <v>0.27278249931792686</v>
      </c>
      <c r="AK117" s="309">
        <f t="shared" si="154"/>
        <v>11.848248557330825</v>
      </c>
      <c r="AL117" s="246" t="s">
        <v>456</v>
      </c>
      <c r="AM117" s="234" t="s">
        <v>331</v>
      </c>
      <c r="AN117" s="102" t="s">
        <v>72</v>
      </c>
      <c r="AO117" s="246"/>
      <c r="AP117" s="43" t="s">
        <v>84</v>
      </c>
      <c r="AQ117" s="44">
        <v>0.33022357640765854</v>
      </c>
      <c r="AR117" s="45">
        <v>62.868659092083782</v>
      </c>
      <c r="AS117" s="46">
        <v>0.33022357640765854</v>
      </c>
      <c r="AT117" s="45">
        <v>62.868659092083782</v>
      </c>
      <c r="AU117" s="393">
        <v>32315.424766209864</v>
      </c>
      <c r="AV117" s="295">
        <f t="shared" si="155"/>
        <v>15154.805096744392</v>
      </c>
      <c r="AW117" s="295">
        <f t="shared" si="133"/>
        <v>47470.229862954257</v>
      </c>
      <c r="AX117" s="39">
        <v>28702.962469300121</v>
      </c>
      <c r="AY117" s="41">
        <v>219.92063772863571</v>
      </c>
      <c r="AZ117" s="39">
        <v>3612.4622969097436</v>
      </c>
      <c r="BA117" s="47">
        <v>1.1258567752640005</v>
      </c>
      <c r="BB117" s="41">
        <f t="shared" si="134"/>
        <v>1.6538442648115879</v>
      </c>
      <c r="BC117" s="39">
        <v>11250.23659566577</v>
      </c>
      <c r="BD117" s="47">
        <v>2.8724217923256474</v>
      </c>
      <c r="BE117" s="46">
        <v>0.3367021517960469</v>
      </c>
      <c r="BF117" s="45">
        <v>64.102063902018202</v>
      </c>
      <c r="BG117" s="46">
        <v>0.66692572820370544</v>
      </c>
      <c r="BH117" s="45">
        <v>126.97072299410198</v>
      </c>
      <c r="BI117" s="393">
        <v>34290.377829380152</v>
      </c>
      <c r="BJ117" s="295">
        <f t="shared" si="156"/>
        <v>15452.123502606442</v>
      </c>
      <c r="BK117" s="295">
        <f t="shared" si="135"/>
        <v>49742.501331986598</v>
      </c>
      <c r="BL117" s="39">
        <v>29266.078853206887</v>
      </c>
      <c r="BM117" s="41">
        <v>224.23520680479558</v>
      </c>
      <c r="BN117" s="39">
        <v>5024.2989761732642</v>
      </c>
      <c r="BO117" s="47">
        <v>1.1716765338251904</v>
      </c>
      <c r="BP117" s="41">
        <f t="shared" si="136"/>
        <v>1.699664023372778</v>
      </c>
      <c r="BQ117" s="39">
        <v>11470.952229343755</v>
      </c>
      <c r="BR117" s="47">
        <v>2.9893226947334153</v>
      </c>
      <c r="BS117" s="44">
        <v>0.39430547144528166</v>
      </c>
      <c r="BT117" s="45">
        <v>75.068705063730491</v>
      </c>
      <c r="BU117" s="46">
        <v>1.0612311996489872</v>
      </c>
      <c r="BV117" s="45">
        <v>202.03942805783248</v>
      </c>
      <c r="BW117" s="393">
        <v>42098.722814822861</v>
      </c>
      <c r="BX117" s="295">
        <f t="shared" si="157"/>
        <v>18095.687271451185</v>
      </c>
      <c r="BY117" s="295">
        <f t="shared" si="137"/>
        <v>60194.410086274045</v>
      </c>
      <c r="BZ117" s="39">
        <v>34272.947048341426</v>
      </c>
      <c r="CA117" s="41">
        <v>262.59757611336192</v>
      </c>
      <c r="CB117" s="39">
        <v>7825.7757664814344</v>
      </c>
      <c r="CC117" s="47">
        <v>1.2283368207421237</v>
      </c>
      <c r="CD117" s="41">
        <f t="shared" si="138"/>
        <v>1.756324310289711</v>
      </c>
      <c r="CE117" s="39">
        <v>13433.413486045911</v>
      </c>
      <c r="CF117" s="47">
        <v>3.1338812624619439</v>
      </c>
    </row>
    <row r="118" spans="1:84" s="22" customFormat="1" ht="15" customHeight="1">
      <c r="A118" s="324" t="str">
        <f t="shared" si="150"/>
        <v>BNI - Efficient Product Rebates; Daylighting Controls; COM-Lighting; Office</v>
      </c>
      <c r="B118" s="36" t="s">
        <v>85</v>
      </c>
      <c r="C118" s="15" t="s">
        <v>71</v>
      </c>
      <c r="D118" s="15" t="s">
        <v>64</v>
      </c>
      <c r="E118" s="37">
        <v>10</v>
      </c>
      <c r="F118" s="38">
        <v>288.44026845626246</v>
      </c>
      <c r="G118" s="38">
        <v>21.331502763853152</v>
      </c>
      <c r="H118" s="39">
        <v>200</v>
      </c>
      <c r="I118" s="40">
        <v>0.15</v>
      </c>
      <c r="J118" s="39">
        <v>9.2300885906003991</v>
      </c>
      <c r="K118" s="39">
        <v>39.230088590600403</v>
      </c>
      <c r="L118" s="39">
        <v>170</v>
      </c>
      <c r="M118" s="39">
        <v>209.23008859060042</v>
      </c>
      <c r="N118" s="39">
        <v>170.41110558538503</v>
      </c>
      <c r="O118" s="41">
        <v>0.82</v>
      </c>
      <c r="P118" s="41">
        <v>0.80665609373588898</v>
      </c>
      <c r="Q118" s="261">
        <f t="shared" si="151"/>
        <v>0.80665609373588898</v>
      </c>
      <c r="R118" s="262">
        <f t="shared" si="132"/>
        <v>0</v>
      </c>
      <c r="S118" s="262">
        <f t="shared" si="152"/>
        <v>69.529971111753852</v>
      </c>
      <c r="T118" s="261">
        <f t="shared" si="153"/>
        <v>1.1357823833747653</v>
      </c>
      <c r="U118" s="267">
        <f t="shared" si="140"/>
        <v>0.40801314487638041</v>
      </c>
      <c r="V118" s="42" t="s">
        <v>72</v>
      </c>
      <c r="W118" s="199">
        <f>0.027*W3</f>
        <v>3.4020000000000002E-2</v>
      </c>
      <c r="X118" s="199"/>
      <c r="Y118" s="333">
        <v>0</v>
      </c>
      <c r="Z118" s="334">
        <f t="shared" si="141"/>
        <v>9.8127379328820492</v>
      </c>
      <c r="AA118" s="309">
        <f t="shared" si="142"/>
        <v>0.49063689664410248</v>
      </c>
      <c r="AB118" s="309">
        <f t="shared" si="143"/>
        <v>0.28456940005357945</v>
      </c>
      <c r="AC118" s="309">
        <f t="shared" si="144"/>
        <v>3.9250951731528198E-2</v>
      </c>
      <c r="AD118" s="309">
        <f t="shared" si="145"/>
        <v>0</v>
      </c>
      <c r="AE118" s="309">
        <f t="shared" si="146"/>
        <v>0.71632986910038954</v>
      </c>
      <c r="AF118" s="309">
        <f t="shared" si="147"/>
        <v>7.2319878565340705</v>
      </c>
      <c r="AG118" s="309" t="s">
        <v>38</v>
      </c>
      <c r="AH118" s="309">
        <f t="shared" si="139"/>
        <v>0</v>
      </c>
      <c r="AI118" s="309">
        <f t="shared" si="148"/>
        <v>0.81445724842921008</v>
      </c>
      <c r="AJ118" s="309">
        <f t="shared" si="149"/>
        <v>0.22569297245628714</v>
      </c>
      <c r="AK118" s="309">
        <f t="shared" si="154"/>
        <v>9.802925194949168</v>
      </c>
      <c r="AL118" s="246" t="s">
        <v>456</v>
      </c>
      <c r="AM118" s="234" t="s">
        <v>331</v>
      </c>
      <c r="AN118" s="102" t="s">
        <v>72</v>
      </c>
      <c r="AO118" s="246"/>
      <c r="AP118" s="43" t="s">
        <v>85</v>
      </c>
      <c r="AQ118" s="44">
        <v>3.1936135821717682</v>
      </c>
      <c r="AR118" s="45">
        <v>43.183397306078902</v>
      </c>
      <c r="AS118" s="46">
        <v>3.1936135821717682</v>
      </c>
      <c r="AT118" s="45">
        <v>43.183397306078902</v>
      </c>
      <c r="AU118" s="393">
        <v>25512.840205173055</v>
      </c>
      <c r="AV118" s="295">
        <f t="shared" si="155"/>
        <v>10409.574166841216</v>
      </c>
      <c r="AW118" s="295">
        <f t="shared" si="133"/>
        <v>35922.414372014275</v>
      </c>
      <c r="AX118" s="39">
        <v>31627.902402639422</v>
      </c>
      <c r="AY118" s="41">
        <v>182.57741862261898</v>
      </c>
      <c r="AZ118" s="39">
        <v>-6115.0621974663663</v>
      </c>
      <c r="BA118" s="47">
        <v>0.80665609373588909</v>
      </c>
      <c r="BB118" s="41">
        <f t="shared" si="134"/>
        <v>1.1357823833747656</v>
      </c>
      <c r="BC118" s="39">
        <v>7162.5283072084776</v>
      </c>
      <c r="BD118" s="47">
        <v>3.5619880454080084</v>
      </c>
      <c r="BE118" s="46">
        <v>3.2568646289189043</v>
      </c>
      <c r="BF118" s="45">
        <v>44.038665174726148</v>
      </c>
      <c r="BG118" s="46">
        <v>6.4504782110906724</v>
      </c>
      <c r="BH118" s="45">
        <v>87.22206248080505</v>
      </c>
      <c r="BI118" s="393">
        <v>27507.719609067106</v>
      </c>
      <c r="BJ118" s="295">
        <f t="shared" si="156"/>
        <v>10615.740769438427</v>
      </c>
      <c r="BK118" s="295">
        <f t="shared" si="135"/>
        <v>38123.460378505537</v>
      </c>
      <c r="BL118" s="39">
        <v>32254.308159601045</v>
      </c>
      <c r="BM118" s="41">
        <v>186.19345185367058</v>
      </c>
      <c r="BN118" s="39">
        <v>-4746.5885505339393</v>
      </c>
      <c r="BO118" s="47">
        <v>0.85283861842434106</v>
      </c>
      <c r="BP118" s="41">
        <f t="shared" si="136"/>
        <v>1.1819649080632175</v>
      </c>
      <c r="BQ118" s="39">
        <v>7304.3856112091871</v>
      </c>
      <c r="BR118" s="47">
        <v>3.765918322665526</v>
      </c>
      <c r="BS118" s="44">
        <v>3.9390719503589482</v>
      </c>
      <c r="BT118" s="45">
        <v>53.263334674918923</v>
      </c>
      <c r="BU118" s="46">
        <v>10.38955016144962</v>
      </c>
      <c r="BV118" s="45">
        <v>140.48539715572397</v>
      </c>
      <c r="BW118" s="393">
        <v>35374.082705707711</v>
      </c>
      <c r="BX118" s="295">
        <f t="shared" si="157"/>
        <v>12839.393546135025</v>
      </c>
      <c r="BY118" s="295">
        <f t="shared" si="137"/>
        <v>48213.476251842738</v>
      </c>
      <c r="BZ118" s="39">
        <v>39010.537748967581</v>
      </c>
      <c r="CA118" s="41">
        <v>225.194930432451</v>
      </c>
      <c r="CB118" s="39">
        <v>-3636.4550432598699</v>
      </c>
      <c r="CC118" s="47">
        <v>0.90678275017226317</v>
      </c>
      <c r="CD118" s="41">
        <f t="shared" si="138"/>
        <v>1.2359090398111396</v>
      </c>
      <c r="CE118" s="39">
        <v>8834.4170710191465</v>
      </c>
      <c r="CF118" s="47">
        <v>4.0041218816519972</v>
      </c>
    </row>
    <row r="119" spans="1:84" s="22" customFormat="1" ht="15" customHeight="1">
      <c r="A119" s="324" t="str">
        <f t="shared" si="150"/>
        <v>BNI - Efficient Product Rebates; Daylighting Controls; COM-Lighting; Other Commercial</v>
      </c>
      <c r="B119" s="36" t="s">
        <v>85</v>
      </c>
      <c r="C119" s="15" t="s">
        <v>71</v>
      </c>
      <c r="D119" s="15" t="s">
        <v>54</v>
      </c>
      <c r="E119" s="37">
        <v>10</v>
      </c>
      <c r="F119" s="38">
        <v>269.12446998351072</v>
      </c>
      <c r="G119" s="38">
        <v>21.082058251367375</v>
      </c>
      <c r="H119" s="39">
        <v>200</v>
      </c>
      <c r="I119" s="40">
        <v>0.15</v>
      </c>
      <c r="J119" s="39">
        <v>8.611983039472344</v>
      </c>
      <c r="K119" s="39">
        <v>38.611983039472342</v>
      </c>
      <c r="L119" s="39">
        <v>170</v>
      </c>
      <c r="M119" s="39">
        <v>208.61198303947234</v>
      </c>
      <c r="N119" s="39">
        <v>160.31709610845178</v>
      </c>
      <c r="O119" s="41">
        <v>0.82</v>
      </c>
      <c r="P119" s="41">
        <v>0.76159265709188106</v>
      </c>
      <c r="Q119" s="261">
        <f t="shared" si="151"/>
        <v>0.76159265709188106</v>
      </c>
      <c r="R119" s="262">
        <f t="shared" si="132"/>
        <v>0</v>
      </c>
      <c r="S119" s="262">
        <f t="shared" si="152"/>
        <v>64.873801163643662</v>
      </c>
      <c r="T119" s="261">
        <f t="shared" si="153"/>
        <v>1.0697781956475849</v>
      </c>
      <c r="U119" s="267">
        <f t="shared" si="140"/>
        <v>0.40465928299847476</v>
      </c>
      <c r="V119" s="42" t="s">
        <v>72</v>
      </c>
      <c r="W119" s="199">
        <f>0.027*W3</f>
        <v>3.4020000000000002E-2</v>
      </c>
      <c r="X119" s="199"/>
      <c r="Y119" s="333">
        <v>0</v>
      </c>
      <c r="Z119" s="334">
        <f t="shared" si="141"/>
        <v>9.1556144688390351</v>
      </c>
      <c r="AA119" s="309">
        <f t="shared" si="142"/>
        <v>0.45778072344195175</v>
      </c>
      <c r="AB119" s="309">
        <f t="shared" si="143"/>
        <v>0.26551281959633205</v>
      </c>
      <c r="AC119" s="309">
        <f t="shared" si="144"/>
        <v>3.6622457875356139E-2</v>
      </c>
      <c r="AD119" s="309">
        <f t="shared" si="145"/>
        <v>0</v>
      </c>
      <c r="AE119" s="309">
        <f t="shared" si="146"/>
        <v>0.66835985622524952</v>
      </c>
      <c r="AF119" s="309">
        <f t="shared" si="147"/>
        <v>6.7476878635343684</v>
      </c>
      <c r="AG119" s="309" t="s">
        <v>38</v>
      </c>
      <c r="AH119" s="309">
        <f t="shared" si="139"/>
        <v>0</v>
      </c>
      <c r="AI119" s="309">
        <f t="shared" si="148"/>
        <v>0.75991600091363998</v>
      </c>
      <c r="AJ119" s="309">
        <f t="shared" si="149"/>
        <v>0.21057913278329779</v>
      </c>
      <c r="AK119" s="309">
        <f t="shared" si="154"/>
        <v>9.146458854370195</v>
      </c>
      <c r="AL119" s="246" t="s">
        <v>456</v>
      </c>
      <c r="AM119" s="234" t="s">
        <v>331</v>
      </c>
      <c r="AN119" s="102" t="s">
        <v>72</v>
      </c>
      <c r="AO119" s="246"/>
      <c r="AP119" s="43" t="s">
        <v>85</v>
      </c>
      <c r="AQ119" s="44">
        <v>2.3592440330702322</v>
      </c>
      <c r="AR119" s="45">
        <v>30.117092571860486</v>
      </c>
      <c r="AS119" s="46">
        <v>2.3592440330702322</v>
      </c>
      <c r="AT119" s="45">
        <v>30.117092571860486</v>
      </c>
      <c r="AU119" s="393">
        <v>17940.712803432281</v>
      </c>
      <c r="AV119" s="295">
        <f t="shared" si="155"/>
        <v>7259.8759795184606</v>
      </c>
      <c r="AW119" s="295">
        <f t="shared" si="133"/>
        <v>25200.588782950741</v>
      </c>
      <c r="AX119" s="39">
        <v>23556.835319209033</v>
      </c>
      <c r="AY119" s="41">
        <v>136.472769180933</v>
      </c>
      <c r="AZ119" s="39">
        <v>-5616.1225157767512</v>
      </c>
      <c r="BA119" s="47">
        <v>0.76159265709188129</v>
      </c>
      <c r="BB119" s="41">
        <f t="shared" si="134"/>
        <v>1.0697781956475849</v>
      </c>
      <c r="BC119" s="39">
        <v>5269.4842489640087</v>
      </c>
      <c r="BD119" s="47">
        <v>3.4046430268691785</v>
      </c>
      <c r="BE119" s="46">
        <v>2.2404168313160278</v>
      </c>
      <c r="BF119" s="45">
        <v>28.600195724767779</v>
      </c>
      <c r="BG119" s="46">
        <v>4.5996608643862595</v>
      </c>
      <c r="BH119" s="45">
        <v>58.717288296628269</v>
      </c>
      <c r="BI119" s="393">
        <v>18028.023035718928</v>
      </c>
      <c r="BJ119" s="295">
        <f t="shared" si="156"/>
        <v>6894.2203984779135</v>
      </c>
      <c r="BK119" s="295">
        <f t="shared" si="135"/>
        <v>24922.24343419684</v>
      </c>
      <c r="BL119" s="39">
        <v>22370.356606566726</v>
      </c>
      <c r="BM119" s="41">
        <v>129.59909394848412</v>
      </c>
      <c r="BN119" s="39">
        <v>-4342.3335708477971</v>
      </c>
      <c r="BO119" s="47">
        <v>0.80588894279972623</v>
      </c>
      <c r="BP119" s="41">
        <f t="shared" si="136"/>
        <v>1.11407448135543</v>
      </c>
      <c r="BQ119" s="39">
        <v>5004.0780174698521</v>
      </c>
      <c r="BR119" s="47">
        <v>3.6026662599545576</v>
      </c>
      <c r="BS119" s="44">
        <v>2.5621430007490749</v>
      </c>
      <c r="BT119" s="45">
        <v>32.707213350661974</v>
      </c>
      <c r="BU119" s="46">
        <v>7.1618038651353348</v>
      </c>
      <c r="BV119" s="45">
        <v>91.424501647290242</v>
      </c>
      <c r="BW119" s="393">
        <v>21937.550612641382</v>
      </c>
      <c r="BX119" s="295">
        <f t="shared" si="157"/>
        <v>7884.2375635991848</v>
      </c>
      <c r="BY119" s="295">
        <f t="shared" si="137"/>
        <v>29821.788176240567</v>
      </c>
      <c r="BZ119" s="39">
        <v>25582.76290493146</v>
      </c>
      <c r="CA119" s="41">
        <v>148.20965760576007</v>
      </c>
      <c r="CB119" s="39">
        <v>-3645.212292290078</v>
      </c>
      <c r="CC119" s="47">
        <v>0.85751295488153045</v>
      </c>
      <c r="CD119" s="41">
        <f t="shared" si="138"/>
        <v>1.1656984934372343</v>
      </c>
      <c r="CE119" s="39">
        <v>5722.6687857596107</v>
      </c>
      <c r="CF119" s="47">
        <v>3.8334475458777497</v>
      </c>
    </row>
    <row r="120" spans="1:84" s="22" customFormat="1" ht="15" customHeight="1">
      <c r="A120" s="324" t="str">
        <f t="shared" si="150"/>
        <v>BNI - Efficient Product Rebates; Daylighting Controls; COM-Lighting; Retail</v>
      </c>
      <c r="B120" s="36" t="s">
        <v>85</v>
      </c>
      <c r="C120" s="15" t="s">
        <v>71</v>
      </c>
      <c r="D120" s="15" t="s">
        <v>28</v>
      </c>
      <c r="E120" s="37">
        <v>10</v>
      </c>
      <c r="F120" s="38">
        <v>272.18090078075244</v>
      </c>
      <c r="G120" s="38">
        <v>23.380653285677024</v>
      </c>
      <c r="H120" s="39">
        <v>200</v>
      </c>
      <c r="I120" s="40">
        <v>0.15</v>
      </c>
      <c r="J120" s="39">
        <v>8.7097888249840789</v>
      </c>
      <c r="K120" s="39">
        <v>38.709788824984081</v>
      </c>
      <c r="L120" s="39">
        <v>170</v>
      </c>
      <c r="M120" s="39">
        <v>208.70978882498409</v>
      </c>
      <c r="N120" s="39">
        <v>164.43930646267498</v>
      </c>
      <c r="O120" s="41">
        <v>0.82</v>
      </c>
      <c r="P120" s="41">
        <v>0.78073299849862121</v>
      </c>
      <c r="Q120" s="261">
        <f t="shared" si="151"/>
        <v>0.78073299849862121</v>
      </c>
      <c r="R120" s="262">
        <f t="shared" si="132"/>
        <v>0</v>
      </c>
      <c r="S120" s="262">
        <f t="shared" si="152"/>
        <v>65.610569112774584</v>
      </c>
      <c r="T120" s="261">
        <f t="shared" si="153"/>
        <v>1.0922420741480285</v>
      </c>
      <c r="U120" s="267">
        <f t="shared" si="140"/>
        <v>0.39899565696396971</v>
      </c>
      <c r="V120" s="42" t="s">
        <v>72</v>
      </c>
      <c r="W120" s="199">
        <f>0.027*W3</f>
        <v>3.4020000000000002E-2</v>
      </c>
      <c r="X120" s="199"/>
      <c r="Y120" s="333">
        <v>0</v>
      </c>
      <c r="Z120" s="334">
        <f t="shared" si="141"/>
        <v>9.2595942445611978</v>
      </c>
      <c r="AA120" s="309">
        <f t="shared" si="142"/>
        <v>0.46297971222805989</v>
      </c>
      <c r="AB120" s="309">
        <f t="shared" si="143"/>
        <v>0.26852823309227475</v>
      </c>
      <c r="AC120" s="309">
        <f t="shared" si="144"/>
        <v>3.7038376978244796E-2</v>
      </c>
      <c r="AD120" s="309">
        <f t="shared" si="145"/>
        <v>0</v>
      </c>
      <c r="AE120" s="309">
        <f t="shared" si="146"/>
        <v>0.67595037985296735</v>
      </c>
      <c r="AF120" s="309">
        <f t="shared" si="147"/>
        <v>6.8243209582416027</v>
      </c>
      <c r="AG120" s="309" t="s">
        <v>38</v>
      </c>
      <c r="AH120" s="309">
        <f t="shared" si="139"/>
        <v>0</v>
      </c>
      <c r="AI120" s="309">
        <f t="shared" si="148"/>
        <v>0.76854632229857944</v>
      </c>
      <c r="AJ120" s="309">
        <f t="shared" si="149"/>
        <v>0.21297066762490754</v>
      </c>
      <c r="AK120" s="309">
        <f t="shared" si="154"/>
        <v>9.2503346503166366</v>
      </c>
      <c r="AL120" s="246" t="s">
        <v>456</v>
      </c>
      <c r="AM120" s="234" t="s">
        <v>331</v>
      </c>
      <c r="AN120" s="102" t="s">
        <v>72</v>
      </c>
      <c r="AO120" s="246"/>
      <c r="AP120" s="43" t="s">
        <v>85</v>
      </c>
      <c r="AQ120" s="44">
        <v>3.795719015070361</v>
      </c>
      <c r="AR120" s="45">
        <v>44.187055340552497</v>
      </c>
      <c r="AS120" s="46">
        <v>3.795719015070361</v>
      </c>
      <c r="AT120" s="45">
        <v>44.187055340552497</v>
      </c>
      <c r="AU120" s="393">
        <v>26695.806774044304</v>
      </c>
      <c r="AV120" s="295">
        <f t="shared" si="155"/>
        <v>10651.510961993004</v>
      </c>
      <c r="AW120" s="295">
        <f t="shared" si="133"/>
        <v>37347.317736037308</v>
      </c>
      <c r="AX120" s="39">
        <v>34193.260468535773</v>
      </c>
      <c r="AY120" s="41">
        <v>197.98102181217769</v>
      </c>
      <c r="AZ120" s="39">
        <v>-7497.4536944914689</v>
      </c>
      <c r="BA120" s="47">
        <v>0.78073299849862121</v>
      </c>
      <c r="BB120" s="41">
        <f t="shared" si="134"/>
        <v>1.0922420741480288</v>
      </c>
      <c r="BC120" s="39">
        <v>7663.803545703965</v>
      </c>
      <c r="BD120" s="47">
        <v>3.4833626168573897</v>
      </c>
      <c r="BE120" s="46">
        <v>3.6460955079855899</v>
      </c>
      <c r="BF120" s="45">
        <v>42.445245116573162</v>
      </c>
      <c r="BG120" s="46">
        <v>7.4418145230559514</v>
      </c>
      <c r="BH120" s="45">
        <v>86.632300457125666</v>
      </c>
      <c r="BI120" s="393">
        <v>27174.423541174485</v>
      </c>
      <c r="BJ120" s="295">
        <f t="shared" si="156"/>
        <v>10231.63888517234</v>
      </c>
      <c r="BK120" s="295">
        <f t="shared" si="135"/>
        <v>37406.062426346827</v>
      </c>
      <c r="BL120" s="39">
        <v>32845.395800563099</v>
      </c>
      <c r="BM120" s="41">
        <v>190.17680482399911</v>
      </c>
      <c r="BN120" s="39">
        <v>-5670.9722593886145</v>
      </c>
      <c r="BO120" s="47">
        <v>0.82734346409394188</v>
      </c>
      <c r="BP120" s="41">
        <f t="shared" si="136"/>
        <v>1.1388525397433493</v>
      </c>
      <c r="BQ120" s="39">
        <v>7361.7039541472186</v>
      </c>
      <c r="BR120" s="47">
        <v>3.6913225131616119</v>
      </c>
      <c r="BS120" s="44">
        <v>4.2068135255904373</v>
      </c>
      <c r="BT120" s="45">
        <v>48.972724620714224</v>
      </c>
      <c r="BU120" s="46">
        <v>11.648628048646389</v>
      </c>
      <c r="BV120" s="45">
        <v>135.60502507783988</v>
      </c>
      <c r="BW120" s="393">
        <v>33404.498384056191</v>
      </c>
      <c r="BX120" s="295">
        <f t="shared" si="157"/>
        <v>11805.120506807683</v>
      </c>
      <c r="BY120" s="295">
        <f t="shared" si="137"/>
        <v>45209.618890863872</v>
      </c>
      <c r="BZ120" s="39">
        <v>37896.553999903146</v>
      </c>
      <c r="CA120" s="41">
        <v>219.42331270120258</v>
      </c>
      <c r="CB120" s="39">
        <v>-4492.0556158469553</v>
      </c>
      <c r="CC120" s="47">
        <v>0.88146532753720996</v>
      </c>
      <c r="CD120" s="41">
        <f t="shared" si="138"/>
        <v>1.1929744031866174</v>
      </c>
      <c r="CE120" s="39">
        <v>8493.8300979419982</v>
      </c>
      <c r="CF120" s="47">
        <v>3.9327956880312325</v>
      </c>
    </row>
    <row r="121" spans="1:84" s="22" customFormat="1" ht="15" customHeight="1">
      <c r="A121" s="324" t="str">
        <f t="shared" si="150"/>
        <v>BNI - Efficient Product Rebates; Daylighting Controls; COM-Lighting; School</v>
      </c>
      <c r="B121" s="36" t="s">
        <v>85</v>
      </c>
      <c r="C121" s="15" t="s">
        <v>71</v>
      </c>
      <c r="D121" s="15" t="s">
        <v>57</v>
      </c>
      <c r="E121" s="37">
        <v>10</v>
      </c>
      <c r="F121" s="38">
        <v>291.07186363083144</v>
      </c>
      <c r="G121" s="38">
        <v>1.5288824859303927</v>
      </c>
      <c r="H121" s="39">
        <v>200</v>
      </c>
      <c r="I121" s="40">
        <v>0.15</v>
      </c>
      <c r="J121" s="39">
        <v>9.3142996361866057</v>
      </c>
      <c r="K121" s="39">
        <v>39.314299636186604</v>
      </c>
      <c r="L121" s="39">
        <v>170</v>
      </c>
      <c r="M121" s="39">
        <v>209.3142996361866</v>
      </c>
      <c r="N121" s="39">
        <v>149.61526214429819</v>
      </c>
      <c r="O121" s="41">
        <v>0.82</v>
      </c>
      <c r="P121" s="41">
        <v>0.70787300999316372</v>
      </c>
      <c r="Q121" s="261">
        <f t="shared" si="151"/>
        <v>0.70787300999316372</v>
      </c>
      <c r="R121" s="262">
        <f t="shared" si="132"/>
        <v>0</v>
      </c>
      <c r="S121" s="262">
        <f t="shared" si="152"/>
        <v>70.164330306622517</v>
      </c>
      <c r="T121" s="261">
        <f t="shared" si="153"/>
        <v>1.0398407182099974</v>
      </c>
      <c r="U121" s="267">
        <f t="shared" si="140"/>
        <v>0.46896505945330452</v>
      </c>
      <c r="V121" s="42" t="s">
        <v>72</v>
      </c>
      <c r="W121" s="199">
        <f>0.027*W3</f>
        <v>3.4020000000000002E-2</v>
      </c>
      <c r="X121" s="199"/>
      <c r="Y121" s="333">
        <v>0</v>
      </c>
      <c r="Z121" s="334">
        <f t="shared" si="141"/>
        <v>9.9022648007208858</v>
      </c>
      <c r="AA121" s="309">
        <f t="shared" si="142"/>
        <v>0.49511324003604429</v>
      </c>
      <c r="AB121" s="309">
        <f t="shared" si="143"/>
        <v>0.28716567922090569</v>
      </c>
      <c r="AC121" s="309">
        <f t="shared" si="144"/>
        <v>3.9609059202883545E-2</v>
      </c>
      <c r="AD121" s="309">
        <f t="shared" si="145"/>
        <v>0</v>
      </c>
      <c r="AE121" s="309">
        <f t="shared" si="146"/>
        <v>0.72286533045262458</v>
      </c>
      <c r="AF121" s="309">
        <f t="shared" si="147"/>
        <v>7.2979691581312931</v>
      </c>
      <c r="AG121" s="309" t="s">
        <v>38</v>
      </c>
      <c r="AH121" s="309">
        <f t="shared" si="139"/>
        <v>0</v>
      </c>
      <c r="AI121" s="309">
        <f t="shared" si="148"/>
        <v>0.82188797845983352</v>
      </c>
      <c r="AJ121" s="309">
        <f t="shared" si="149"/>
        <v>0.22775209041658037</v>
      </c>
      <c r="AK121" s="309">
        <f t="shared" si="154"/>
        <v>9.8923625359201655</v>
      </c>
      <c r="AL121" s="246" t="s">
        <v>456</v>
      </c>
      <c r="AM121" s="234" t="s">
        <v>331</v>
      </c>
      <c r="AN121" s="102" t="s">
        <v>72</v>
      </c>
      <c r="AO121" s="246"/>
      <c r="AP121" s="43" t="s">
        <v>85</v>
      </c>
      <c r="AQ121" s="44">
        <v>0.26866429611700343</v>
      </c>
      <c r="AR121" s="45">
        <v>51.148873822210867</v>
      </c>
      <c r="AS121" s="46">
        <v>0.26866429611700343</v>
      </c>
      <c r="AT121" s="45">
        <v>51.148873822210867</v>
      </c>
      <c r="AU121" s="393">
        <v>26291.281025367756</v>
      </c>
      <c r="AV121" s="295">
        <f t="shared" si="155"/>
        <v>12329.692169165122</v>
      </c>
      <c r="AW121" s="295">
        <f t="shared" si="133"/>
        <v>38620.973194532882</v>
      </c>
      <c r="AX121" s="39">
        <v>37141.239536201079</v>
      </c>
      <c r="AY121" s="41">
        <v>214.29991416845729</v>
      </c>
      <c r="AZ121" s="39">
        <v>-10849.958510833323</v>
      </c>
      <c r="BA121" s="47">
        <v>0.70787300999316383</v>
      </c>
      <c r="BB121" s="41">
        <f t="shared" si="134"/>
        <v>1.0398407182099974</v>
      </c>
      <c r="BC121" s="39">
        <v>8425.0510376278016</v>
      </c>
      <c r="BD121" s="47">
        <v>3.1206079236726447</v>
      </c>
      <c r="BE121" s="46">
        <v>0.27659655232508773</v>
      </c>
      <c r="BF121" s="45">
        <v>52.659033444373904</v>
      </c>
      <c r="BG121" s="46">
        <v>0.54526084844209122</v>
      </c>
      <c r="BH121" s="45">
        <v>103.80790726658478</v>
      </c>
      <c r="BI121" s="393">
        <v>28169.110993018989</v>
      </c>
      <c r="BJ121" s="295">
        <f t="shared" si="156"/>
        <v>12693.723708398886</v>
      </c>
      <c r="BK121" s="295">
        <f t="shared" si="135"/>
        <v>40862.834701417873</v>
      </c>
      <c r="BL121" s="39">
        <v>38237.826734965558</v>
      </c>
      <c r="BM121" s="41">
        <v>220.62707356076589</v>
      </c>
      <c r="BN121" s="39">
        <v>-10068.715741946569</v>
      </c>
      <c r="BO121" s="47">
        <v>0.7366817991060276</v>
      </c>
      <c r="BP121" s="41">
        <f t="shared" si="136"/>
        <v>1.0686495073228612</v>
      </c>
      <c r="BQ121" s="39">
        <v>8673.7988778229337</v>
      </c>
      <c r="BR121" s="47">
        <v>3.2476094257893666</v>
      </c>
      <c r="BS121" s="44">
        <v>0.33707570915664048</v>
      </c>
      <c r="BT121" s="45">
        <v>64.173182538094935</v>
      </c>
      <c r="BU121" s="46">
        <v>0.88233655759873153</v>
      </c>
      <c r="BV121" s="45">
        <v>167.9810898046797</v>
      </c>
      <c r="BW121" s="393">
        <v>35988.485768107028</v>
      </c>
      <c r="BX121" s="295">
        <f t="shared" si="157"/>
        <v>15469.267005968124</v>
      </c>
      <c r="BY121" s="295">
        <f t="shared" si="137"/>
        <v>51457.752774075154</v>
      </c>
      <c r="BZ121" s="39">
        <v>46598.710124732854</v>
      </c>
      <c r="CA121" s="41">
        <v>268.8682366230064</v>
      </c>
      <c r="CB121" s="39">
        <v>-10610.224356625826</v>
      </c>
      <c r="CC121" s="47">
        <v>0.77230647955222442</v>
      </c>
      <c r="CD121" s="41">
        <f t="shared" si="138"/>
        <v>1.1042741877690581</v>
      </c>
      <c r="CE121" s="39">
        <v>10570.366417249996</v>
      </c>
      <c r="CF121" s="47">
        <v>3.4046583010950959</v>
      </c>
    </row>
    <row r="122" spans="1:84" s="22" customFormat="1" ht="15" customHeight="1">
      <c r="A122" s="324" t="str">
        <f t="shared" si="150"/>
        <v xml:space="preserve">BNI - Efficient Product Rebates; Cycling Refrigerated Air Dryers (≤ 300 CFM capacity); IND; Industrial </v>
      </c>
      <c r="B122" s="36" t="s">
        <v>86</v>
      </c>
      <c r="C122" s="15" t="s">
        <v>67</v>
      </c>
      <c r="D122" s="15" t="s">
        <v>68</v>
      </c>
      <c r="E122" s="37">
        <v>10</v>
      </c>
      <c r="F122" s="38">
        <v>2179.7872141499997</v>
      </c>
      <c r="G122" s="38">
        <v>248.83415686643946</v>
      </c>
      <c r="H122" s="39">
        <v>200</v>
      </c>
      <c r="I122" s="40">
        <v>0.41666666666666663</v>
      </c>
      <c r="J122" s="39">
        <v>69.753190852799989</v>
      </c>
      <c r="K122" s="39">
        <v>153.08652418613332</v>
      </c>
      <c r="L122" s="39">
        <v>116.66666666666667</v>
      </c>
      <c r="M122" s="39">
        <v>269.7531908528</v>
      </c>
      <c r="N122" s="39">
        <v>1385.7640157772648</v>
      </c>
      <c r="O122" s="41">
        <v>0.82</v>
      </c>
      <c r="P122" s="41">
        <v>4.8612234502198906</v>
      </c>
      <c r="Q122" s="261">
        <f t="shared" si="151"/>
        <v>4.8612234502198906</v>
      </c>
      <c r="R122" s="262">
        <f t="shared" si="132"/>
        <v>0</v>
      </c>
      <c r="S122" s="262">
        <f t="shared" si="152"/>
        <v>0</v>
      </c>
      <c r="T122" s="261">
        <f t="shared" si="153"/>
        <v>4.8612234502198906</v>
      </c>
      <c r="U122" s="267">
        <f t="shared" si="140"/>
        <v>0</v>
      </c>
      <c r="V122" s="42" t="s">
        <v>38</v>
      </c>
      <c r="W122" s="198" t="s">
        <v>38</v>
      </c>
      <c r="X122" s="198"/>
      <c r="Y122" s="333">
        <v>0</v>
      </c>
      <c r="Z122" s="335">
        <v>0</v>
      </c>
      <c r="AA122" s="288">
        <v>0</v>
      </c>
      <c r="AB122" s="288">
        <v>0</v>
      </c>
      <c r="AC122" s="288">
        <v>0</v>
      </c>
      <c r="AD122" s="288">
        <v>0</v>
      </c>
      <c r="AE122" s="288">
        <v>0</v>
      </c>
      <c r="AF122" s="288">
        <v>0</v>
      </c>
      <c r="AG122" s="288" t="s">
        <v>38</v>
      </c>
      <c r="AH122" s="288">
        <v>0</v>
      </c>
      <c r="AI122" s="288">
        <v>0</v>
      </c>
      <c r="AJ122" s="288">
        <v>0</v>
      </c>
      <c r="AK122" s="288">
        <f t="shared" si="154"/>
        <v>0</v>
      </c>
      <c r="AL122" s="246" t="s">
        <v>457</v>
      </c>
      <c r="AM122" s="234" t="s">
        <v>330</v>
      </c>
      <c r="AN122" s="102" t="s">
        <v>38</v>
      </c>
      <c r="AO122" s="241"/>
      <c r="AP122" s="43" t="s">
        <v>86</v>
      </c>
      <c r="AQ122" s="44">
        <v>2.8476005669150743</v>
      </c>
      <c r="AR122" s="45">
        <v>24.944980966175937</v>
      </c>
      <c r="AS122" s="46">
        <v>2.8476005669150743</v>
      </c>
      <c r="AT122" s="45">
        <v>24.944980966175937</v>
      </c>
      <c r="AU122" s="393">
        <v>15858.363042401375</v>
      </c>
      <c r="AV122" s="295">
        <f t="shared" si="155"/>
        <v>0</v>
      </c>
      <c r="AW122" s="295">
        <f t="shared" si="133"/>
        <v>15858.363042401375</v>
      </c>
      <c r="AX122" s="39">
        <v>3262.2164368280664</v>
      </c>
      <c r="AY122" s="41">
        <v>13.955815640105476</v>
      </c>
      <c r="AZ122" s="39">
        <v>12596.146605573309</v>
      </c>
      <c r="BA122" s="47">
        <v>4.8612234502198923</v>
      </c>
      <c r="BB122" s="41">
        <f t="shared" si="134"/>
        <v>4.8612234502198923</v>
      </c>
      <c r="BC122" s="39">
        <v>2136.4473085262243</v>
      </c>
      <c r="BD122" s="47">
        <v>7.4227728337193941</v>
      </c>
      <c r="BE122" s="46">
        <v>2.1511978576902191</v>
      </c>
      <c r="BF122" s="45">
        <v>18.844493233366233</v>
      </c>
      <c r="BG122" s="46">
        <v>4.998798424605293</v>
      </c>
      <c r="BH122" s="45">
        <v>43.78947419954217</v>
      </c>
      <c r="BI122" s="393">
        <v>12759.786383432249</v>
      </c>
      <c r="BJ122" s="295">
        <f t="shared" si="156"/>
        <v>0</v>
      </c>
      <c r="BK122" s="295">
        <f t="shared" si="135"/>
        <v>12759.786383432249</v>
      </c>
      <c r="BL122" s="39">
        <v>2464.4162147463321</v>
      </c>
      <c r="BM122" s="41">
        <v>10.542813151578471</v>
      </c>
      <c r="BN122" s="39">
        <v>10295.370168685917</v>
      </c>
      <c r="BO122" s="47">
        <v>5.1776101403170012</v>
      </c>
      <c r="BP122" s="41">
        <f t="shared" si="136"/>
        <v>5.1776101403170012</v>
      </c>
      <c r="BQ122" s="39">
        <v>1613.962620519002</v>
      </c>
      <c r="BR122" s="47">
        <v>7.9058747837227381</v>
      </c>
      <c r="BS122" s="44">
        <v>2.168138731444087</v>
      </c>
      <c r="BT122" s="45">
        <v>18.992895287450114</v>
      </c>
      <c r="BU122" s="46">
        <v>7.1669371560493795</v>
      </c>
      <c r="BV122" s="45">
        <v>62.78236948699228</v>
      </c>
      <c r="BW122" s="393">
        <v>13762.260619042256</v>
      </c>
      <c r="BX122" s="295">
        <f t="shared" si="157"/>
        <v>0</v>
      </c>
      <c r="BY122" s="295">
        <f t="shared" si="137"/>
        <v>13762.260619042256</v>
      </c>
      <c r="BZ122" s="39">
        <v>2483.8237108173021</v>
      </c>
      <c r="CA122" s="41">
        <v>10.625838739379715</v>
      </c>
      <c r="CB122" s="39">
        <v>11278.436908224954</v>
      </c>
      <c r="CC122" s="47">
        <v>5.5407557948280415</v>
      </c>
      <c r="CD122" s="41">
        <f t="shared" si="138"/>
        <v>5.5407557948280415</v>
      </c>
      <c r="CE122" s="39">
        <v>1626.6727191740051</v>
      </c>
      <c r="CF122" s="47">
        <v>8.4603746388704923</v>
      </c>
    </row>
    <row r="123" spans="1:84" s="22" customFormat="1" ht="15" customHeight="1">
      <c r="A123" s="324" t="str">
        <f t="shared" si="150"/>
        <v>BNI - Efficient Product Rebates; Cycling Refrigerated Air Dryers (≤ 300 CFM capacity); COM-Process; Other Commercial</v>
      </c>
      <c r="B123" s="36" t="s">
        <v>86</v>
      </c>
      <c r="C123" s="15" t="s">
        <v>87</v>
      </c>
      <c r="D123" s="15" t="s">
        <v>54</v>
      </c>
      <c r="E123" s="37">
        <v>10</v>
      </c>
      <c r="F123" s="38">
        <v>3583.8105575999994</v>
      </c>
      <c r="G123" s="38">
        <v>409.11118530410414</v>
      </c>
      <c r="H123" s="39">
        <v>200</v>
      </c>
      <c r="I123" s="40">
        <v>0.41666666666666663</v>
      </c>
      <c r="J123" s="39">
        <v>114.68193784319998</v>
      </c>
      <c r="K123" s="39">
        <v>198.0152711765333</v>
      </c>
      <c r="L123" s="39">
        <v>116.66666666666667</v>
      </c>
      <c r="M123" s="39">
        <v>314.68193784319999</v>
      </c>
      <c r="N123" s="39">
        <v>2278.3492950985287</v>
      </c>
      <c r="O123" s="41">
        <v>0.82</v>
      </c>
      <c r="P123" s="41">
        <v>6.7038661939833348</v>
      </c>
      <c r="Q123" s="261">
        <f t="shared" si="151"/>
        <v>6.7038661939833348</v>
      </c>
      <c r="R123" s="262">
        <f t="shared" si="132"/>
        <v>0</v>
      </c>
      <c r="S123" s="262">
        <f t="shared" si="152"/>
        <v>0</v>
      </c>
      <c r="T123" s="261">
        <f t="shared" si="153"/>
        <v>6.7038661939833348</v>
      </c>
      <c r="U123" s="267">
        <f t="shared" si="140"/>
        <v>0</v>
      </c>
      <c r="V123" s="42" t="s">
        <v>38</v>
      </c>
      <c r="W123" s="198" t="s">
        <v>38</v>
      </c>
      <c r="X123" s="198"/>
      <c r="Y123" s="333">
        <v>0</v>
      </c>
      <c r="Z123" s="335">
        <v>0</v>
      </c>
      <c r="AA123" s="288">
        <v>0</v>
      </c>
      <c r="AB123" s="288">
        <v>0</v>
      </c>
      <c r="AC123" s="288">
        <v>0</v>
      </c>
      <c r="AD123" s="288">
        <v>0</v>
      </c>
      <c r="AE123" s="288">
        <v>0</v>
      </c>
      <c r="AF123" s="288">
        <v>0</v>
      </c>
      <c r="AG123" s="288" t="s">
        <v>38</v>
      </c>
      <c r="AH123" s="288">
        <v>0</v>
      </c>
      <c r="AI123" s="288">
        <v>0</v>
      </c>
      <c r="AJ123" s="288">
        <v>0</v>
      </c>
      <c r="AK123" s="288">
        <f t="shared" si="154"/>
        <v>0</v>
      </c>
      <c r="AL123" s="246" t="s">
        <v>457</v>
      </c>
      <c r="AM123" s="234" t="s">
        <v>330</v>
      </c>
      <c r="AN123" s="102" t="s">
        <v>38</v>
      </c>
      <c r="AO123" s="241"/>
      <c r="AP123" s="43" t="s">
        <v>86</v>
      </c>
      <c r="AQ123" s="44">
        <v>4.9521699375684278</v>
      </c>
      <c r="AR123" s="45">
        <v>43.380967186450128</v>
      </c>
      <c r="AS123" s="46">
        <v>4.9521699375684278</v>
      </c>
      <c r="AT123" s="45">
        <v>43.380967186450128</v>
      </c>
      <c r="AU123" s="393">
        <v>27578.744585241151</v>
      </c>
      <c r="AV123" s="295">
        <f t="shared" si="155"/>
        <v>0</v>
      </c>
      <c r="AW123" s="295">
        <f t="shared" si="133"/>
        <v>27578.744585241151</v>
      </c>
      <c r="AX123" s="39">
        <v>4113.856659309944</v>
      </c>
      <c r="AY123" s="41">
        <v>14.761834552853582</v>
      </c>
      <c r="AZ123" s="39">
        <v>23464.887925931209</v>
      </c>
      <c r="BA123" s="47">
        <v>6.7038661939833348</v>
      </c>
      <c r="BB123" s="41">
        <f t="shared" si="134"/>
        <v>6.7038661939833348</v>
      </c>
      <c r="BC123" s="39">
        <v>2923.0686720464214</v>
      </c>
      <c r="BD123" s="47">
        <v>9.4348603058762386</v>
      </c>
      <c r="BE123" s="46">
        <v>3.7399567065461383</v>
      </c>
      <c r="BF123" s="45">
        <v>32.761989433077751</v>
      </c>
      <c r="BG123" s="46">
        <v>8.6921266441145661</v>
      </c>
      <c r="BH123" s="45">
        <v>76.14295661952788</v>
      </c>
      <c r="BI123" s="393">
        <v>22183.460676581442</v>
      </c>
      <c r="BJ123" s="295">
        <f t="shared" si="156"/>
        <v>0</v>
      </c>
      <c r="BK123" s="295">
        <f t="shared" si="135"/>
        <v>22183.460676581442</v>
      </c>
      <c r="BL123" s="39">
        <v>3106.8493199387754</v>
      </c>
      <c r="BM123" s="41">
        <v>11.148369872778909</v>
      </c>
      <c r="BN123" s="39">
        <v>19076.611356642668</v>
      </c>
      <c r="BO123" s="47">
        <v>7.1401791307402691</v>
      </c>
      <c r="BP123" s="41">
        <f t="shared" si="136"/>
        <v>7.1401791307402691</v>
      </c>
      <c r="BQ123" s="39">
        <v>2207.5474835346099</v>
      </c>
      <c r="BR123" s="47">
        <v>10.048916656171963</v>
      </c>
      <c r="BS123" s="44">
        <v>3.7841363202631086</v>
      </c>
      <c r="BT123" s="45">
        <v>33.149002479303498</v>
      </c>
      <c r="BU123" s="46">
        <v>12.476262964377673</v>
      </c>
      <c r="BV123" s="45">
        <v>109.29195909883137</v>
      </c>
      <c r="BW123" s="393">
        <v>24019.787810500326</v>
      </c>
      <c r="BX123" s="295">
        <f t="shared" si="157"/>
        <v>0</v>
      </c>
      <c r="BY123" s="295">
        <f t="shared" si="137"/>
        <v>24019.787810500326</v>
      </c>
      <c r="BZ123" s="39">
        <v>3143.5501198682177</v>
      </c>
      <c r="CA123" s="41">
        <v>11.280064090974321</v>
      </c>
      <c r="CB123" s="39">
        <v>20876.237690632108</v>
      </c>
      <c r="CC123" s="47">
        <v>7.6409749787947616</v>
      </c>
      <c r="CD123" s="41">
        <f t="shared" si="138"/>
        <v>7.6409749787947616</v>
      </c>
      <c r="CE123" s="39">
        <v>2233.6249498629559</v>
      </c>
      <c r="CF123" s="47">
        <v>10.753724707442071</v>
      </c>
    </row>
    <row r="124" spans="1:84" s="22" customFormat="1" ht="15" customHeight="1">
      <c r="A124" s="324" t="str">
        <f t="shared" si="150"/>
        <v>BNI - Efficient Product Rebates; Cycling Refrigerated Air Dryers (≤ 300 CFM capacity); COM-Process; School</v>
      </c>
      <c r="B124" s="36" t="s">
        <v>86</v>
      </c>
      <c r="C124" s="15" t="s">
        <v>87</v>
      </c>
      <c r="D124" s="15" t="s">
        <v>57</v>
      </c>
      <c r="E124" s="37">
        <v>10</v>
      </c>
      <c r="F124" s="38">
        <v>851.15500742999996</v>
      </c>
      <c r="G124" s="38">
        <v>97.163813633562086</v>
      </c>
      <c r="H124" s="39">
        <v>200</v>
      </c>
      <c r="I124" s="40">
        <v>0.41666666666666663</v>
      </c>
      <c r="J124" s="39">
        <v>27.236960237759998</v>
      </c>
      <c r="K124" s="39">
        <v>110.57029357109333</v>
      </c>
      <c r="L124" s="39">
        <v>116.66666666666667</v>
      </c>
      <c r="M124" s="39">
        <v>227.23696023776</v>
      </c>
      <c r="N124" s="39">
        <v>541.10785377969398</v>
      </c>
      <c r="O124" s="41">
        <v>0.82</v>
      </c>
      <c r="P124" s="41">
        <v>2.3202023267243828</v>
      </c>
      <c r="Q124" s="261">
        <f t="shared" si="151"/>
        <v>2.3202023267243828</v>
      </c>
      <c r="R124" s="262">
        <f t="shared" si="132"/>
        <v>0</v>
      </c>
      <c r="S124" s="262">
        <f t="shared" si="152"/>
        <v>0</v>
      </c>
      <c r="T124" s="261">
        <f t="shared" si="153"/>
        <v>2.3202023267243828</v>
      </c>
      <c r="U124" s="267">
        <f t="shared" si="140"/>
        <v>0</v>
      </c>
      <c r="V124" s="42" t="s">
        <v>38</v>
      </c>
      <c r="W124" s="198" t="s">
        <v>38</v>
      </c>
      <c r="X124" s="198"/>
      <c r="Y124" s="333">
        <v>0</v>
      </c>
      <c r="Z124" s="335">
        <v>0</v>
      </c>
      <c r="AA124" s="288">
        <v>0</v>
      </c>
      <c r="AB124" s="288">
        <v>0</v>
      </c>
      <c r="AC124" s="288">
        <v>0</v>
      </c>
      <c r="AD124" s="288">
        <v>0</v>
      </c>
      <c r="AE124" s="288">
        <v>0</v>
      </c>
      <c r="AF124" s="288">
        <v>0</v>
      </c>
      <c r="AG124" s="288" t="s">
        <v>38</v>
      </c>
      <c r="AH124" s="288">
        <v>0</v>
      </c>
      <c r="AI124" s="288">
        <v>0</v>
      </c>
      <c r="AJ124" s="288">
        <v>0</v>
      </c>
      <c r="AK124" s="288">
        <f t="shared" si="154"/>
        <v>0</v>
      </c>
      <c r="AL124" s="246" t="s">
        <v>457</v>
      </c>
      <c r="AM124" s="234" t="s">
        <v>330</v>
      </c>
      <c r="AN124" s="102" t="s">
        <v>38</v>
      </c>
      <c r="AO124" s="241"/>
      <c r="AP124" s="43" t="s">
        <v>86</v>
      </c>
      <c r="AQ124" s="44">
        <v>1.7624677826069644</v>
      </c>
      <c r="AR124" s="45">
        <v>15.439217775636937</v>
      </c>
      <c r="AS124" s="46">
        <v>1.7624677826069644</v>
      </c>
      <c r="AT124" s="45">
        <v>15.439217775636937</v>
      </c>
      <c r="AU124" s="393">
        <v>9815.2298014874468</v>
      </c>
      <c r="AV124" s="295">
        <f t="shared" si="155"/>
        <v>0</v>
      </c>
      <c r="AW124" s="295">
        <f t="shared" si="133"/>
        <v>9815.2298014874468</v>
      </c>
      <c r="AX124" s="39">
        <v>4230.3335741173914</v>
      </c>
      <c r="AY124" s="41">
        <v>22.120899479148417</v>
      </c>
      <c r="AZ124" s="39">
        <v>5584.8962273700554</v>
      </c>
      <c r="BA124" s="47">
        <v>2.3202023267243832</v>
      </c>
      <c r="BB124" s="41">
        <f t="shared" si="134"/>
        <v>2.3202023267243832</v>
      </c>
      <c r="BC124" s="39">
        <v>2445.9143494660862</v>
      </c>
      <c r="BD124" s="47">
        <v>4.0129082212670264</v>
      </c>
      <c r="BE124" s="46">
        <v>1.359103490164252</v>
      </c>
      <c r="BF124" s="45">
        <v>11.905746573838794</v>
      </c>
      <c r="BG124" s="46">
        <v>3.1215712727712166</v>
      </c>
      <c r="BH124" s="45">
        <v>27.344964349475731</v>
      </c>
      <c r="BI124" s="393">
        <v>8061.4947367479026</v>
      </c>
      <c r="BJ124" s="295">
        <f t="shared" si="156"/>
        <v>0</v>
      </c>
      <c r="BK124" s="295">
        <f t="shared" si="135"/>
        <v>8061.4947367479026</v>
      </c>
      <c r="BL124" s="39">
        <v>3262.1652332490376</v>
      </c>
      <c r="BM124" s="41">
        <v>17.058236175649682</v>
      </c>
      <c r="BN124" s="39">
        <v>4799.3295034988651</v>
      </c>
      <c r="BO124" s="47">
        <v>2.4712098132193168</v>
      </c>
      <c r="BP124" s="41">
        <f t="shared" si="136"/>
        <v>2.4712098132193168</v>
      </c>
      <c r="BQ124" s="39">
        <v>1886.1341817466296</v>
      </c>
      <c r="BR124" s="47">
        <v>4.2740833683861572</v>
      </c>
      <c r="BS124" s="44">
        <v>1.4280601986998289</v>
      </c>
      <c r="BT124" s="45">
        <v>12.509807340610445</v>
      </c>
      <c r="BU124" s="46">
        <v>4.5496314714710451</v>
      </c>
      <c r="BV124" s="45">
        <v>39.854771690086174</v>
      </c>
      <c r="BW124" s="393">
        <v>9064.6121252113026</v>
      </c>
      <c r="BX124" s="295">
        <f t="shared" si="157"/>
        <v>0</v>
      </c>
      <c r="BY124" s="295">
        <f t="shared" si="137"/>
        <v>9064.6121252113026</v>
      </c>
      <c r="BZ124" s="39">
        <v>3427.6774100714665</v>
      </c>
      <c r="CA124" s="41">
        <v>17.923718332533227</v>
      </c>
      <c r="CB124" s="39">
        <v>5636.934715139836</v>
      </c>
      <c r="CC124" s="47">
        <v>2.6445347798999284</v>
      </c>
      <c r="CD124" s="41">
        <f t="shared" si="138"/>
        <v>2.6445347798999284</v>
      </c>
      <c r="CE124" s="39">
        <v>1981.8307979137862</v>
      </c>
      <c r="CF124" s="47">
        <v>4.5738577353593186</v>
      </c>
    </row>
    <row r="125" spans="1:84" s="22" customFormat="1" ht="15" customHeight="1">
      <c r="A125" s="324" t="str">
        <f t="shared" si="150"/>
        <v xml:space="preserve">BNI - Efficient Product Rebates; Variable Speed Drive Screw Compressors (10 - 40 hp); IND; Industrial </v>
      </c>
      <c r="B125" s="36" t="s">
        <v>88</v>
      </c>
      <c r="C125" s="15" t="s">
        <v>67</v>
      </c>
      <c r="D125" s="15" t="s">
        <v>68</v>
      </c>
      <c r="E125" s="37">
        <v>10</v>
      </c>
      <c r="F125" s="38">
        <v>21475.736099999995</v>
      </c>
      <c r="G125" s="38">
        <v>2451.5680479452162</v>
      </c>
      <c r="H125" s="39">
        <v>4409.3333333333339</v>
      </c>
      <c r="I125" s="40">
        <v>0.36286664650740846</v>
      </c>
      <c r="J125" s="39">
        <v>687.22355519999985</v>
      </c>
      <c r="K125" s="39">
        <v>2287.2235551999997</v>
      </c>
      <c r="L125" s="39">
        <v>2809.3333333333339</v>
      </c>
      <c r="M125" s="39">
        <v>5096.5568885333341</v>
      </c>
      <c r="N125" s="39">
        <v>13652.847446081427</v>
      </c>
      <c r="O125" s="41">
        <v>0.82</v>
      </c>
      <c r="P125" s="41">
        <v>2.6018255218086841</v>
      </c>
      <c r="Q125" s="261">
        <f t="shared" si="151"/>
        <v>2.6018255218086841</v>
      </c>
      <c r="R125" s="262">
        <f t="shared" si="132"/>
        <v>0</v>
      </c>
      <c r="S125" s="262">
        <f t="shared" si="152"/>
        <v>0</v>
      </c>
      <c r="T125" s="261">
        <f t="shared" si="153"/>
        <v>2.6018255218086841</v>
      </c>
      <c r="U125" s="267">
        <f t="shared" si="140"/>
        <v>0</v>
      </c>
      <c r="V125" s="42" t="s">
        <v>38</v>
      </c>
      <c r="W125" s="198" t="s">
        <v>38</v>
      </c>
      <c r="X125" s="198"/>
      <c r="Y125" s="333">
        <v>0</v>
      </c>
      <c r="Z125" s="335">
        <v>0</v>
      </c>
      <c r="AA125" s="288">
        <v>0</v>
      </c>
      <c r="AB125" s="288">
        <v>0</v>
      </c>
      <c r="AC125" s="288">
        <v>0</v>
      </c>
      <c r="AD125" s="288">
        <v>0</v>
      </c>
      <c r="AE125" s="288">
        <v>0</v>
      </c>
      <c r="AF125" s="288">
        <v>0</v>
      </c>
      <c r="AG125" s="288" t="s">
        <v>38</v>
      </c>
      <c r="AH125" s="288">
        <v>0</v>
      </c>
      <c r="AI125" s="288">
        <v>0</v>
      </c>
      <c r="AJ125" s="288">
        <v>0</v>
      </c>
      <c r="AK125" s="288">
        <f t="shared" si="154"/>
        <v>0</v>
      </c>
      <c r="AL125" s="246" t="s">
        <v>458</v>
      </c>
      <c r="AM125" s="234" t="s">
        <v>330</v>
      </c>
      <c r="AN125" s="102" t="s">
        <v>38</v>
      </c>
      <c r="AO125" s="241"/>
      <c r="AP125" s="43" t="s">
        <v>88</v>
      </c>
      <c r="AQ125" s="44">
        <v>8.3474913613426462</v>
      </c>
      <c r="AR125" s="45">
        <v>73.124024325361248</v>
      </c>
      <c r="AS125" s="46">
        <v>8.3474913613426462</v>
      </c>
      <c r="AT125" s="45">
        <v>73.124024325361248</v>
      </c>
      <c r="AU125" s="393">
        <v>46487.400669712297</v>
      </c>
      <c r="AV125" s="295">
        <f t="shared" si="155"/>
        <v>0</v>
      </c>
      <c r="AW125" s="295">
        <f t="shared" si="133"/>
        <v>46487.400669712297</v>
      </c>
      <c r="AX125" s="39">
        <v>17867.224485289902</v>
      </c>
      <c r="AY125" s="41">
        <v>4.1523903537430913</v>
      </c>
      <c r="AZ125" s="39">
        <v>28620.176184422395</v>
      </c>
      <c r="BA125" s="47">
        <v>2.6018255218086841</v>
      </c>
      <c r="BB125" s="41">
        <f t="shared" si="134"/>
        <v>2.6018255218086841</v>
      </c>
      <c r="BC125" s="39">
        <v>9497.4450274664596</v>
      </c>
      <c r="BD125" s="47">
        <v>4.894727006607722</v>
      </c>
      <c r="BE125" s="46">
        <v>6.8816890816375409</v>
      </c>
      <c r="BF125" s="45">
        <v>60.283596355144581</v>
      </c>
      <c r="BG125" s="46">
        <v>15.229180442980187</v>
      </c>
      <c r="BH125" s="45">
        <v>133.40762068050583</v>
      </c>
      <c r="BI125" s="393">
        <v>40818.598961034244</v>
      </c>
      <c r="BJ125" s="295">
        <f t="shared" si="156"/>
        <v>0</v>
      </c>
      <c r="BK125" s="295">
        <f t="shared" si="135"/>
        <v>40818.598961034244</v>
      </c>
      <c r="BL125" s="39">
        <v>14729.776688239612</v>
      </c>
      <c r="BM125" s="41">
        <v>3.4232391652879386</v>
      </c>
      <c r="BN125" s="39">
        <v>26088.822272794634</v>
      </c>
      <c r="BO125" s="47">
        <v>2.7711621041494938</v>
      </c>
      <c r="BP125" s="41">
        <f t="shared" si="136"/>
        <v>2.7711621041494938</v>
      </c>
      <c r="BQ125" s="39">
        <v>7829.7132539297581</v>
      </c>
      <c r="BR125" s="47">
        <v>5.2132942340573276</v>
      </c>
      <c r="BS125" s="44">
        <v>7.2105492228486954</v>
      </c>
      <c r="BT125" s="45">
        <v>63.164411192154283</v>
      </c>
      <c r="BU125" s="46">
        <v>22.439729665828882</v>
      </c>
      <c r="BV125" s="45">
        <v>196.57203187266012</v>
      </c>
      <c r="BW125" s="393">
        <v>45768.961262539691</v>
      </c>
      <c r="BX125" s="295">
        <f t="shared" si="157"/>
        <v>0</v>
      </c>
      <c r="BY125" s="295">
        <f t="shared" si="137"/>
        <v>45768.961262539691</v>
      </c>
      <c r="BZ125" s="39">
        <v>15433.678940177821</v>
      </c>
      <c r="CA125" s="41">
        <v>3.5868279153667588</v>
      </c>
      <c r="CB125" s="39">
        <v>30335.282322361869</v>
      </c>
      <c r="CC125" s="47">
        <v>2.9655250339173094</v>
      </c>
      <c r="CD125" s="41">
        <f t="shared" si="138"/>
        <v>2.9655250339173094</v>
      </c>
      <c r="CE125" s="39">
        <v>8203.8772964757627</v>
      </c>
      <c r="CF125" s="47">
        <v>5.5789426887456264</v>
      </c>
    </row>
    <row r="126" spans="1:84" s="22" customFormat="1" ht="15" customHeight="1">
      <c r="A126" s="324" t="str">
        <f t="shared" si="150"/>
        <v>BNI - Efficient Product Rebates; Variable Speed Drive Screw Compressors (10 - 40 hp); COM-Process; Other Commercial</v>
      </c>
      <c r="B126" s="36" t="s">
        <v>88</v>
      </c>
      <c r="C126" s="15" t="s">
        <v>87</v>
      </c>
      <c r="D126" s="15" t="s">
        <v>54</v>
      </c>
      <c r="E126" s="37">
        <v>10</v>
      </c>
      <c r="F126" s="38">
        <v>36169.660800000049</v>
      </c>
      <c r="G126" s="38">
        <v>4128.9606590826388</v>
      </c>
      <c r="H126" s="39">
        <v>4409.3333333333339</v>
      </c>
      <c r="I126" s="40">
        <v>0.36286664650740846</v>
      </c>
      <c r="J126" s="39">
        <v>1157.4291456000017</v>
      </c>
      <c r="K126" s="39">
        <v>2757.4291456000019</v>
      </c>
      <c r="L126" s="39">
        <v>2809.3333333333339</v>
      </c>
      <c r="M126" s="39">
        <v>5566.7624789333358</v>
      </c>
      <c r="N126" s="39">
        <v>22994.273794097884</v>
      </c>
      <c r="O126" s="41">
        <v>0.82</v>
      </c>
      <c r="P126" s="41">
        <v>3.9503412300920369</v>
      </c>
      <c r="Q126" s="261">
        <f t="shared" si="151"/>
        <v>3.9503412300920369</v>
      </c>
      <c r="R126" s="262">
        <f t="shared" si="132"/>
        <v>0</v>
      </c>
      <c r="S126" s="262">
        <f t="shared" si="152"/>
        <v>0</v>
      </c>
      <c r="T126" s="261">
        <f t="shared" si="153"/>
        <v>3.9503412300920369</v>
      </c>
      <c r="U126" s="267">
        <f t="shared" si="140"/>
        <v>0</v>
      </c>
      <c r="V126" s="42" t="s">
        <v>38</v>
      </c>
      <c r="W126" s="198" t="s">
        <v>38</v>
      </c>
      <c r="X126" s="198"/>
      <c r="Y126" s="333">
        <v>0</v>
      </c>
      <c r="Z126" s="335">
        <v>0</v>
      </c>
      <c r="AA126" s="288">
        <v>0</v>
      </c>
      <c r="AB126" s="288">
        <v>0</v>
      </c>
      <c r="AC126" s="288">
        <v>0</v>
      </c>
      <c r="AD126" s="288">
        <v>0</v>
      </c>
      <c r="AE126" s="288">
        <v>0</v>
      </c>
      <c r="AF126" s="288">
        <v>0</v>
      </c>
      <c r="AG126" s="288" t="s">
        <v>38</v>
      </c>
      <c r="AH126" s="288">
        <v>0</v>
      </c>
      <c r="AI126" s="288">
        <v>0</v>
      </c>
      <c r="AJ126" s="288">
        <v>0</v>
      </c>
      <c r="AK126" s="288">
        <f t="shared" si="154"/>
        <v>0</v>
      </c>
      <c r="AL126" s="246" t="s">
        <v>458</v>
      </c>
      <c r="AM126" s="234" t="s">
        <v>330</v>
      </c>
      <c r="AN126" s="102" t="s">
        <v>38</v>
      </c>
      <c r="AO126" s="241"/>
      <c r="AP126" s="43" t="s">
        <v>88</v>
      </c>
      <c r="AQ126" s="44">
        <v>15.151145554545224</v>
      </c>
      <c r="AR126" s="45">
        <v>132.72390819075645</v>
      </c>
      <c r="AS126" s="46">
        <v>15.151145554545224</v>
      </c>
      <c r="AT126" s="45">
        <v>132.72390819075645</v>
      </c>
      <c r="AU126" s="393">
        <v>84377.066758695189</v>
      </c>
      <c r="AV126" s="295">
        <f t="shared" si="155"/>
        <v>0</v>
      </c>
      <c r="AW126" s="295">
        <f t="shared" si="133"/>
        <v>84377.066758695189</v>
      </c>
      <c r="AX126" s="39">
        <v>21359.437538191938</v>
      </c>
      <c r="AY126" s="41">
        <v>4.4749776758446549</v>
      </c>
      <c r="AZ126" s="39">
        <v>63017.629220503251</v>
      </c>
      <c r="BA126" s="47">
        <v>3.9503412300920377</v>
      </c>
      <c r="BB126" s="41">
        <f t="shared" si="134"/>
        <v>3.9503412300920377</v>
      </c>
      <c r="BC126" s="39">
        <v>12339.433869283406</v>
      </c>
      <c r="BD126" s="47">
        <v>6.8380014555396498</v>
      </c>
      <c r="BE126" s="46">
        <v>12.635166827048515</v>
      </c>
      <c r="BF126" s="45">
        <v>110.68395560525754</v>
      </c>
      <c r="BG126" s="46">
        <v>27.786312381593739</v>
      </c>
      <c r="BH126" s="45">
        <v>243.407863796014</v>
      </c>
      <c r="BI126" s="393">
        <v>74945.179434637699</v>
      </c>
      <c r="BJ126" s="295">
        <f t="shared" si="156"/>
        <v>0</v>
      </c>
      <c r="BK126" s="295">
        <f t="shared" si="135"/>
        <v>74945.179434637699</v>
      </c>
      <c r="BL126" s="39">
        <v>17812.518245263353</v>
      </c>
      <c r="BM126" s="41">
        <v>3.7318689387584199</v>
      </c>
      <c r="BN126" s="39">
        <v>57132.661189374347</v>
      </c>
      <c r="BO126" s="47">
        <v>4.2074443603484806</v>
      </c>
      <c r="BP126" s="41">
        <f t="shared" si="136"/>
        <v>4.2074443603484806</v>
      </c>
      <c r="BQ126" s="39">
        <v>10290.364179291813</v>
      </c>
      <c r="BR126" s="47">
        <v>7.283044421834588</v>
      </c>
      <c r="BS126" s="44">
        <v>13.486650101586603</v>
      </c>
      <c r="BT126" s="45">
        <v>118.14294196037542</v>
      </c>
      <c r="BU126" s="46">
        <v>41.272962483180343</v>
      </c>
      <c r="BV126" s="45">
        <v>361.55080575638942</v>
      </c>
      <c r="BW126" s="393">
        <v>85606.449212709413</v>
      </c>
      <c r="BX126" s="295">
        <f t="shared" si="157"/>
        <v>0</v>
      </c>
      <c r="BY126" s="295">
        <f t="shared" si="137"/>
        <v>85606.449212709413</v>
      </c>
      <c r="BZ126" s="39">
        <v>19012.902978670885</v>
      </c>
      <c r="CA126" s="41">
        <v>3.9833594040302009</v>
      </c>
      <c r="CB126" s="39">
        <v>66593.546234038527</v>
      </c>
      <c r="CC126" s="47">
        <v>4.5025448932624705</v>
      </c>
      <c r="CD126" s="41">
        <f t="shared" si="138"/>
        <v>4.5025448932624705</v>
      </c>
      <c r="CE126" s="39">
        <v>10983.831318072729</v>
      </c>
      <c r="CF126" s="47">
        <v>7.7938605149419109</v>
      </c>
    </row>
    <row r="127" spans="1:84" s="22" customFormat="1" ht="15" customHeight="1">
      <c r="A127" s="324" t="str">
        <f t="shared" si="150"/>
        <v>BNI - Efficient Product Rebates; Variable Speed Drive Screw Compressors (10 - 40 hp); COM-Process; School</v>
      </c>
      <c r="B127" s="36" t="s">
        <v>88</v>
      </c>
      <c r="C127" s="15" t="s">
        <v>87</v>
      </c>
      <c r="D127" s="15" t="s">
        <v>57</v>
      </c>
      <c r="E127" s="37">
        <v>10</v>
      </c>
      <c r="F127" s="38">
        <v>8590.2944400000015</v>
      </c>
      <c r="G127" s="38">
        <v>980.62721917808688</v>
      </c>
      <c r="H127" s="39">
        <v>4409.3333333333339</v>
      </c>
      <c r="I127" s="40">
        <v>0.36286664650740846</v>
      </c>
      <c r="J127" s="39">
        <v>274.88942208000003</v>
      </c>
      <c r="K127" s="39">
        <v>1874.88942208</v>
      </c>
      <c r="L127" s="39">
        <v>2809.3333333333339</v>
      </c>
      <c r="M127" s="39">
        <v>4684.2227554133342</v>
      </c>
      <c r="N127" s="39">
        <v>5461.1389784325729</v>
      </c>
      <c r="O127" s="41">
        <v>0.82</v>
      </c>
      <c r="P127" s="41">
        <v>1.151030651464708</v>
      </c>
      <c r="Q127" s="261">
        <f t="shared" si="151"/>
        <v>1.151030651464708</v>
      </c>
      <c r="R127" s="262">
        <f t="shared" si="132"/>
        <v>0</v>
      </c>
      <c r="S127" s="262">
        <f t="shared" si="152"/>
        <v>0</v>
      </c>
      <c r="T127" s="261">
        <f t="shared" si="153"/>
        <v>1.151030651464708</v>
      </c>
      <c r="U127" s="267">
        <f t="shared" si="140"/>
        <v>0</v>
      </c>
      <c r="V127" s="42" t="s">
        <v>38</v>
      </c>
      <c r="W127" s="198" t="s">
        <v>38</v>
      </c>
      <c r="X127" s="198"/>
      <c r="Y127" s="333">
        <v>0</v>
      </c>
      <c r="Z127" s="335">
        <v>0</v>
      </c>
      <c r="AA127" s="288">
        <v>0</v>
      </c>
      <c r="AB127" s="288">
        <v>0</v>
      </c>
      <c r="AC127" s="288">
        <v>0</v>
      </c>
      <c r="AD127" s="288">
        <v>0</v>
      </c>
      <c r="AE127" s="288">
        <v>0</v>
      </c>
      <c r="AF127" s="288">
        <v>0</v>
      </c>
      <c r="AG127" s="288" t="s">
        <v>38</v>
      </c>
      <c r="AH127" s="288">
        <v>0</v>
      </c>
      <c r="AI127" s="288">
        <v>0</v>
      </c>
      <c r="AJ127" s="288">
        <v>0</v>
      </c>
      <c r="AK127" s="288">
        <f t="shared" si="154"/>
        <v>0</v>
      </c>
      <c r="AL127" s="246" t="s">
        <v>458</v>
      </c>
      <c r="AM127" s="234" t="s">
        <v>330</v>
      </c>
      <c r="AN127" s="102" t="s">
        <v>38</v>
      </c>
      <c r="AO127" s="241"/>
      <c r="AP127" s="43" t="s">
        <v>88</v>
      </c>
      <c r="AQ127" s="44">
        <v>5.3362709913586404</v>
      </c>
      <c r="AR127" s="45">
        <v>46.745733884301472</v>
      </c>
      <c r="AS127" s="46">
        <v>5.3362709913586404</v>
      </c>
      <c r="AT127" s="45">
        <v>46.745733884301472</v>
      </c>
      <c r="AU127" s="393">
        <v>29717.83460672565</v>
      </c>
      <c r="AV127" s="295">
        <f t="shared" si="155"/>
        <v>0</v>
      </c>
      <c r="AW127" s="295">
        <f t="shared" si="133"/>
        <v>29717.83460672565</v>
      </c>
      <c r="AX127" s="39">
        <v>25818.456327734762</v>
      </c>
      <c r="AY127" s="41">
        <v>6.6362093802492588</v>
      </c>
      <c r="AZ127" s="39">
        <v>3899.3782789908873</v>
      </c>
      <c r="BA127" s="47">
        <v>1.1510306514647077</v>
      </c>
      <c r="BB127" s="41">
        <f t="shared" si="134"/>
        <v>1.1510306514647077</v>
      </c>
      <c r="BC127" s="39">
        <v>12442.158769737409</v>
      </c>
      <c r="BD127" s="47">
        <v>2.3884789735208343</v>
      </c>
      <c r="BE127" s="46">
        <v>4.5570570731620688</v>
      </c>
      <c r="BF127" s="45">
        <v>39.919819960899538</v>
      </c>
      <c r="BG127" s="46">
        <v>9.8933280645207073</v>
      </c>
      <c r="BH127" s="45">
        <v>86.665553845201003</v>
      </c>
      <c r="BI127" s="393">
        <v>27030.09143616875</v>
      </c>
      <c r="BJ127" s="295">
        <f t="shared" si="156"/>
        <v>0</v>
      </c>
      <c r="BK127" s="295">
        <f t="shared" si="135"/>
        <v>27030.09143616875</v>
      </c>
      <c r="BL127" s="39">
        <v>22048.38907487227</v>
      </c>
      <c r="BM127" s="41">
        <v>5.6671756258670998</v>
      </c>
      <c r="BN127" s="39">
        <v>4981.7023612964804</v>
      </c>
      <c r="BO127" s="47">
        <v>1.2259440517118749</v>
      </c>
      <c r="BP127" s="41">
        <f t="shared" si="136"/>
        <v>1.2259440517118749</v>
      </c>
      <c r="BQ127" s="39">
        <v>10625.32763400783</v>
      </c>
      <c r="BR127" s="47">
        <v>2.5439301607656035</v>
      </c>
      <c r="BS127" s="44">
        <v>5.0199541594270336</v>
      </c>
      <c r="BT127" s="45">
        <v>43.974798436580613</v>
      </c>
      <c r="BU127" s="46">
        <v>14.913282223947741</v>
      </c>
      <c r="BV127" s="45">
        <v>130.64035228178162</v>
      </c>
      <c r="BW127" s="393">
        <v>31864.159076050186</v>
      </c>
      <c r="BX127" s="295">
        <f t="shared" si="157"/>
        <v>0</v>
      </c>
      <c r="BY127" s="295">
        <f t="shared" si="137"/>
        <v>31864.159076050186</v>
      </c>
      <c r="BZ127" s="39">
        <v>24288.021999309796</v>
      </c>
      <c r="CA127" s="41">
        <v>6.2428364180075491</v>
      </c>
      <c r="CB127" s="39">
        <v>7576.1370767403896</v>
      </c>
      <c r="CC127" s="47">
        <v>1.3119289449324314</v>
      </c>
      <c r="CD127" s="41">
        <f t="shared" si="138"/>
        <v>1.3119289449324314</v>
      </c>
      <c r="CE127" s="39">
        <v>11704.627963898152</v>
      </c>
      <c r="CF127" s="47">
        <v>2.7223555651945754</v>
      </c>
    </row>
    <row r="128" spans="1:84" s="22" customFormat="1" ht="15" customHeight="1">
      <c r="A128" s="324" t="str">
        <f t="shared" si="150"/>
        <v>BNI - Efficient Product Rebates; Air-Entraining Air Nozzles (up to 14CFM at 100 psi); COM-Process; School</v>
      </c>
      <c r="B128" s="233" t="s">
        <v>89</v>
      </c>
      <c r="C128" s="15" t="s">
        <v>87</v>
      </c>
      <c r="D128" s="15" t="s">
        <v>57</v>
      </c>
      <c r="E128" s="37">
        <v>10</v>
      </c>
      <c r="F128" s="38">
        <v>982.09706399999993</v>
      </c>
      <c r="G128" s="38">
        <v>165.47872590534209</v>
      </c>
      <c r="H128" s="39">
        <v>125</v>
      </c>
      <c r="I128" s="40">
        <v>0.8</v>
      </c>
      <c r="J128" s="39">
        <v>31.427106047999999</v>
      </c>
      <c r="K128" s="39">
        <v>131.42710604799998</v>
      </c>
      <c r="L128" s="39">
        <v>25</v>
      </c>
      <c r="M128" s="39">
        <v>156.42710604799998</v>
      </c>
      <c r="N128" s="39">
        <v>683.99977778332425</v>
      </c>
      <c r="O128" s="41">
        <v>0.82</v>
      </c>
      <c r="P128" s="41">
        <v>4.1879484619140834</v>
      </c>
      <c r="Q128" s="261">
        <f t="shared" si="151"/>
        <v>4.1879484619140834</v>
      </c>
      <c r="R128" s="262">
        <f t="shared" si="132"/>
        <v>0</v>
      </c>
      <c r="S128" s="262">
        <f t="shared" si="152"/>
        <v>0</v>
      </c>
      <c r="T128" s="261">
        <f t="shared" si="153"/>
        <v>4.1879484619140834</v>
      </c>
      <c r="U128" s="267">
        <f t="shared" si="140"/>
        <v>0</v>
      </c>
      <c r="V128" s="42" t="s">
        <v>38</v>
      </c>
      <c r="W128" s="198" t="s">
        <v>38</v>
      </c>
      <c r="X128" s="198"/>
      <c r="Y128" s="333">
        <v>0</v>
      </c>
      <c r="Z128" s="335">
        <v>0</v>
      </c>
      <c r="AA128" s="288">
        <v>0</v>
      </c>
      <c r="AB128" s="288">
        <v>0</v>
      </c>
      <c r="AC128" s="288">
        <v>0</v>
      </c>
      <c r="AD128" s="288">
        <v>0</v>
      </c>
      <c r="AE128" s="288">
        <v>0</v>
      </c>
      <c r="AF128" s="288">
        <v>0</v>
      </c>
      <c r="AG128" s="288" t="s">
        <v>38</v>
      </c>
      <c r="AH128" s="288">
        <v>0</v>
      </c>
      <c r="AI128" s="288">
        <v>0</v>
      </c>
      <c r="AJ128" s="288">
        <v>0</v>
      </c>
      <c r="AK128" s="288">
        <f t="shared" si="154"/>
        <v>0</v>
      </c>
      <c r="AL128" s="451" t="s">
        <v>458</v>
      </c>
      <c r="AM128" s="181" t="s">
        <v>284</v>
      </c>
      <c r="AN128" s="181"/>
      <c r="AO128" s="459" t="s">
        <v>428</v>
      </c>
      <c r="AP128" s="43" t="s">
        <v>89</v>
      </c>
      <c r="AQ128" s="44">
        <v>4.6154293388797942</v>
      </c>
      <c r="AR128" s="45">
        <v>27.392038330088305</v>
      </c>
      <c r="AS128" s="46">
        <v>4.6154293388797942</v>
      </c>
      <c r="AT128" s="45">
        <v>27.392038330088305</v>
      </c>
      <c r="AU128" s="393">
        <v>19077.694881300144</v>
      </c>
      <c r="AV128" s="295">
        <f t="shared" si="155"/>
        <v>0</v>
      </c>
      <c r="AW128" s="295">
        <f t="shared" si="133"/>
        <v>19077.694881300144</v>
      </c>
      <c r="AX128" s="39">
        <v>4555.3795742225475</v>
      </c>
      <c r="AY128" s="41">
        <v>34.013872983934121</v>
      </c>
      <c r="AZ128" s="39">
        <v>14522.315307077595</v>
      </c>
      <c r="BA128" s="47">
        <v>4.1879484619140817</v>
      </c>
      <c r="BB128" s="41">
        <f t="shared" si="134"/>
        <v>4.1879484619140817</v>
      </c>
      <c r="BC128" s="39">
        <v>4470.344891762712</v>
      </c>
      <c r="BD128" s="47">
        <v>4.2676114132611307</v>
      </c>
      <c r="BE128" s="46">
        <v>4.3764517284060043</v>
      </c>
      <c r="BF128" s="45">
        <v>25.973733902591693</v>
      </c>
      <c r="BG128" s="46">
        <v>8.9918810672857994</v>
      </c>
      <c r="BH128" s="45">
        <v>53.365772232680001</v>
      </c>
      <c r="BI128" s="393">
        <v>19429.703552693329</v>
      </c>
      <c r="BJ128" s="295">
        <f t="shared" si="156"/>
        <v>0</v>
      </c>
      <c r="BK128" s="295">
        <f t="shared" si="135"/>
        <v>19429.703552693329</v>
      </c>
      <c r="BL128" s="39">
        <v>4319.5112192943707</v>
      </c>
      <c r="BM128" s="41">
        <v>32.252703330618083</v>
      </c>
      <c r="BN128" s="39">
        <v>15110.192333398958</v>
      </c>
      <c r="BO128" s="47">
        <v>4.4981254976037164</v>
      </c>
      <c r="BP128" s="41">
        <f t="shared" si="136"/>
        <v>4.4981254976037164</v>
      </c>
      <c r="BQ128" s="39">
        <v>4238.8794609678253</v>
      </c>
      <c r="BR128" s="47">
        <v>4.5836886213926729</v>
      </c>
      <c r="BS128" s="44">
        <v>4.7369926041594148</v>
      </c>
      <c r="BT128" s="45">
        <v>28.113502223819641</v>
      </c>
      <c r="BU128" s="46">
        <v>13.728873671445212</v>
      </c>
      <c r="BV128" s="45">
        <v>81.479274456499638</v>
      </c>
      <c r="BW128" s="393">
        <v>22668.816687803657</v>
      </c>
      <c r="BX128" s="295">
        <f t="shared" si="157"/>
        <v>0</v>
      </c>
      <c r="BY128" s="295">
        <f t="shared" si="137"/>
        <v>22668.816687803657</v>
      </c>
      <c r="BZ128" s="39">
        <v>4675.3612216428028</v>
      </c>
      <c r="CA128" s="41">
        <v>34.909745753538012</v>
      </c>
      <c r="CB128" s="39">
        <v>17993.455466160856</v>
      </c>
      <c r="CC128" s="47">
        <v>4.8485701132282593</v>
      </c>
      <c r="CD128" s="41">
        <f t="shared" si="138"/>
        <v>4.8485701132282593</v>
      </c>
      <c r="CE128" s="39">
        <v>4588.0868572589579</v>
      </c>
      <c r="CF128" s="47">
        <v>4.9407993774003218</v>
      </c>
    </row>
    <row r="129" spans="1:84" s="22" customFormat="1" ht="15" customHeight="1">
      <c r="A129" s="324" t="str">
        <f t="shared" si="150"/>
        <v>BNI - Efficient Product Rebates; No-Loss Drains (Timed drains are not eligible); COM-Process; School</v>
      </c>
      <c r="B129" s="36" t="s">
        <v>90</v>
      </c>
      <c r="C129" s="15" t="s">
        <v>87</v>
      </c>
      <c r="D129" s="15" t="s">
        <v>57</v>
      </c>
      <c r="E129" s="37">
        <v>10</v>
      </c>
      <c r="F129" s="38">
        <v>2868.2919684000003</v>
      </c>
      <c r="G129" s="38">
        <v>327.43059000000153</v>
      </c>
      <c r="H129" s="39">
        <v>270</v>
      </c>
      <c r="I129" s="40">
        <v>0.44444444444444442</v>
      </c>
      <c r="J129" s="39">
        <v>91.785342988800011</v>
      </c>
      <c r="K129" s="39">
        <v>211.78534298880001</v>
      </c>
      <c r="L129" s="39">
        <v>150</v>
      </c>
      <c r="M129" s="39">
        <v>361.78534298880004</v>
      </c>
      <c r="N129" s="39">
        <v>1823.4696353614545</v>
      </c>
      <c r="O129" s="41">
        <v>0.82</v>
      </c>
      <c r="P129" s="41">
        <v>4.7743137872511001</v>
      </c>
      <c r="Q129" s="261">
        <f t="shared" si="151"/>
        <v>4.7743137872511001</v>
      </c>
      <c r="R129" s="262">
        <f t="shared" si="132"/>
        <v>0</v>
      </c>
      <c r="S129" s="262">
        <f t="shared" si="152"/>
        <v>0</v>
      </c>
      <c r="T129" s="261">
        <f t="shared" si="153"/>
        <v>4.7743137872511001</v>
      </c>
      <c r="U129" s="267">
        <f t="shared" si="140"/>
        <v>0</v>
      </c>
      <c r="V129" s="42" t="s">
        <v>38</v>
      </c>
      <c r="W129" s="198" t="s">
        <v>38</v>
      </c>
      <c r="X129" s="198"/>
      <c r="Y129" s="333">
        <v>0</v>
      </c>
      <c r="Z129" s="335">
        <v>0</v>
      </c>
      <c r="AA129" s="288">
        <v>0</v>
      </c>
      <c r="AB129" s="288">
        <v>0</v>
      </c>
      <c r="AC129" s="288">
        <v>0</v>
      </c>
      <c r="AD129" s="288">
        <v>0</v>
      </c>
      <c r="AE129" s="288">
        <v>0</v>
      </c>
      <c r="AF129" s="288">
        <v>0</v>
      </c>
      <c r="AG129" s="288" t="s">
        <v>38</v>
      </c>
      <c r="AH129" s="288">
        <v>0</v>
      </c>
      <c r="AI129" s="288">
        <v>0</v>
      </c>
      <c r="AJ129" s="288">
        <v>0</v>
      </c>
      <c r="AK129" s="288">
        <f t="shared" si="154"/>
        <v>0</v>
      </c>
      <c r="AL129" s="246" t="s">
        <v>459</v>
      </c>
      <c r="AM129" s="234" t="s">
        <v>330</v>
      </c>
      <c r="AN129" s="102" t="s">
        <v>38</v>
      </c>
      <c r="AO129" s="241"/>
      <c r="AP129" s="43" t="s">
        <v>90</v>
      </c>
      <c r="AQ129" s="44">
        <v>2.663669512384089</v>
      </c>
      <c r="AR129" s="45">
        <v>23.333744928484514</v>
      </c>
      <c r="AS129" s="46">
        <v>2.663669512384089</v>
      </c>
      <c r="AT129" s="45">
        <v>23.333744928484514</v>
      </c>
      <c r="AU129" s="393">
        <v>14834.046124005747</v>
      </c>
      <c r="AV129" s="295">
        <f t="shared" si="155"/>
        <v>0</v>
      </c>
      <c r="AW129" s="295">
        <f t="shared" si="133"/>
        <v>14834.046124005747</v>
      </c>
      <c r="AX129" s="39">
        <v>3107.0530310800382</v>
      </c>
      <c r="AY129" s="41">
        <v>9.9208123899691927</v>
      </c>
      <c r="AZ129" s="39">
        <v>11726.993092925708</v>
      </c>
      <c r="BA129" s="47">
        <v>4.7743137872511001</v>
      </c>
      <c r="BB129" s="41">
        <f t="shared" si="134"/>
        <v>4.7743137872511001</v>
      </c>
      <c r="BC129" s="39">
        <v>2101.0826547371621</v>
      </c>
      <c r="BD129" s="47">
        <v>7.060191606722598</v>
      </c>
      <c r="BE129" s="46">
        <v>2.5485215508494896</v>
      </c>
      <c r="BF129" s="45">
        <v>22.325048785441428</v>
      </c>
      <c r="BG129" s="46">
        <v>5.2121910632335791</v>
      </c>
      <c r="BH129" s="45">
        <v>45.658793713925945</v>
      </c>
      <c r="BI129" s="393">
        <v>15116.503796321536</v>
      </c>
      <c r="BJ129" s="295">
        <f t="shared" si="156"/>
        <v>0</v>
      </c>
      <c r="BK129" s="295">
        <f t="shared" si="135"/>
        <v>15116.503796321536</v>
      </c>
      <c r="BL129" s="39">
        <v>2972.7380114256121</v>
      </c>
      <c r="BM129" s="41">
        <v>9.49194487537663</v>
      </c>
      <c r="BN129" s="39">
        <v>12143.765784895924</v>
      </c>
      <c r="BO129" s="47">
        <v>5.0850440698849999</v>
      </c>
      <c r="BP129" s="41">
        <f t="shared" si="136"/>
        <v>5.0850440698849999</v>
      </c>
      <c r="BQ129" s="39">
        <v>2010.2548010624223</v>
      </c>
      <c r="BR129" s="47">
        <v>7.5196954079315939</v>
      </c>
      <c r="BS129" s="44">
        <v>2.7825015745523647</v>
      </c>
      <c r="BT129" s="45">
        <v>24.374713793078602</v>
      </c>
      <c r="BU129" s="46">
        <v>7.9946926377859429</v>
      </c>
      <c r="BV129" s="45">
        <v>70.033507507004543</v>
      </c>
      <c r="BW129" s="393">
        <v>17661.92877167953</v>
      </c>
      <c r="BX129" s="295">
        <f t="shared" si="157"/>
        <v>0</v>
      </c>
      <c r="BY129" s="295">
        <f t="shared" si="137"/>
        <v>17661.92877167953</v>
      </c>
      <c r="BZ129" s="39">
        <v>3245.6653916723881</v>
      </c>
      <c r="CA129" s="41">
        <v>10.363401303197188</v>
      </c>
      <c r="CB129" s="39">
        <v>14416.263380007142</v>
      </c>
      <c r="CC129" s="47">
        <v>5.4416973533365063</v>
      </c>
      <c r="CD129" s="41">
        <f t="shared" si="138"/>
        <v>5.4416973533365063</v>
      </c>
      <c r="CE129" s="39">
        <v>2194.8164995281936</v>
      </c>
      <c r="CF129" s="47">
        <v>8.0471095307859262</v>
      </c>
    </row>
    <row r="130" spans="1:84" s="22" customFormat="1" ht="15" customHeight="1">
      <c r="A130" s="324" t="str">
        <f t="shared" si="150"/>
        <v xml:space="preserve">BNI - Efficient Product Rebates; Air Tanks for Load / No-Load Screw Compressors (10 – 40 hp); IND; Industrial </v>
      </c>
      <c r="B130" s="233" t="s">
        <v>91</v>
      </c>
      <c r="C130" s="15" t="s">
        <v>67</v>
      </c>
      <c r="D130" s="15" t="s">
        <v>68</v>
      </c>
      <c r="E130" s="37">
        <v>10</v>
      </c>
      <c r="F130" s="38">
        <v>9054.6346799999847</v>
      </c>
      <c r="G130" s="38">
        <v>1525.663262124081</v>
      </c>
      <c r="H130" s="39">
        <v>2000</v>
      </c>
      <c r="I130" s="40">
        <v>0.26666666666666666</v>
      </c>
      <c r="J130" s="39">
        <v>289.74830975999953</v>
      </c>
      <c r="K130" s="39">
        <v>823.0816430933329</v>
      </c>
      <c r="L130" s="39">
        <v>1466.6666666666665</v>
      </c>
      <c r="M130" s="39">
        <v>2289.7483097599993</v>
      </c>
      <c r="N130" s="39">
        <v>6306.2688364061451</v>
      </c>
      <c r="O130" s="41">
        <v>0.82</v>
      </c>
      <c r="P130" s="41">
        <v>2.6796968390640368</v>
      </c>
      <c r="Q130" s="261">
        <f t="shared" si="151"/>
        <v>2.6796968390640368</v>
      </c>
      <c r="R130" s="262">
        <f t="shared" si="132"/>
        <v>0</v>
      </c>
      <c r="S130" s="262">
        <f t="shared" si="152"/>
        <v>0</v>
      </c>
      <c r="T130" s="261">
        <f t="shared" si="153"/>
        <v>2.6796968390640368</v>
      </c>
      <c r="U130" s="267">
        <f t="shared" si="140"/>
        <v>0</v>
      </c>
      <c r="V130" s="42" t="s">
        <v>38</v>
      </c>
      <c r="W130" s="198" t="s">
        <v>38</v>
      </c>
      <c r="X130" s="198"/>
      <c r="Y130" s="333">
        <v>0</v>
      </c>
      <c r="Z130" s="335">
        <v>0</v>
      </c>
      <c r="AA130" s="288">
        <v>0</v>
      </c>
      <c r="AB130" s="288">
        <v>0</v>
      </c>
      <c r="AC130" s="288">
        <v>0</v>
      </c>
      <c r="AD130" s="288">
        <v>0</v>
      </c>
      <c r="AE130" s="288">
        <v>0</v>
      </c>
      <c r="AF130" s="288">
        <v>0</v>
      </c>
      <c r="AG130" s="288" t="s">
        <v>38</v>
      </c>
      <c r="AH130" s="288">
        <v>0</v>
      </c>
      <c r="AI130" s="288">
        <v>0</v>
      </c>
      <c r="AJ130" s="288">
        <v>0</v>
      </c>
      <c r="AK130" s="288">
        <f t="shared" si="154"/>
        <v>0</v>
      </c>
      <c r="AL130" s="451" t="s">
        <v>458</v>
      </c>
      <c r="AM130" s="181" t="s">
        <v>284</v>
      </c>
      <c r="AN130" s="181"/>
      <c r="AO130" s="459" t="s">
        <v>428</v>
      </c>
      <c r="AP130" s="43" t="s">
        <v>91</v>
      </c>
      <c r="AQ130" s="44">
        <v>41.073522216254268</v>
      </c>
      <c r="AR130" s="45">
        <v>243.7665951077997</v>
      </c>
      <c r="AS130" s="46">
        <v>41.073522216254268</v>
      </c>
      <c r="AT130" s="45">
        <v>243.7665951077997</v>
      </c>
      <c r="AU130" s="393">
        <v>169775.78184138896</v>
      </c>
      <c r="AV130" s="295">
        <f t="shared" si="155"/>
        <v>0</v>
      </c>
      <c r="AW130" s="295">
        <f t="shared" si="133"/>
        <v>169775.78184138896</v>
      </c>
      <c r="AX130" s="39">
        <v>63356.339182266653</v>
      </c>
      <c r="AY130" s="41">
        <v>32.831400272166171</v>
      </c>
      <c r="AZ130" s="39">
        <v>106419.44265912232</v>
      </c>
      <c r="BA130" s="47">
        <v>2.6796968390640372</v>
      </c>
      <c r="BB130" s="41">
        <f t="shared" si="134"/>
        <v>2.6796968390640372</v>
      </c>
      <c r="BC130" s="39">
        <v>27022.922881069426</v>
      </c>
      <c r="BD130" s="47">
        <v>6.2826579711080512</v>
      </c>
      <c r="BE130" s="46">
        <v>39.970853025125756</v>
      </c>
      <c r="BF130" s="45">
        <v>237.222381226252</v>
      </c>
      <c r="BG130" s="46">
        <v>81.044375241380024</v>
      </c>
      <c r="BH130" s="45">
        <v>480.9889763340517</v>
      </c>
      <c r="BI130" s="393">
        <v>177454.67635017898</v>
      </c>
      <c r="BJ130" s="295">
        <f t="shared" si="156"/>
        <v>0</v>
      </c>
      <c r="BK130" s="295">
        <f t="shared" si="135"/>
        <v>177454.67635017898</v>
      </c>
      <c r="BL130" s="39">
        <v>61655.460379831566</v>
      </c>
      <c r="BM130" s="41">
        <v>31.950000975774699</v>
      </c>
      <c r="BN130" s="39">
        <v>115799.21597034742</v>
      </c>
      <c r="BO130" s="47">
        <v>2.8781664309529198</v>
      </c>
      <c r="BP130" s="41">
        <f t="shared" si="136"/>
        <v>2.8781664309529198</v>
      </c>
      <c r="BQ130" s="39">
        <v>26297.459299974227</v>
      </c>
      <c r="BR130" s="47">
        <v>6.747977982433949</v>
      </c>
      <c r="BS130" s="44">
        <v>44.030130174932651</v>
      </c>
      <c r="BT130" s="45">
        <v>261.31372075631384</v>
      </c>
      <c r="BU130" s="46">
        <v>125.07450541631268</v>
      </c>
      <c r="BV130" s="45">
        <v>742.30269709036554</v>
      </c>
      <c r="BW130" s="393">
        <v>210705.61706160751</v>
      </c>
      <c r="BX130" s="295">
        <f t="shared" si="157"/>
        <v>0</v>
      </c>
      <c r="BY130" s="295">
        <f t="shared" si="137"/>
        <v>210705.61706160751</v>
      </c>
      <c r="BZ130" s="39">
        <v>67916.937995116619</v>
      </c>
      <c r="CA130" s="41">
        <v>35.194713036729318</v>
      </c>
      <c r="CB130" s="39">
        <v>142788.67906649091</v>
      </c>
      <c r="CC130" s="47">
        <v>3.1024015993883252</v>
      </c>
      <c r="CD130" s="41">
        <f t="shared" si="138"/>
        <v>3.1024015993883252</v>
      </c>
      <c r="CE130" s="39">
        <v>28968.122234469512</v>
      </c>
      <c r="CF130" s="47">
        <v>7.2737064334424275</v>
      </c>
    </row>
    <row r="131" spans="1:84" s="22" customFormat="1" ht="15" customHeight="1">
      <c r="A131" s="324" t="str">
        <f t="shared" si="150"/>
        <v>BNI - Efficient Product Rebates; Air Tanks for Load / No-Load Screw Compressors (10 – 40 hp); COM-Process; Other Commercial</v>
      </c>
      <c r="B131" s="233" t="s">
        <v>91</v>
      </c>
      <c r="C131" s="15" t="s">
        <v>87</v>
      </c>
      <c r="D131" s="15" t="s">
        <v>54</v>
      </c>
      <c r="E131" s="37">
        <v>10</v>
      </c>
      <c r="F131" s="38">
        <v>15249.911040000005</v>
      </c>
      <c r="G131" s="38">
        <v>2569.5381256826677</v>
      </c>
      <c r="H131" s="39">
        <v>2000</v>
      </c>
      <c r="I131" s="40">
        <v>0.26666666666666666</v>
      </c>
      <c r="J131" s="39">
        <v>487.99715328000013</v>
      </c>
      <c r="K131" s="39">
        <v>1021.3304866133335</v>
      </c>
      <c r="L131" s="39">
        <v>1466.6666666666665</v>
      </c>
      <c r="M131" s="39">
        <v>2487.99715328</v>
      </c>
      <c r="N131" s="39">
        <v>10621.084356052475</v>
      </c>
      <c r="O131" s="41">
        <v>0.82</v>
      </c>
      <c r="P131" s="41">
        <v>4.0927165520587838</v>
      </c>
      <c r="Q131" s="261">
        <f t="shared" si="151"/>
        <v>4.0927165520587838</v>
      </c>
      <c r="R131" s="262">
        <f t="shared" si="132"/>
        <v>0</v>
      </c>
      <c r="S131" s="262">
        <f t="shared" si="152"/>
        <v>0</v>
      </c>
      <c r="T131" s="261">
        <f t="shared" si="153"/>
        <v>4.0927165520587838</v>
      </c>
      <c r="U131" s="267">
        <f t="shared" si="140"/>
        <v>0</v>
      </c>
      <c r="V131" s="42" t="s">
        <v>38</v>
      </c>
      <c r="W131" s="198" t="s">
        <v>38</v>
      </c>
      <c r="X131" s="198"/>
      <c r="Y131" s="333">
        <v>0</v>
      </c>
      <c r="Z131" s="335">
        <v>0</v>
      </c>
      <c r="AA131" s="288">
        <v>0</v>
      </c>
      <c r="AB131" s="288">
        <v>0</v>
      </c>
      <c r="AC131" s="288">
        <v>0</v>
      </c>
      <c r="AD131" s="288">
        <v>0</v>
      </c>
      <c r="AE131" s="288">
        <v>0</v>
      </c>
      <c r="AF131" s="288">
        <v>0</v>
      </c>
      <c r="AG131" s="288" t="s">
        <v>38</v>
      </c>
      <c r="AH131" s="288">
        <v>0</v>
      </c>
      <c r="AI131" s="288">
        <v>0</v>
      </c>
      <c r="AJ131" s="288">
        <v>0</v>
      </c>
      <c r="AK131" s="288">
        <f t="shared" si="154"/>
        <v>0</v>
      </c>
      <c r="AL131" s="451" t="s">
        <v>458</v>
      </c>
      <c r="AM131" s="181" t="s">
        <v>284</v>
      </c>
      <c r="AN131" s="181"/>
      <c r="AO131" s="459" t="s">
        <v>428</v>
      </c>
      <c r="AP131" s="43" t="s">
        <v>91</v>
      </c>
      <c r="AQ131" s="44">
        <v>74.024966691086178</v>
      </c>
      <c r="AR131" s="45">
        <v>439.32959993660785</v>
      </c>
      <c r="AS131" s="46">
        <v>74.024966691086178</v>
      </c>
      <c r="AT131" s="45">
        <v>439.32959993660785</v>
      </c>
      <c r="AU131" s="393">
        <v>305979.27612812474</v>
      </c>
      <c r="AV131" s="295">
        <f t="shared" si="155"/>
        <v>0</v>
      </c>
      <c r="AW131" s="295">
        <f t="shared" si="133"/>
        <v>305979.27612812474</v>
      </c>
      <c r="AX131" s="39">
        <v>74761.902574026564</v>
      </c>
      <c r="AY131" s="41">
        <v>35.132520012440757</v>
      </c>
      <c r="AZ131" s="39">
        <v>231217.37355409819</v>
      </c>
      <c r="BA131" s="47">
        <v>4.0927165520587838</v>
      </c>
      <c r="BB131" s="41">
        <f t="shared" si="134"/>
        <v>4.0927165520587838</v>
      </c>
      <c r="BC131" s="39">
        <v>35881.913760258794</v>
      </c>
      <c r="BD131" s="47">
        <v>8.5273956727194893</v>
      </c>
      <c r="BE131" s="46">
        <v>72.725501103429949</v>
      </c>
      <c r="BF131" s="45">
        <v>431.61742224473807</v>
      </c>
      <c r="BG131" s="46">
        <v>146.75046779451611</v>
      </c>
      <c r="BH131" s="45">
        <v>870.94702218134591</v>
      </c>
      <c r="BI131" s="393">
        <v>322872.27527021588</v>
      </c>
      <c r="BJ131" s="295">
        <f t="shared" si="156"/>
        <v>0</v>
      </c>
      <c r="BK131" s="295">
        <f t="shared" si="135"/>
        <v>322872.27527021588</v>
      </c>
      <c r="BL131" s="39">
        <v>73449.50050205976</v>
      </c>
      <c r="BM131" s="41">
        <v>34.515788890435296</v>
      </c>
      <c r="BN131" s="39">
        <v>249422.77476815612</v>
      </c>
      <c r="BO131" s="47">
        <v>4.3958403129121555</v>
      </c>
      <c r="BP131" s="41">
        <f t="shared" si="136"/>
        <v>4.3958403129121555</v>
      </c>
      <c r="BQ131" s="39">
        <v>35252.027463311373</v>
      </c>
      <c r="BR131" s="47">
        <v>9.1589703771292559</v>
      </c>
      <c r="BS131" s="44">
        <v>81.615991250362157</v>
      </c>
      <c r="BT131" s="45">
        <v>484.38145111342533</v>
      </c>
      <c r="BU131" s="46">
        <v>228.3664590448783</v>
      </c>
      <c r="BV131" s="45">
        <v>1355.3284732947714</v>
      </c>
      <c r="BW131" s="393">
        <v>390572.26790333068</v>
      </c>
      <c r="BX131" s="295">
        <f t="shared" si="157"/>
        <v>0</v>
      </c>
      <c r="BY131" s="295">
        <f t="shared" si="137"/>
        <v>390572.26790333068</v>
      </c>
      <c r="BZ131" s="39">
        <v>82428.497560903779</v>
      </c>
      <c r="CA131" s="41">
        <v>38.735248040088848</v>
      </c>
      <c r="CB131" s="39">
        <v>308143.7703424269</v>
      </c>
      <c r="CC131" s="47">
        <v>4.73831598852993</v>
      </c>
      <c r="CD131" s="41">
        <f t="shared" si="138"/>
        <v>4.73831598852993</v>
      </c>
      <c r="CE131" s="39">
        <v>39561.489729872119</v>
      </c>
      <c r="CF131" s="47">
        <v>9.8725369183561629</v>
      </c>
    </row>
    <row r="132" spans="1:84" s="22" customFormat="1" ht="15" customHeight="1">
      <c r="A132" s="324" t="str">
        <f t="shared" si="150"/>
        <v>BNI - Efficient Product Rebates; Air Tanks for Load / No-Load Screw Compressors (10 – 40 hp); COM-Process; School</v>
      </c>
      <c r="B132" s="233" t="s">
        <v>91</v>
      </c>
      <c r="C132" s="15" t="s">
        <v>87</v>
      </c>
      <c r="D132" s="15" t="s">
        <v>57</v>
      </c>
      <c r="E132" s="37">
        <v>10</v>
      </c>
      <c r="F132" s="38">
        <v>3621.853872000002</v>
      </c>
      <c r="G132" s="38">
        <v>610.26530484963371</v>
      </c>
      <c r="H132" s="39">
        <v>2000</v>
      </c>
      <c r="I132" s="40">
        <v>0.26666666666666666</v>
      </c>
      <c r="J132" s="39">
        <v>115.89932390400007</v>
      </c>
      <c r="K132" s="39">
        <v>649.23265723733346</v>
      </c>
      <c r="L132" s="39">
        <v>1466.6666666666665</v>
      </c>
      <c r="M132" s="39">
        <v>2115.8993239040001</v>
      </c>
      <c r="N132" s="39">
        <v>2522.5075345624637</v>
      </c>
      <c r="O132" s="41">
        <v>0.82</v>
      </c>
      <c r="P132" s="41">
        <v>1.1780038582976915</v>
      </c>
      <c r="Q132" s="261">
        <f t="shared" si="151"/>
        <v>1.1780038582976915</v>
      </c>
      <c r="R132" s="262">
        <f t="shared" si="132"/>
        <v>0</v>
      </c>
      <c r="S132" s="262">
        <f t="shared" si="152"/>
        <v>0</v>
      </c>
      <c r="T132" s="261">
        <f t="shared" si="153"/>
        <v>1.1780038582976915</v>
      </c>
      <c r="U132" s="267">
        <f t="shared" si="140"/>
        <v>0</v>
      </c>
      <c r="V132" s="42" t="s">
        <v>38</v>
      </c>
      <c r="W132" s="198" t="s">
        <v>38</v>
      </c>
      <c r="X132" s="198"/>
      <c r="Y132" s="333">
        <v>0</v>
      </c>
      <c r="Z132" s="335">
        <v>0</v>
      </c>
      <c r="AA132" s="288">
        <v>0</v>
      </c>
      <c r="AB132" s="288">
        <v>0</v>
      </c>
      <c r="AC132" s="288">
        <v>0</v>
      </c>
      <c r="AD132" s="288">
        <v>0</v>
      </c>
      <c r="AE132" s="288">
        <v>0</v>
      </c>
      <c r="AF132" s="288">
        <v>0</v>
      </c>
      <c r="AG132" s="288" t="s">
        <v>38</v>
      </c>
      <c r="AH132" s="288">
        <v>0</v>
      </c>
      <c r="AI132" s="288">
        <v>0</v>
      </c>
      <c r="AJ132" s="288">
        <v>0</v>
      </c>
      <c r="AK132" s="288">
        <f t="shared" si="154"/>
        <v>0</v>
      </c>
      <c r="AL132" s="451" t="s">
        <v>458</v>
      </c>
      <c r="AM132" s="181" t="s">
        <v>284</v>
      </c>
      <c r="AN132" s="181"/>
      <c r="AO132" s="459" t="s">
        <v>428</v>
      </c>
      <c r="AP132" s="43" t="s">
        <v>91</v>
      </c>
      <c r="AQ132" s="44">
        <v>26.449658337560663</v>
      </c>
      <c r="AR132" s="45">
        <v>156.97565747503057</v>
      </c>
      <c r="AS132" s="46">
        <v>26.449658337560663</v>
      </c>
      <c r="AT132" s="45">
        <v>156.97565747503057</v>
      </c>
      <c r="AU132" s="393">
        <v>109328.61808281725</v>
      </c>
      <c r="AV132" s="295">
        <f t="shared" si="155"/>
        <v>0</v>
      </c>
      <c r="AW132" s="295">
        <f t="shared" si="133"/>
        <v>109328.61808281725</v>
      </c>
      <c r="AX132" s="39">
        <v>92808.370119267463</v>
      </c>
      <c r="AY132" s="41">
        <v>52.855177319005314</v>
      </c>
      <c r="AZ132" s="39">
        <v>16520.247963549788</v>
      </c>
      <c r="BA132" s="47">
        <v>1.1780038582976915</v>
      </c>
      <c r="BB132" s="41">
        <f t="shared" si="134"/>
        <v>1.1780038582976915</v>
      </c>
      <c r="BC132" s="39">
        <v>34315.307219568262</v>
      </c>
      <c r="BD132" s="47">
        <v>3.1860014361308919</v>
      </c>
      <c r="BE132" s="46">
        <v>27.780815534927147</v>
      </c>
      <c r="BF132" s="45">
        <v>164.87592119838021</v>
      </c>
      <c r="BG132" s="46">
        <v>54.230473872487813</v>
      </c>
      <c r="BH132" s="45">
        <v>321.85157867341081</v>
      </c>
      <c r="BI132" s="393">
        <v>123335.76234651828</v>
      </c>
      <c r="BJ132" s="295">
        <f t="shared" si="156"/>
        <v>0</v>
      </c>
      <c r="BK132" s="295">
        <f t="shared" si="135"/>
        <v>123335.76234651828</v>
      </c>
      <c r="BL132" s="39">
        <v>97479.225533859921</v>
      </c>
      <c r="BM132" s="41">
        <v>55.515270270238673</v>
      </c>
      <c r="BN132" s="39">
        <v>25856.536812658363</v>
      </c>
      <c r="BO132" s="47">
        <v>1.2652517669385561</v>
      </c>
      <c r="BP132" s="41">
        <f t="shared" si="136"/>
        <v>1.2652517669385561</v>
      </c>
      <c r="BQ132" s="39">
        <v>36042.326434795788</v>
      </c>
      <c r="BR132" s="47">
        <v>3.4219700709288325</v>
      </c>
      <c r="BS132" s="44">
        <v>33.598833020428714</v>
      </c>
      <c r="BT132" s="45">
        <v>199.40518083312153</v>
      </c>
      <c r="BU132" s="46">
        <v>87.829306892916534</v>
      </c>
      <c r="BV132" s="45">
        <v>521.25675950653238</v>
      </c>
      <c r="BW132" s="393">
        <v>160786.77977994818</v>
      </c>
      <c r="BX132" s="295">
        <f t="shared" si="157"/>
        <v>0</v>
      </c>
      <c r="BY132" s="295">
        <f t="shared" si="137"/>
        <v>160786.77977994818</v>
      </c>
      <c r="BZ132" s="39">
        <v>117893.88319270806</v>
      </c>
      <c r="CA132" s="41">
        <v>67.141596097085596</v>
      </c>
      <c r="CB132" s="39">
        <v>42892.896587240117</v>
      </c>
      <c r="CC132" s="47">
        <v>1.3638263107944952</v>
      </c>
      <c r="CD132" s="41">
        <f t="shared" si="138"/>
        <v>1.3638263107944952</v>
      </c>
      <c r="CE132" s="39">
        <v>43590.516845266655</v>
      </c>
      <c r="CF132" s="47">
        <v>3.6885724560388522</v>
      </c>
    </row>
    <row r="133" spans="1:84" s="22" customFormat="1" ht="15" customHeight="1">
      <c r="A133" s="324" t="str">
        <f t="shared" ref="A133:A143" si="158">CONCATENATE($B$4,"; ",B133,"; ",C133,"; ",D133)</f>
        <v>BNI - Efficient Product Rebates; Integrated Dual Enthalpy Economizer Controls; COM-HVAC; Office</v>
      </c>
      <c r="B133" s="36" t="s">
        <v>92</v>
      </c>
      <c r="C133" s="15" t="s">
        <v>93</v>
      </c>
      <c r="D133" s="15" t="s">
        <v>64</v>
      </c>
      <c r="E133" s="37">
        <v>7</v>
      </c>
      <c r="F133" s="38">
        <v>2667.9757500000001</v>
      </c>
      <c r="G133" s="38">
        <v>1819.0642310059482</v>
      </c>
      <c r="H133" s="39">
        <v>800</v>
      </c>
      <c r="I133" s="40">
        <v>0.3125</v>
      </c>
      <c r="J133" s="39">
        <v>85.375224000000003</v>
      </c>
      <c r="K133" s="39">
        <v>335.375224</v>
      </c>
      <c r="L133" s="39">
        <v>550</v>
      </c>
      <c r="M133" s="39">
        <v>885.375224</v>
      </c>
      <c r="N133" s="39">
        <v>2314.6606751422537</v>
      </c>
      <c r="O133" s="41">
        <v>0.82</v>
      </c>
      <c r="P133" s="41">
        <v>2.5601364763393386</v>
      </c>
      <c r="Q133" s="261">
        <f t="shared" ref="Q133:Q143" si="159">N133*O133/(O133*H133+J133)</f>
        <v>2.5601364763393386</v>
      </c>
      <c r="R133" s="262">
        <f t="shared" si="132"/>
        <v>0</v>
      </c>
      <c r="S133" s="262">
        <f t="shared" ref="S133:S143" si="160">-PV(RDR,E133,Z133)</f>
        <v>0</v>
      </c>
      <c r="T133" s="261">
        <f t="shared" ref="T133:T143" si="161">(N133+SUM(R133:S133))*O133/(O133*H133+J133)</f>
        <v>2.5601364763393386</v>
      </c>
      <c r="U133" s="267">
        <f t="shared" si="140"/>
        <v>0</v>
      </c>
      <c r="V133" s="42" t="s">
        <v>38</v>
      </c>
      <c r="W133" s="198" t="s">
        <v>38</v>
      </c>
      <c r="X133" s="198"/>
      <c r="Y133" s="333">
        <v>0</v>
      </c>
      <c r="Z133" s="335">
        <v>0</v>
      </c>
      <c r="AA133" s="313">
        <f>Z133*0.082</f>
        <v>0</v>
      </c>
      <c r="AB133" s="313">
        <f t="shared" ref="AB133:AB143" si="162">Z133*0</f>
        <v>0</v>
      </c>
      <c r="AC133" s="313">
        <f>Z133*0</f>
        <v>0</v>
      </c>
      <c r="AD133" s="313">
        <f>-Z133*0.034</f>
        <v>0</v>
      </c>
      <c r="AE133" s="313">
        <f>Z133*-0.003</f>
        <v>0</v>
      </c>
      <c r="AF133" s="313">
        <f>Z133*0.698</f>
        <v>0</v>
      </c>
      <c r="AG133" s="313" t="s">
        <v>38</v>
      </c>
      <c r="AH133" s="313">
        <f>Z133*0.189</f>
        <v>0</v>
      </c>
      <c r="AI133" s="313">
        <f>Z133*0</f>
        <v>0</v>
      </c>
      <c r="AJ133" s="313">
        <f>Z133*0</f>
        <v>0</v>
      </c>
      <c r="AK133" s="313">
        <f t="shared" ref="AK133:AK143" si="163">SUM(AA133:AJ133)</f>
        <v>0</v>
      </c>
      <c r="AL133" s="246" t="s">
        <v>460</v>
      </c>
      <c r="AM133" s="234" t="s">
        <v>330</v>
      </c>
      <c r="AN133" s="102" t="s">
        <v>38</v>
      </c>
      <c r="AO133" s="241"/>
      <c r="AP133" s="48" t="s">
        <v>92</v>
      </c>
      <c r="AQ133" s="44">
        <v>296.37075047339749</v>
      </c>
      <c r="AR133" s="45">
        <v>434.67952466695493</v>
      </c>
      <c r="AS133" s="46">
        <v>296.37075047339749</v>
      </c>
      <c r="AT133" s="45">
        <v>434.67952466695493</v>
      </c>
      <c r="AU133" s="393">
        <v>377115.72229849838</v>
      </c>
      <c r="AV133" s="295">
        <f t="shared" ref="AV133:AV143" si="164">SUM(R133:S133)*O133*AY133</f>
        <v>0</v>
      </c>
      <c r="AW133" s="295">
        <f t="shared" si="133"/>
        <v>377115.72229849838</v>
      </c>
      <c r="AX133" s="39">
        <v>147302.97614357053</v>
      </c>
      <c r="AY133" s="41">
        <v>198.68883039928852</v>
      </c>
      <c r="AZ133" s="39">
        <v>229812.74615492785</v>
      </c>
      <c r="BA133" s="47">
        <v>2.5601364763393391</v>
      </c>
      <c r="BB133" s="41">
        <f t="shared" si="134"/>
        <v>2.5601364763393391</v>
      </c>
      <c r="BC133" s="39">
        <v>66635.311001459399</v>
      </c>
      <c r="BD133" s="47">
        <v>5.6593976471459566</v>
      </c>
      <c r="BE133" s="46">
        <v>299.17068799130271</v>
      </c>
      <c r="BF133" s="45">
        <v>438.78612259349183</v>
      </c>
      <c r="BG133" s="46">
        <v>595.54143846470015</v>
      </c>
      <c r="BH133" s="45">
        <v>873.46564726044676</v>
      </c>
      <c r="BI133" s="393">
        <v>445293.64619513712</v>
      </c>
      <c r="BJ133" s="295">
        <f t="shared" ref="BJ133:BJ143" si="165">SUM(R133:S133)*O133*BM133</f>
        <v>0</v>
      </c>
      <c r="BK133" s="295">
        <f t="shared" si="135"/>
        <v>445293.64619513712</v>
      </c>
      <c r="BL133" s="39">
        <v>148694.60851196278</v>
      </c>
      <c r="BM133" s="41">
        <v>200.5659262656487</v>
      </c>
      <c r="BN133" s="39">
        <v>296599.03768317436</v>
      </c>
      <c r="BO133" s="47">
        <v>2.9946858911115957</v>
      </c>
      <c r="BP133" s="41">
        <f t="shared" si="136"/>
        <v>2.9946858911115957</v>
      </c>
      <c r="BQ133" s="39">
        <v>67264.842448109412</v>
      </c>
      <c r="BR133" s="47">
        <v>6.6200057859148798</v>
      </c>
      <c r="BS133" s="44">
        <v>345.77438141039352</v>
      </c>
      <c r="BT133" s="45">
        <v>507.13858743955706</v>
      </c>
      <c r="BU133" s="46">
        <v>941.31581987509378</v>
      </c>
      <c r="BV133" s="45">
        <v>1380.6042347000039</v>
      </c>
      <c r="BW133" s="393">
        <v>594092.33372965548</v>
      </c>
      <c r="BX133" s="295">
        <f t="shared" ref="BX133:BX143" si="166">SUM(R133:S133)*O133*CA133</f>
        <v>0</v>
      </c>
      <c r="BY133" s="295">
        <f t="shared" si="137"/>
        <v>594092.33372965548</v>
      </c>
      <c r="BZ133" s="39">
        <v>171857.69977164094</v>
      </c>
      <c r="CA133" s="41">
        <v>231.80933784703998</v>
      </c>
      <c r="CB133" s="39">
        <v>422234.63395801454</v>
      </c>
      <c r="CC133" s="47">
        <v>3.456885170225521</v>
      </c>
      <c r="CD133" s="41">
        <f t="shared" si="138"/>
        <v>3.456885170225521</v>
      </c>
      <c r="CE133" s="39">
        <v>77743.108605742716</v>
      </c>
      <c r="CF133" s="47">
        <v>7.6417362822789308</v>
      </c>
    </row>
    <row r="134" spans="1:84" s="22" customFormat="1" ht="15" customHeight="1">
      <c r="A134" s="324" t="str">
        <f t="shared" si="158"/>
        <v>BNI - Efficient Product Rebates; Integrated Dual Enthalpy Economizer Controls; COM-HVAC; Other Commercial</v>
      </c>
      <c r="B134" s="36" t="s">
        <v>92</v>
      </c>
      <c r="C134" s="15" t="s">
        <v>93</v>
      </c>
      <c r="D134" s="15" t="s">
        <v>54</v>
      </c>
      <c r="E134" s="37">
        <v>7</v>
      </c>
      <c r="F134" s="38">
        <v>2667.9757500000001</v>
      </c>
      <c r="G134" s="38">
        <v>1819.0642310059482</v>
      </c>
      <c r="H134" s="39">
        <v>800</v>
      </c>
      <c r="I134" s="40">
        <v>0.3125</v>
      </c>
      <c r="J134" s="39">
        <v>85.375224000000003</v>
      </c>
      <c r="K134" s="39">
        <v>335.375224</v>
      </c>
      <c r="L134" s="39">
        <v>550</v>
      </c>
      <c r="M134" s="39">
        <v>885.375224</v>
      </c>
      <c r="N134" s="39">
        <v>2314.6606751422537</v>
      </c>
      <c r="O134" s="41">
        <v>0.82</v>
      </c>
      <c r="P134" s="41">
        <v>2.5601364763393386</v>
      </c>
      <c r="Q134" s="261">
        <f t="shared" si="159"/>
        <v>2.5601364763393386</v>
      </c>
      <c r="R134" s="262">
        <f t="shared" ref="R134:R143" si="167">Y134</f>
        <v>0</v>
      </c>
      <c r="S134" s="262">
        <f t="shared" si="160"/>
        <v>0</v>
      </c>
      <c r="T134" s="261">
        <f t="shared" si="161"/>
        <v>2.5601364763393386</v>
      </c>
      <c r="U134" s="267">
        <f t="shared" si="140"/>
        <v>0</v>
      </c>
      <c r="V134" s="42" t="s">
        <v>38</v>
      </c>
      <c r="W134" s="198" t="s">
        <v>38</v>
      </c>
      <c r="X134" s="198"/>
      <c r="Y134" s="333">
        <v>0</v>
      </c>
      <c r="Z134" s="335">
        <v>0</v>
      </c>
      <c r="AA134" s="313">
        <f>Z134*0.082</f>
        <v>0</v>
      </c>
      <c r="AB134" s="313">
        <f t="shared" si="162"/>
        <v>0</v>
      </c>
      <c r="AC134" s="313">
        <f>Z134*0</f>
        <v>0</v>
      </c>
      <c r="AD134" s="313">
        <f>-Z134*0.034</f>
        <v>0</v>
      </c>
      <c r="AE134" s="313">
        <f>Z134*-0.003</f>
        <v>0</v>
      </c>
      <c r="AF134" s="313">
        <f>Z134*0.698</f>
        <v>0</v>
      </c>
      <c r="AG134" s="313" t="s">
        <v>38</v>
      </c>
      <c r="AH134" s="313">
        <f>Z134*0.189</f>
        <v>0</v>
      </c>
      <c r="AI134" s="313">
        <f>Z134*0</f>
        <v>0</v>
      </c>
      <c r="AJ134" s="313">
        <f>Z134*0</f>
        <v>0</v>
      </c>
      <c r="AK134" s="313">
        <f t="shared" si="163"/>
        <v>0</v>
      </c>
      <c r="AL134" s="246" t="s">
        <v>460</v>
      </c>
      <c r="AM134" s="234" t="s">
        <v>330</v>
      </c>
      <c r="AN134" s="102" t="s">
        <v>38</v>
      </c>
      <c r="AO134" s="241"/>
      <c r="AP134" s="43" t="s">
        <v>92</v>
      </c>
      <c r="AQ134" s="44">
        <v>402.03786098468493</v>
      </c>
      <c r="AR134" s="45">
        <v>589.65881765254892</v>
      </c>
      <c r="AS134" s="46">
        <v>402.03786098468493</v>
      </c>
      <c r="AT134" s="45">
        <v>589.65881765254892</v>
      </c>
      <c r="AU134" s="393">
        <v>511571.39526895317</v>
      </c>
      <c r="AV134" s="295">
        <f t="shared" si="164"/>
        <v>0</v>
      </c>
      <c r="AW134" s="295">
        <f t="shared" ref="AW134:AW192" si="168">AU134+AV134</f>
        <v>511571.39526895317</v>
      </c>
      <c r="AX134" s="39">
        <v>199821.92355636976</v>
      </c>
      <c r="AY134" s="41">
        <v>269.52873131941857</v>
      </c>
      <c r="AZ134" s="39">
        <v>311749.47171258344</v>
      </c>
      <c r="BA134" s="47">
        <v>2.5601364763393386</v>
      </c>
      <c r="BB134" s="41">
        <f t="shared" ref="BB134:BB143" si="169">SUM(AU134:AV134)/AX134</f>
        <v>2.5601364763393386</v>
      </c>
      <c r="BC134" s="39">
        <v>90393.258640685817</v>
      </c>
      <c r="BD134" s="47">
        <v>5.6593976471459557</v>
      </c>
      <c r="BE134" s="46">
        <v>405.83607956324346</v>
      </c>
      <c r="BF134" s="45">
        <v>595.22956929950408</v>
      </c>
      <c r="BG134" s="46">
        <v>807.87394054792844</v>
      </c>
      <c r="BH134" s="45">
        <v>1184.888386952053</v>
      </c>
      <c r="BI134" s="393">
        <v>604057.26523418666</v>
      </c>
      <c r="BJ134" s="295">
        <f t="shared" si="165"/>
        <v>0</v>
      </c>
      <c r="BK134" s="295">
        <f t="shared" ref="BK134:BK144" si="170">BI134+BJ134</f>
        <v>604057.26523418666</v>
      </c>
      <c r="BL134" s="39">
        <v>201709.72422418802</v>
      </c>
      <c r="BM134" s="41">
        <v>272.07508113892408</v>
      </c>
      <c r="BN134" s="39">
        <v>402347.54100999865</v>
      </c>
      <c r="BO134" s="47">
        <v>2.9946858911115957</v>
      </c>
      <c r="BP134" s="41">
        <f t="shared" ref="BP134:BP191" si="171">SUM(BI134:BJ134)/BL134</f>
        <v>2.9946858911115957</v>
      </c>
      <c r="BQ134" s="39">
        <v>91247.241281784838</v>
      </c>
      <c r="BR134" s="47">
        <v>6.6200057859148798</v>
      </c>
      <c r="BS134" s="44">
        <v>469.0557096592272</v>
      </c>
      <c r="BT134" s="45">
        <v>687.95221050430678</v>
      </c>
      <c r="BU134" s="46">
        <v>1276.9296502071556</v>
      </c>
      <c r="BV134" s="45">
        <v>1872.8405974563598</v>
      </c>
      <c r="BW134" s="393">
        <v>805908.17649364984</v>
      </c>
      <c r="BX134" s="295">
        <f t="shared" si="166"/>
        <v>0</v>
      </c>
      <c r="BY134" s="295">
        <f t="shared" ref="BY134:BY144" si="172">BW134+BX134</f>
        <v>805908.17649364984</v>
      </c>
      <c r="BZ134" s="39">
        <v>233131.31238347554</v>
      </c>
      <c r="CA134" s="41">
        <v>314.45792202987826</v>
      </c>
      <c r="CB134" s="39">
        <v>572776.86411017436</v>
      </c>
      <c r="CC134" s="47">
        <v>3.4568851702255206</v>
      </c>
      <c r="CD134" s="41">
        <f t="shared" ref="CD134:CD143" si="173">SUM(BW134:BX134)/BZ134</f>
        <v>3.4568851702255206</v>
      </c>
      <c r="CE134" s="39">
        <v>105461.39603934495</v>
      </c>
      <c r="CF134" s="47">
        <v>7.6417362822789308</v>
      </c>
    </row>
    <row r="135" spans="1:84" s="22" customFormat="1" ht="15" customHeight="1">
      <c r="A135" s="324" t="str">
        <f t="shared" si="158"/>
        <v>BNI - Efficient Product Rebates; Integrated Dual Enthalpy Economizer Controls; COM-HVAC; Retail</v>
      </c>
      <c r="B135" s="36" t="s">
        <v>92</v>
      </c>
      <c r="C135" s="15" t="s">
        <v>93</v>
      </c>
      <c r="D135" s="15" t="s">
        <v>28</v>
      </c>
      <c r="E135" s="37">
        <v>7</v>
      </c>
      <c r="F135" s="38">
        <v>2667.9757500000001</v>
      </c>
      <c r="G135" s="38">
        <v>312.13552939794562</v>
      </c>
      <c r="H135" s="39">
        <v>800</v>
      </c>
      <c r="I135" s="40">
        <v>0.3125</v>
      </c>
      <c r="J135" s="39">
        <v>85.375224000000003</v>
      </c>
      <c r="K135" s="39">
        <v>335.375224</v>
      </c>
      <c r="L135" s="39">
        <v>550</v>
      </c>
      <c r="M135" s="39">
        <v>885.375224</v>
      </c>
      <c r="N135" s="39">
        <v>1184.580224973555</v>
      </c>
      <c r="O135" s="41">
        <v>0.82</v>
      </c>
      <c r="P135" s="41">
        <v>1.3102080471983981</v>
      </c>
      <c r="Q135" s="261">
        <f t="shared" si="159"/>
        <v>1.3102080471983981</v>
      </c>
      <c r="R135" s="262">
        <f t="shared" si="167"/>
        <v>0</v>
      </c>
      <c r="S135" s="262">
        <f t="shared" si="160"/>
        <v>0</v>
      </c>
      <c r="T135" s="261">
        <f t="shared" si="161"/>
        <v>1.3102080471983981</v>
      </c>
      <c r="U135" s="267">
        <f t="shared" si="140"/>
        <v>0</v>
      </c>
      <c r="V135" s="42" t="s">
        <v>38</v>
      </c>
      <c r="W135" s="198" t="s">
        <v>38</v>
      </c>
      <c r="X135" s="198"/>
      <c r="Y135" s="333">
        <v>0</v>
      </c>
      <c r="Z135" s="335">
        <v>0</v>
      </c>
      <c r="AA135" s="313">
        <f>Z135*0.082</f>
        <v>0</v>
      </c>
      <c r="AB135" s="313">
        <f t="shared" si="162"/>
        <v>0</v>
      </c>
      <c r="AC135" s="313">
        <f>Z135*0</f>
        <v>0</v>
      </c>
      <c r="AD135" s="313">
        <f>-Z135*0.034</f>
        <v>0</v>
      </c>
      <c r="AE135" s="313">
        <f>Z135*-0.003</f>
        <v>0</v>
      </c>
      <c r="AF135" s="313">
        <f>Z135*0.698</f>
        <v>0</v>
      </c>
      <c r="AG135" s="313" t="s">
        <v>38</v>
      </c>
      <c r="AH135" s="313">
        <f>Z135*0.189</f>
        <v>0</v>
      </c>
      <c r="AI135" s="313">
        <f>Z135*0</f>
        <v>0</v>
      </c>
      <c r="AJ135" s="313">
        <f>Z135*0</f>
        <v>0</v>
      </c>
      <c r="AK135" s="313">
        <f t="shared" si="163"/>
        <v>0</v>
      </c>
      <c r="AL135" s="246" t="s">
        <v>460</v>
      </c>
      <c r="AM135" s="234" t="s">
        <v>330</v>
      </c>
      <c r="AN135" s="102" t="s">
        <v>38</v>
      </c>
      <c r="AO135" s="241"/>
      <c r="AP135" s="43" t="s">
        <v>92</v>
      </c>
      <c r="AQ135" s="44">
        <v>98.701449179965479</v>
      </c>
      <c r="AR135" s="45">
        <v>843.64978703298641</v>
      </c>
      <c r="AS135" s="46">
        <v>98.701449179965479</v>
      </c>
      <c r="AT135" s="45">
        <v>843.64978703298641</v>
      </c>
      <c r="AU135" s="393">
        <v>374580.18669113721</v>
      </c>
      <c r="AV135" s="295">
        <f t="shared" si="164"/>
        <v>0</v>
      </c>
      <c r="AW135" s="295">
        <f t="shared" si="168"/>
        <v>374580.18669113721</v>
      </c>
      <c r="AX135" s="39">
        <v>285893.66970543144</v>
      </c>
      <c r="AY135" s="41">
        <v>385.62614510224239</v>
      </c>
      <c r="AZ135" s="39">
        <v>88686.516985705763</v>
      </c>
      <c r="BA135" s="47">
        <v>1.3102080471983983</v>
      </c>
      <c r="BB135" s="41">
        <f t="shared" si="169"/>
        <v>1.3102080471983983</v>
      </c>
      <c r="BC135" s="39">
        <v>129329.45479392106</v>
      </c>
      <c r="BD135" s="47">
        <v>2.8963254139438606</v>
      </c>
      <c r="BE135" s="46">
        <v>99.63392274623061</v>
      </c>
      <c r="BF135" s="45">
        <v>851.62009681191466</v>
      </c>
      <c r="BG135" s="46">
        <v>198.33537192619607</v>
      </c>
      <c r="BH135" s="45">
        <v>1695.269883844901</v>
      </c>
      <c r="BI135" s="393">
        <v>411947.86505545949</v>
      </c>
      <c r="BJ135" s="295">
        <f t="shared" si="165"/>
        <v>0</v>
      </c>
      <c r="BK135" s="295">
        <f t="shared" si="170"/>
        <v>411947.86505545949</v>
      </c>
      <c r="BL135" s="39">
        <v>288594.62589176639</v>
      </c>
      <c r="BM135" s="41">
        <v>389.26931538754309</v>
      </c>
      <c r="BN135" s="39">
        <v>123353.2391636931</v>
      </c>
      <c r="BO135" s="47">
        <v>1.4274273603762639</v>
      </c>
      <c r="BP135" s="41">
        <f t="shared" si="171"/>
        <v>1.4274273603762639</v>
      </c>
      <c r="BQ135" s="39">
        <v>130551.28384442392</v>
      </c>
      <c r="BR135" s="47">
        <v>3.155448594028166</v>
      </c>
      <c r="BS135" s="44">
        <v>115.15452344739856</v>
      </c>
      <c r="BT135" s="45">
        <v>984.28229767068569</v>
      </c>
      <c r="BU135" s="46">
        <v>313.48989537359461</v>
      </c>
      <c r="BV135" s="45">
        <v>2679.5521815155867</v>
      </c>
      <c r="BW135" s="393">
        <v>519590.81009928492</v>
      </c>
      <c r="BX135" s="295">
        <f t="shared" si="166"/>
        <v>0</v>
      </c>
      <c r="BY135" s="295">
        <f t="shared" si="172"/>
        <v>519590.81009928492</v>
      </c>
      <c r="BZ135" s="39">
        <v>333550.8198215944</v>
      </c>
      <c r="CA135" s="41">
        <v>449.90823677915949</v>
      </c>
      <c r="CB135" s="39">
        <v>186039.99027769052</v>
      </c>
      <c r="CC135" s="47">
        <v>1.5577560576142411</v>
      </c>
      <c r="CD135" s="41">
        <f t="shared" si="173"/>
        <v>1.5577560576142411</v>
      </c>
      <c r="CE135" s="39">
        <v>150888.07568925567</v>
      </c>
      <c r="CF135" s="47">
        <v>3.4435511734495767</v>
      </c>
    </row>
    <row r="136" spans="1:84" s="22" customFormat="1" ht="15" customHeight="1">
      <c r="A136" s="324" t="str">
        <f t="shared" si="158"/>
        <v>BNI - Efficient Product Rebates; Integrated Dual Enthalpy Economizer Controls; COM-HVAC; School</v>
      </c>
      <c r="B136" s="36" t="s">
        <v>92</v>
      </c>
      <c r="C136" s="15" t="s">
        <v>93</v>
      </c>
      <c r="D136" s="15" t="s">
        <v>57</v>
      </c>
      <c r="E136" s="37">
        <v>7</v>
      </c>
      <c r="F136" s="38">
        <v>2667.9757500000001</v>
      </c>
      <c r="G136" s="38">
        <v>233.89192675250649</v>
      </c>
      <c r="H136" s="39">
        <v>800</v>
      </c>
      <c r="I136" s="40">
        <v>0.3125</v>
      </c>
      <c r="J136" s="39">
        <v>85.375224000000003</v>
      </c>
      <c r="K136" s="39">
        <v>335.375224</v>
      </c>
      <c r="L136" s="39">
        <v>550</v>
      </c>
      <c r="M136" s="39">
        <v>885.375224</v>
      </c>
      <c r="N136" s="39">
        <v>1125.9035499550048</v>
      </c>
      <c r="O136" s="41">
        <v>0.82</v>
      </c>
      <c r="P136" s="41">
        <v>1.245308557766295</v>
      </c>
      <c r="Q136" s="261">
        <f t="shared" si="159"/>
        <v>1.245308557766295</v>
      </c>
      <c r="R136" s="262">
        <f t="shared" si="167"/>
        <v>0</v>
      </c>
      <c r="S136" s="262">
        <f t="shared" si="160"/>
        <v>0</v>
      </c>
      <c r="T136" s="261">
        <f t="shared" si="161"/>
        <v>1.245308557766295</v>
      </c>
      <c r="U136" s="267">
        <f t="shared" si="140"/>
        <v>0</v>
      </c>
      <c r="V136" s="42" t="s">
        <v>38</v>
      </c>
      <c r="W136" s="198" t="s">
        <v>38</v>
      </c>
      <c r="X136" s="198"/>
      <c r="Y136" s="333">
        <v>0</v>
      </c>
      <c r="Z136" s="335">
        <v>0</v>
      </c>
      <c r="AA136" s="313">
        <f>Z136*0.082</f>
        <v>0</v>
      </c>
      <c r="AB136" s="313">
        <f t="shared" si="162"/>
        <v>0</v>
      </c>
      <c r="AC136" s="313">
        <f>Z136*0</f>
        <v>0</v>
      </c>
      <c r="AD136" s="313">
        <f>-Z136*0.034</f>
        <v>0</v>
      </c>
      <c r="AE136" s="313">
        <f>Z136*-0.003</f>
        <v>0</v>
      </c>
      <c r="AF136" s="313">
        <f>Z136*0.698</f>
        <v>0</v>
      </c>
      <c r="AG136" s="313" t="s">
        <v>38</v>
      </c>
      <c r="AH136" s="313">
        <f>Z136*0.189</f>
        <v>0</v>
      </c>
      <c r="AI136" s="313">
        <f>Z136*0</f>
        <v>0</v>
      </c>
      <c r="AJ136" s="313">
        <f>Z136*0</f>
        <v>0</v>
      </c>
      <c r="AK136" s="313">
        <f t="shared" si="163"/>
        <v>0</v>
      </c>
      <c r="AL136" s="246" t="s">
        <v>460</v>
      </c>
      <c r="AM136" s="234" t="s">
        <v>330</v>
      </c>
      <c r="AN136" s="102" t="s">
        <v>38</v>
      </c>
      <c r="AO136" s="241"/>
      <c r="AP136" s="43" t="s">
        <v>92</v>
      </c>
      <c r="AQ136" s="44">
        <v>73.718071912531641</v>
      </c>
      <c r="AR136" s="45">
        <v>840.892761585166</v>
      </c>
      <c r="AS136" s="46">
        <v>73.718071912531641</v>
      </c>
      <c r="AT136" s="45">
        <v>840.892761585166</v>
      </c>
      <c r="AU136" s="393">
        <v>354862.35037938622</v>
      </c>
      <c r="AV136" s="295">
        <f t="shared" si="164"/>
        <v>0</v>
      </c>
      <c r="AW136" s="295">
        <f t="shared" si="168"/>
        <v>354862.35037938622</v>
      </c>
      <c r="AX136" s="39">
        <v>284959.37666717835</v>
      </c>
      <c r="AY136" s="41">
        <v>384.36592894177744</v>
      </c>
      <c r="AZ136" s="39">
        <v>69902.973712207866</v>
      </c>
      <c r="BA136" s="47">
        <v>1.2453085577662948</v>
      </c>
      <c r="BB136" s="41">
        <f t="shared" si="169"/>
        <v>1.2453085577662948</v>
      </c>
      <c r="BC136" s="39">
        <v>128906.80951681669</v>
      </c>
      <c r="BD136" s="47">
        <v>2.7528596178085705</v>
      </c>
      <c r="BE136" s="46">
        <v>74.414517141913535</v>
      </c>
      <c r="BF136" s="45">
        <v>848.83702460011068</v>
      </c>
      <c r="BG136" s="46">
        <v>148.13258905444519</v>
      </c>
      <c r="BH136" s="45">
        <v>1689.7297861852767</v>
      </c>
      <c r="BI136" s="393">
        <v>387193.67762137047</v>
      </c>
      <c r="BJ136" s="295">
        <f t="shared" si="165"/>
        <v>0</v>
      </c>
      <c r="BK136" s="295">
        <f t="shared" si="170"/>
        <v>387193.67762137047</v>
      </c>
      <c r="BL136" s="39">
        <v>287651.50619930949</v>
      </c>
      <c r="BM136" s="41">
        <v>387.99719344183194</v>
      </c>
      <c r="BN136" s="39">
        <v>99542.171422060987</v>
      </c>
      <c r="BO136" s="47">
        <v>1.3460512782891172</v>
      </c>
      <c r="BP136" s="41">
        <f t="shared" si="171"/>
        <v>1.3460512782891172</v>
      </c>
      <c r="BQ136" s="39">
        <v>130124.64566192572</v>
      </c>
      <c r="BR136" s="47">
        <v>2.9755598999080521</v>
      </c>
      <c r="BS136" s="44">
        <v>86.006532944318053</v>
      </c>
      <c r="BT136" s="45">
        <v>981.06568885476781</v>
      </c>
      <c r="BU136" s="46">
        <v>234.13912199876324</v>
      </c>
      <c r="BV136" s="45">
        <v>2670.7954750400445</v>
      </c>
      <c r="BW136" s="393">
        <v>485109.62299058918</v>
      </c>
      <c r="BX136" s="295">
        <f t="shared" si="166"/>
        <v>0</v>
      </c>
      <c r="BY136" s="295">
        <f t="shared" si="172"/>
        <v>485109.62299058918</v>
      </c>
      <c r="BZ136" s="39">
        <v>332460.78446270013</v>
      </c>
      <c r="CA136" s="41">
        <v>448.43794842367186</v>
      </c>
      <c r="CB136" s="39">
        <v>152648.83852788905</v>
      </c>
      <c r="CC136" s="47">
        <v>1.4591484038473572</v>
      </c>
      <c r="CD136" s="41">
        <f t="shared" si="173"/>
        <v>1.4591484038473572</v>
      </c>
      <c r="CE136" s="39">
        <v>150394.9774026894</v>
      </c>
      <c r="CF136" s="47">
        <v>3.225570636522562</v>
      </c>
    </row>
    <row r="137" spans="1:84" s="22" customFormat="1" ht="15" customHeight="1">
      <c r="A137" s="324" t="str">
        <f t="shared" si="158"/>
        <v>BNI - Efficient Product Rebates; HVAC Hotel Occupancy Sensor; COM-HVAC; Other Commercial</v>
      </c>
      <c r="B137" s="36" t="s">
        <v>94</v>
      </c>
      <c r="C137" s="15" t="s">
        <v>93</v>
      </c>
      <c r="D137" s="15" t="s">
        <v>54</v>
      </c>
      <c r="E137" s="37">
        <v>10</v>
      </c>
      <c r="F137" s="38">
        <v>490.12200000000001</v>
      </c>
      <c r="G137" s="38">
        <v>334.17222740090398</v>
      </c>
      <c r="H137" s="39">
        <v>320.99999999999994</v>
      </c>
      <c r="I137" s="40">
        <v>0.23364485981308417</v>
      </c>
      <c r="J137" s="39">
        <v>15.683904</v>
      </c>
      <c r="K137" s="39">
        <v>90.683903999999998</v>
      </c>
      <c r="L137" s="39">
        <v>245.99999999999994</v>
      </c>
      <c r="M137" s="39">
        <v>336.68390399999993</v>
      </c>
      <c r="N137" s="39">
        <v>622.55158200661276</v>
      </c>
      <c r="O137" s="41">
        <v>0.82</v>
      </c>
      <c r="P137" s="41">
        <v>1.830351923813238</v>
      </c>
      <c r="Q137" s="261">
        <f t="shared" si="159"/>
        <v>1.830351923813238</v>
      </c>
      <c r="R137" s="262">
        <f t="shared" si="167"/>
        <v>0</v>
      </c>
      <c r="S137" s="262">
        <f t="shared" si="160"/>
        <v>0</v>
      </c>
      <c r="T137" s="261">
        <f t="shared" si="161"/>
        <v>1.830351923813238</v>
      </c>
      <c r="U137" s="267">
        <f t="shared" si="140"/>
        <v>0</v>
      </c>
      <c r="V137" s="42" t="s">
        <v>38</v>
      </c>
      <c r="W137" s="198" t="s">
        <v>38</v>
      </c>
      <c r="X137" s="198"/>
      <c r="Y137" s="333">
        <v>0</v>
      </c>
      <c r="Z137" s="335">
        <v>0</v>
      </c>
      <c r="AA137" s="313">
        <f>Z137*0.082</f>
        <v>0</v>
      </c>
      <c r="AB137" s="313">
        <f t="shared" si="162"/>
        <v>0</v>
      </c>
      <c r="AC137" s="313">
        <f>Z137*0</f>
        <v>0</v>
      </c>
      <c r="AD137" s="313">
        <f>-Z137*0.034</f>
        <v>0</v>
      </c>
      <c r="AE137" s="313">
        <f>Z137*-0.003</f>
        <v>0</v>
      </c>
      <c r="AF137" s="313">
        <f>Z137*0.698</f>
        <v>0</v>
      </c>
      <c r="AG137" s="313" t="s">
        <v>38</v>
      </c>
      <c r="AH137" s="313">
        <f>Z137*0.189</f>
        <v>0</v>
      </c>
      <c r="AI137" s="313">
        <f>Z137*0</f>
        <v>0</v>
      </c>
      <c r="AJ137" s="313">
        <f>Z137*0</f>
        <v>0</v>
      </c>
      <c r="AK137" s="313">
        <f t="shared" si="163"/>
        <v>0</v>
      </c>
      <c r="AL137" s="246" t="s">
        <v>461</v>
      </c>
      <c r="AM137" s="234" t="s">
        <v>330</v>
      </c>
      <c r="AN137" s="102" t="s">
        <v>38</v>
      </c>
      <c r="AO137" s="241"/>
      <c r="AP137" s="43" t="s">
        <v>94</v>
      </c>
      <c r="AQ137" s="44">
        <v>14.422225147666193</v>
      </c>
      <c r="AR137" s="45">
        <v>21.152714840495236</v>
      </c>
      <c r="AS137" s="46">
        <v>14.422225147666193</v>
      </c>
      <c r="AT137" s="45">
        <v>21.152714840495236</v>
      </c>
      <c r="AU137" s="393">
        <v>26868.118728979854</v>
      </c>
      <c r="AV137" s="295">
        <f t="shared" si="164"/>
        <v>0</v>
      </c>
      <c r="AW137" s="295">
        <f t="shared" si="168"/>
        <v>26868.118728979854</v>
      </c>
      <c r="AX137" s="39">
        <v>14679.209161593657</v>
      </c>
      <c r="AY137" s="41">
        <v>52.631780878885301</v>
      </c>
      <c r="AZ137" s="39">
        <v>12188.909567386198</v>
      </c>
      <c r="BA137" s="47">
        <v>1.8303519238132377</v>
      </c>
      <c r="BB137" s="41">
        <f t="shared" si="169"/>
        <v>1.8303519238132377</v>
      </c>
      <c r="BC137" s="39">
        <v>4772.8553645698703</v>
      </c>
      <c r="BD137" s="47">
        <v>5.6293595084461998</v>
      </c>
      <c r="BE137" s="46">
        <v>15.228049078331034</v>
      </c>
      <c r="BF137" s="45">
        <v>22.334596529518699</v>
      </c>
      <c r="BG137" s="46">
        <v>29.650274225997229</v>
      </c>
      <c r="BH137" s="45">
        <v>43.487311370013934</v>
      </c>
      <c r="BI137" s="393">
        <v>31675.025920797951</v>
      </c>
      <c r="BJ137" s="295">
        <f t="shared" si="165"/>
        <v>0</v>
      </c>
      <c r="BK137" s="295">
        <f t="shared" si="170"/>
        <v>31675.025920797951</v>
      </c>
      <c r="BL137" s="39">
        <v>15499.391755093167</v>
      </c>
      <c r="BM137" s="41">
        <v>55.57251631405336</v>
      </c>
      <c r="BN137" s="39">
        <v>16175.634165704783</v>
      </c>
      <c r="BO137" s="47">
        <v>2.0436302547414096</v>
      </c>
      <c r="BP137" s="41">
        <f t="shared" si="171"/>
        <v>2.0436302547414096</v>
      </c>
      <c r="BQ137" s="39">
        <v>5039.5327344620482</v>
      </c>
      <c r="BR137" s="47">
        <v>6.2853100852373256</v>
      </c>
      <c r="BS137" s="44">
        <v>18.600900625939008</v>
      </c>
      <c r="BT137" s="45">
        <v>27.28147305206554</v>
      </c>
      <c r="BU137" s="46">
        <v>48.251174851936241</v>
      </c>
      <c r="BV137" s="45">
        <v>70.768784422079477</v>
      </c>
      <c r="BW137" s="393">
        <v>43061.159032091309</v>
      </c>
      <c r="BX137" s="295">
        <f t="shared" si="166"/>
        <v>0</v>
      </c>
      <c r="BY137" s="295">
        <f t="shared" si="172"/>
        <v>43061.159032091309</v>
      </c>
      <c r="BZ137" s="39">
        <v>18932.342831047921</v>
      </c>
      <c r="CA137" s="41">
        <v>67.881239952266597</v>
      </c>
      <c r="CB137" s="39">
        <v>24128.816201043388</v>
      </c>
      <c r="CC137" s="47">
        <v>2.2744759809374231</v>
      </c>
      <c r="CD137" s="41">
        <f t="shared" si="173"/>
        <v>2.2744759809374231</v>
      </c>
      <c r="CE137" s="39">
        <v>6155.7358472323085</v>
      </c>
      <c r="CF137" s="47">
        <v>6.9952902627314844</v>
      </c>
    </row>
    <row r="138" spans="1:84" s="22" customFormat="1" ht="15" customHeight="1">
      <c r="A138" s="324" t="str">
        <f t="shared" si="158"/>
        <v>BNI - Efficient Product Rebates; Zero-Energy Livestock Waterers; COM-Other; Other Commercial</v>
      </c>
      <c r="B138" s="233" t="s">
        <v>95</v>
      </c>
      <c r="C138" s="15" t="s">
        <v>27</v>
      </c>
      <c r="D138" s="15" t="s">
        <v>54</v>
      </c>
      <c r="E138" s="37">
        <v>15</v>
      </c>
      <c r="F138" s="38">
        <v>805.68</v>
      </c>
      <c r="G138" s="38">
        <v>91.972690653756302</v>
      </c>
      <c r="H138" s="39">
        <v>150</v>
      </c>
      <c r="I138" s="40">
        <v>0.66666666666666663</v>
      </c>
      <c r="J138" s="39">
        <v>25.781759999999998</v>
      </c>
      <c r="K138" s="39">
        <v>125.78175999999999</v>
      </c>
      <c r="L138" s="39">
        <v>50</v>
      </c>
      <c r="M138" s="39">
        <v>175.78175999999999</v>
      </c>
      <c r="N138" s="39">
        <v>732.23585751533005</v>
      </c>
      <c r="O138" s="41">
        <v>0.82</v>
      </c>
      <c r="P138" s="41">
        <v>4.0356654146487489</v>
      </c>
      <c r="Q138" s="261">
        <f t="shared" si="159"/>
        <v>4.0356654146487489</v>
      </c>
      <c r="R138" s="262">
        <f t="shared" si="167"/>
        <v>0</v>
      </c>
      <c r="S138" s="262">
        <f t="shared" si="160"/>
        <v>0</v>
      </c>
      <c r="T138" s="261">
        <f t="shared" si="161"/>
        <v>4.0356654146487489</v>
      </c>
      <c r="U138" s="267">
        <f t="shared" si="140"/>
        <v>0</v>
      </c>
      <c r="V138" s="181" t="s">
        <v>308</v>
      </c>
      <c r="W138" s="198" t="s">
        <v>291</v>
      </c>
      <c r="X138" s="198"/>
      <c r="Y138" s="333">
        <v>0</v>
      </c>
      <c r="Z138" s="334">
        <v>0</v>
      </c>
      <c r="AA138" s="288">
        <f t="shared" ref="AA138:AA143" si="174">Z138*0.01</f>
        <v>0</v>
      </c>
      <c r="AB138" s="288">
        <f t="shared" si="162"/>
        <v>0</v>
      </c>
      <c r="AC138" s="288">
        <f t="shared" ref="AC138:AC143" si="175">AA138*0</f>
        <v>0</v>
      </c>
      <c r="AD138" s="288">
        <f t="shared" ref="AD138:AD143" si="176">AB138*0</f>
        <v>0</v>
      </c>
      <c r="AE138" s="288">
        <f t="shared" ref="AE138:AE143" si="177">AC138*0</f>
        <v>0</v>
      </c>
      <c r="AF138" s="288">
        <f t="shared" ref="AF138:AF143" si="178">Z138*0.99</f>
        <v>0</v>
      </c>
      <c r="AG138" s="288" t="s">
        <v>38</v>
      </c>
      <c r="AH138" s="288">
        <f t="shared" ref="AH138:AH143" si="179">AE138*0</f>
        <v>0</v>
      </c>
      <c r="AI138" s="288">
        <f t="shared" ref="AI138:AI143" si="180">AF138*0</f>
        <v>0</v>
      </c>
      <c r="AJ138" s="288">
        <f t="shared" ref="AJ138:AJ143" si="181">AH138*0</f>
        <v>0</v>
      </c>
      <c r="AK138" s="288">
        <f t="shared" si="163"/>
        <v>0</v>
      </c>
      <c r="AL138" s="451" t="s">
        <v>449</v>
      </c>
      <c r="AM138" s="181" t="s">
        <v>365</v>
      </c>
      <c r="AN138" s="181"/>
      <c r="AO138" s="451" t="s">
        <v>435</v>
      </c>
      <c r="AP138" s="43" t="s">
        <v>95</v>
      </c>
      <c r="AQ138" s="44">
        <v>0.53093962024280705</v>
      </c>
      <c r="AR138" s="45">
        <v>4.6510266275411407</v>
      </c>
      <c r="AS138" s="46">
        <v>0.53093962024280705</v>
      </c>
      <c r="AT138" s="45">
        <v>4.6510266275411407</v>
      </c>
      <c r="AU138" s="393">
        <v>4227.048544017749</v>
      </c>
      <c r="AV138" s="295">
        <f t="shared" si="164"/>
        <v>0</v>
      </c>
      <c r="AW138" s="295">
        <f t="shared" si="168"/>
        <v>4227.048544017749</v>
      </c>
      <c r="AX138" s="39">
        <v>1047.4229426142003</v>
      </c>
      <c r="AY138" s="41">
        <v>7.0399956460671014</v>
      </c>
      <c r="AZ138" s="39">
        <v>3179.6256014035489</v>
      </c>
      <c r="BA138" s="47">
        <v>4.0356654146487481</v>
      </c>
      <c r="BB138" s="41">
        <f t="shared" si="169"/>
        <v>4.0356654146487481</v>
      </c>
      <c r="BC138" s="39">
        <v>885.50304275465714</v>
      </c>
      <c r="BD138" s="47">
        <v>4.7736126697747787</v>
      </c>
      <c r="BE138" s="46">
        <v>0.50828803416715573</v>
      </c>
      <c r="BF138" s="45">
        <v>4.4525989231899104</v>
      </c>
      <c r="BG138" s="46">
        <v>1.0392276544099628</v>
      </c>
      <c r="BH138" s="45">
        <v>9.1036255507310511</v>
      </c>
      <c r="BI138" s="393">
        <v>4276.7135636734301</v>
      </c>
      <c r="BJ138" s="295">
        <f t="shared" si="165"/>
        <v>0</v>
      </c>
      <c r="BK138" s="295">
        <f t="shared" si="170"/>
        <v>4276.7135636734301</v>
      </c>
      <c r="BL138" s="39">
        <v>1002.7365224683704</v>
      </c>
      <c r="BM138" s="41">
        <v>6.7396468657742092</v>
      </c>
      <c r="BN138" s="39">
        <v>3273.9770412050598</v>
      </c>
      <c r="BO138" s="47">
        <v>4.2650421799195328</v>
      </c>
      <c r="BP138" s="41">
        <f t="shared" si="171"/>
        <v>4.2650421799195328</v>
      </c>
      <c r="BQ138" s="39">
        <v>847.72464455556383</v>
      </c>
      <c r="BR138" s="47">
        <v>5.0449324449162152</v>
      </c>
      <c r="BS138" s="44">
        <v>0.55566570933769965</v>
      </c>
      <c r="BT138" s="45">
        <v>4.8676269609702194</v>
      </c>
      <c r="BU138" s="46">
        <v>1.5948933637476623</v>
      </c>
      <c r="BV138" s="45">
        <v>13.97125251170127</v>
      </c>
      <c r="BW138" s="393">
        <v>4963.4790758865256</v>
      </c>
      <c r="BX138" s="295">
        <f t="shared" si="166"/>
        <v>0</v>
      </c>
      <c r="BY138" s="295">
        <f t="shared" si="172"/>
        <v>4963.4790758865256</v>
      </c>
      <c r="BZ138" s="39">
        <v>1096.2018847230402</v>
      </c>
      <c r="CA138" s="41">
        <v>7.3678513059869735</v>
      </c>
      <c r="CB138" s="39">
        <v>3867.2771911634854</v>
      </c>
      <c r="CC138" s="47">
        <v>4.5278877413539282</v>
      </c>
      <c r="CD138" s="41">
        <f t="shared" si="173"/>
        <v>4.5278877413539282</v>
      </c>
      <c r="CE138" s="39">
        <v>926.74130468534008</v>
      </c>
      <c r="CF138" s="47">
        <v>5.3558409998481658</v>
      </c>
    </row>
    <row r="139" spans="1:84" s="22" customFormat="1" ht="15" customHeight="1">
      <c r="A139" s="324" t="str">
        <f t="shared" si="158"/>
        <v>BNI - Efficient Product Rebates; Single Heat Pad; COM-Other; Other Commercial</v>
      </c>
      <c r="B139" s="233" t="s">
        <v>96</v>
      </c>
      <c r="C139" s="15" t="s">
        <v>27</v>
      </c>
      <c r="D139" s="15" t="s">
        <v>54</v>
      </c>
      <c r="E139" s="37">
        <v>15</v>
      </c>
      <c r="F139" s="38">
        <v>733.50450000000001</v>
      </c>
      <c r="G139" s="38">
        <v>83.733470449357299</v>
      </c>
      <c r="H139" s="39">
        <v>100</v>
      </c>
      <c r="I139" s="40">
        <v>0.6</v>
      </c>
      <c r="J139" s="39">
        <v>23.472144</v>
      </c>
      <c r="K139" s="39">
        <v>83.472144</v>
      </c>
      <c r="L139" s="39">
        <v>40</v>
      </c>
      <c r="M139" s="39">
        <v>123.472144</v>
      </c>
      <c r="N139" s="39">
        <v>666.63972861291506</v>
      </c>
      <c r="O139" s="41">
        <v>0.82</v>
      </c>
      <c r="P139" s="41">
        <v>5.1828336538090118</v>
      </c>
      <c r="Q139" s="261">
        <f t="shared" si="159"/>
        <v>5.1828336538090118</v>
      </c>
      <c r="R139" s="262">
        <f t="shared" si="167"/>
        <v>0</v>
      </c>
      <c r="S139" s="262">
        <f t="shared" si="160"/>
        <v>0</v>
      </c>
      <c r="T139" s="261">
        <f t="shared" si="161"/>
        <v>5.1828336538090118</v>
      </c>
      <c r="U139" s="267">
        <f t="shared" si="140"/>
        <v>0</v>
      </c>
      <c r="V139" s="181" t="s">
        <v>308</v>
      </c>
      <c r="W139" s="198" t="s">
        <v>291</v>
      </c>
      <c r="X139" s="198"/>
      <c r="Y139" s="333">
        <v>0</v>
      </c>
      <c r="Z139" s="334">
        <v>0</v>
      </c>
      <c r="AA139" s="288">
        <f t="shared" si="174"/>
        <v>0</v>
      </c>
      <c r="AB139" s="288">
        <f t="shared" si="162"/>
        <v>0</v>
      </c>
      <c r="AC139" s="288">
        <f t="shared" si="175"/>
        <v>0</v>
      </c>
      <c r="AD139" s="288">
        <f t="shared" si="176"/>
        <v>0</v>
      </c>
      <c r="AE139" s="288">
        <f t="shared" si="177"/>
        <v>0</v>
      </c>
      <c r="AF139" s="288">
        <f t="shared" si="178"/>
        <v>0</v>
      </c>
      <c r="AG139" s="288" t="s">
        <v>38</v>
      </c>
      <c r="AH139" s="288">
        <f t="shared" si="179"/>
        <v>0</v>
      </c>
      <c r="AI139" s="288">
        <f t="shared" si="180"/>
        <v>0</v>
      </c>
      <c r="AJ139" s="288">
        <f t="shared" si="181"/>
        <v>0</v>
      </c>
      <c r="AK139" s="288">
        <f t="shared" si="163"/>
        <v>0</v>
      </c>
      <c r="AL139" s="451" t="s">
        <v>449</v>
      </c>
      <c r="AM139" s="181" t="s">
        <v>364</v>
      </c>
      <c r="AN139" s="181"/>
      <c r="AO139" s="451" t="s">
        <v>435</v>
      </c>
      <c r="AP139" s="43" t="s">
        <v>96</v>
      </c>
      <c r="AQ139" s="44">
        <v>0.48280740836616731</v>
      </c>
      <c r="AR139" s="45">
        <v>4.229388854533493</v>
      </c>
      <c r="AS139" s="46">
        <v>0.48280740836616731</v>
      </c>
      <c r="AT139" s="45">
        <v>4.229388854533493</v>
      </c>
      <c r="AU139" s="393">
        <v>3843.846408828706</v>
      </c>
      <c r="AV139" s="295">
        <f t="shared" si="164"/>
        <v>0</v>
      </c>
      <c r="AW139" s="295">
        <f t="shared" si="168"/>
        <v>3843.846408828706</v>
      </c>
      <c r="AX139" s="39">
        <v>741.64958121003042</v>
      </c>
      <c r="AY139" s="41">
        <v>7.0317104885061443</v>
      </c>
      <c r="AZ139" s="39">
        <v>3102.1968276186753</v>
      </c>
      <c r="BA139" s="47">
        <v>5.1828336538090127</v>
      </c>
      <c r="BB139" s="41">
        <f t="shared" si="169"/>
        <v>5.1828336538090127</v>
      </c>
      <c r="BC139" s="39">
        <v>586.95195046289518</v>
      </c>
      <c r="BD139" s="47">
        <v>6.5488263661059234</v>
      </c>
      <c r="BE139" s="46">
        <v>0.46141330303918815</v>
      </c>
      <c r="BF139" s="45">
        <v>4.0419766710112031</v>
      </c>
      <c r="BG139" s="46">
        <v>0.94422071140535535</v>
      </c>
      <c r="BH139" s="45">
        <v>8.2713655255446952</v>
      </c>
      <c r="BI139" s="393">
        <v>3882.3116007450681</v>
      </c>
      <c r="BJ139" s="295">
        <f t="shared" si="165"/>
        <v>0</v>
      </c>
      <c r="BK139" s="295">
        <f t="shared" si="170"/>
        <v>3882.3116007450681</v>
      </c>
      <c r="BL139" s="39">
        <v>708.78569183888033</v>
      </c>
      <c r="BM139" s="41">
        <v>6.7201221569827982</v>
      </c>
      <c r="BN139" s="39">
        <v>3173.5259089061879</v>
      </c>
      <c r="BO139" s="47">
        <v>5.4774124893418232</v>
      </c>
      <c r="BP139" s="41">
        <f t="shared" si="171"/>
        <v>5.4774124893418232</v>
      </c>
      <c r="BQ139" s="39">
        <v>560.94300438525875</v>
      </c>
      <c r="BR139" s="47">
        <v>6.9210446879531364</v>
      </c>
      <c r="BS139" s="44">
        <v>0.50332086595242098</v>
      </c>
      <c r="BT139" s="45">
        <v>4.4090865712210698</v>
      </c>
      <c r="BU139" s="46">
        <v>1.4475415773577764</v>
      </c>
      <c r="BV139" s="45">
        <v>12.680452096765766</v>
      </c>
      <c r="BW139" s="393">
        <v>4495.9092213726308</v>
      </c>
      <c r="BX139" s="295">
        <f t="shared" si="166"/>
        <v>0</v>
      </c>
      <c r="BY139" s="295">
        <f t="shared" si="172"/>
        <v>4495.9092213726308</v>
      </c>
      <c r="BZ139" s="39">
        <v>773.16069094941622</v>
      </c>
      <c r="CA139" s="41">
        <v>7.3304728777431141</v>
      </c>
      <c r="CB139" s="39">
        <v>3722.7485304232146</v>
      </c>
      <c r="CC139" s="47">
        <v>5.8149738780069127</v>
      </c>
      <c r="CD139" s="41">
        <f t="shared" si="173"/>
        <v>5.8149738780069127</v>
      </c>
      <c r="CE139" s="39">
        <v>611.89028763906754</v>
      </c>
      <c r="CF139" s="47">
        <v>7.3475740867202797</v>
      </c>
    </row>
    <row r="140" spans="1:84" s="22" customFormat="1" ht="15" customHeight="1">
      <c r="A140" s="324" t="str">
        <f t="shared" si="158"/>
        <v>BNI - Efficient Product Rebates; Double Heat Pad; COM-Other; Other Commercial</v>
      </c>
      <c r="B140" s="233" t="s">
        <v>97</v>
      </c>
      <c r="C140" s="15" t="s">
        <v>27</v>
      </c>
      <c r="D140" s="15" t="s">
        <v>54</v>
      </c>
      <c r="E140" s="37">
        <v>15</v>
      </c>
      <c r="F140" s="38">
        <v>764.38890000000004</v>
      </c>
      <c r="G140" s="38">
        <v>87.259090257751296</v>
      </c>
      <c r="H140" s="39">
        <v>150</v>
      </c>
      <c r="I140" s="40">
        <v>0.8</v>
      </c>
      <c r="J140" s="39">
        <v>24.460444800000001</v>
      </c>
      <c r="K140" s="39">
        <v>144.4604448</v>
      </c>
      <c r="L140" s="39">
        <v>30</v>
      </c>
      <c r="M140" s="39">
        <v>174.4604448</v>
      </c>
      <c r="N140" s="39">
        <v>694.70876981766946</v>
      </c>
      <c r="O140" s="41">
        <v>0.82</v>
      </c>
      <c r="P140" s="41">
        <v>3.8631457542605285</v>
      </c>
      <c r="Q140" s="261">
        <f t="shared" si="159"/>
        <v>3.8631457542605285</v>
      </c>
      <c r="R140" s="262">
        <f t="shared" si="167"/>
        <v>0</v>
      </c>
      <c r="S140" s="262">
        <f t="shared" si="160"/>
        <v>0</v>
      </c>
      <c r="T140" s="261">
        <f t="shared" si="161"/>
        <v>3.8631457542605285</v>
      </c>
      <c r="U140" s="267">
        <f t="shared" si="140"/>
        <v>0</v>
      </c>
      <c r="V140" s="181" t="s">
        <v>308</v>
      </c>
      <c r="W140" s="198" t="s">
        <v>291</v>
      </c>
      <c r="X140" s="198"/>
      <c r="Y140" s="333">
        <v>0</v>
      </c>
      <c r="Z140" s="334">
        <v>0</v>
      </c>
      <c r="AA140" s="288">
        <f t="shared" si="174"/>
        <v>0</v>
      </c>
      <c r="AB140" s="288">
        <f t="shared" si="162"/>
        <v>0</v>
      </c>
      <c r="AC140" s="288">
        <f t="shared" si="175"/>
        <v>0</v>
      </c>
      <c r="AD140" s="288">
        <f t="shared" si="176"/>
        <v>0</v>
      </c>
      <c r="AE140" s="288">
        <f t="shared" si="177"/>
        <v>0</v>
      </c>
      <c r="AF140" s="288">
        <f t="shared" si="178"/>
        <v>0</v>
      </c>
      <c r="AG140" s="288" t="s">
        <v>38</v>
      </c>
      <c r="AH140" s="288">
        <f t="shared" si="179"/>
        <v>0</v>
      </c>
      <c r="AI140" s="288">
        <f t="shared" si="180"/>
        <v>0</v>
      </c>
      <c r="AJ140" s="288">
        <f t="shared" si="181"/>
        <v>0</v>
      </c>
      <c r="AK140" s="288">
        <f t="shared" si="163"/>
        <v>0</v>
      </c>
      <c r="AL140" s="451" t="s">
        <v>449</v>
      </c>
      <c r="AM140" s="181" t="s">
        <v>364</v>
      </c>
      <c r="AN140" s="181"/>
      <c r="AO140" s="451" t="s">
        <v>435</v>
      </c>
      <c r="AP140" s="43" t="s">
        <v>97</v>
      </c>
      <c r="AQ140" s="44">
        <v>0.50059263799843701</v>
      </c>
      <c r="AR140" s="45">
        <v>4.3851873171887972</v>
      </c>
      <c r="AS140" s="46">
        <v>0.50059263799843701</v>
      </c>
      <c r="AT140" s="45">
        <v>4.3851873171887972</v>
      </c>
      <c r="AU140" s="393">
        <v>3985.4426019847688</v>
      </c>
      <c r="AV140" s="295">
        <f t="shared" si="164"/>
        <v>0</v>
      </c>
      <c r="AW140" s="295">
        <f t="shared" si="168"/>
        <v>3985.4426019847688</v>
      </c>
      <c r="AX140" s="39">
        <v>1031.6573216502027</v>
      </c>
      <c r="AY140" s="41">
        <v>6.9961630934277697</v>
      </c>
      <c r="AZ140" s="39">
        <v>2953.7852803345659</v>
      </c>
      <c r="BA140" s="47">
        <v>3.8631457542605285</v>
      </c>
      <c r="BB140" s="41">
        <f t="shared" si="169"/>
        <v>3.8631457542605285</v>
      </c>
      <c r="BC140" s="39">
        <v>1010.6688323699196</v>
      </c>
      <c r="BD140" s="47">
        <v>3.9433714331917167</v>
      </c>
      <c r="BE140" s="46">
        <v>0.47577484904758144</v>
      </c>
      <c r="BF140" s="45">
        <v>4.1677836937893256</v>
      </c>
      <c r="BG140" s="46">
        <v>0.9763674870460185</v>
      </c>
      <c r="BH140" s="45">
        <v>8.5529710109781227</v>
      </c>
      <c r="BI140" s="393">
        <v>4003.1490285040254</v>
      </c>
      <c r="BJ140" s="295">
        <f t="shared" si="165"/>
        <v>0</v>
      </c>
      <c r="BK140" s="295">
        <f t="shared" si="170"/>
        <v>4003.1490285040254</v>
      </c>
      <c r="BL140" s="39">
        <v>980.51103675737613</v>
      </c>
      <c r="BM140" s="41">
        <v>6.6493156051932392</v>
      </c>
      <c r="BN140" s="39">
        <v>3022.6379917466493</v>
      </c>
      <c r="BO140" s="47">
        <v>4.0827169490541797</v>
      </c>
      <c r="BP140" s="41">
        <f t="shared" si="171"/>
        <v>4.0827169490541797</v>
      </c>
      <c r="BQ140" s="39">
        <v>960.56308994179653</v>
      </c>
      <c r="BR140" s="47">
        <v>4.1675024477013674</v>
      </c>
      <c r="BS140" s="44">
        <v>0.51629742540102541</v>
      </c>
      <c r="BT140" s="45">
        <v>4.52276112333253</v>
      </c>
      <c r="BU140" s="46">
        <v>1.4926649124470439</v>
      </c>
      <c r="BV140" s="45">
        <v>13.075732134310652</v>
      </c>
      <c r="BW140" s="393">
        <v>4611.8222248525735</v>
      </c>
      <c r="BX140" s="295">
        <f t="shared" si="166"/>
        <v>0</v>
      </c>
      <c r="BY140" s="295">
        <f t="shared" si="172"/>
        <v>4611.8222248525735</v>
      </c>
      <c r="BZ140" s="39">
        <v>1064.0228773515846</v>
      </c>
      <c r="CA140" s="41">
        <v>7.2156494495504511</v>
      </c>
      <c r="CB140" s="39">
        <v>3547.7993475009889</v>
      </c>
      <c r="CC140" s="47">
        <v>4.3343261907410016</v>
      </c>
      <c r="CD140" s="41">
        <f t="shared" si="173"/>
        <v>4.3343261907410016</v>
      </c>
      <c r="CE140" s="39">
        <v>1042.3759290029334</v>
      </c>
      <c r="CF140" s="47">
        <v>4.4243368409935675</v>
      </c>
    </row>
    <row r="141" spans="1:84" s="22" customFormat="1" ht="15" customHeight="1">
      <c r="A141" s="324" t="str">
        <f t="shared" si="158"/>
        <v>BNI - Efficient Product Rebates; Dairy Scroll Compressor; COM-Other; Other Commercial</v>
      </c>
      <c r="B141" s="233" t="s">
        <v>98</v>
      </c>
      <c r="C141" s="15" t="s">
        <v>27</v>
      </c>
      <c r="D141" s="15" t="s">
        <v>54</v>
      </c>
      <c r="E141" s="37">
        <v>15</v>
      </c>
      <c r="F141" s="38">
        <v>406.197</v>
      </c>
      <c r="G141" s="38">
        <v>46.369564871268807</v>
      </c>
      <c r="H141" s="39">
        <v>350</v>
      </c>
      <c r="I141" s="40">
        <v>0.14285714285714285</v>
      </c>
      <c r="J141" s="39">
        <v>12.998304000000001</v>
      </c>
      <c r="K141" s="39">
        <v>62.998304000000005</v>
      </c>
      <c r="L141" s="39">
        <v>300</v>
      </c>
      <c r="M141" s="39">
        <v>362.99830400000002</v>
      </c>
      <c r="N141" s="39">
        <v>369.16891149731225</v>
      </c>
      <c r="O141" s="41">
        <v>0.82</v>
      </c>
      <c r="P141" s="41">
        <v>1.0090673960203322</v>
      </c>
      <c r="Q141" s="261">
        <f t="shared" si="159"/>
        <v>1.0090673960203322</v>
      </c>
      <c r="R141" s="262">
        <f t="shared" si="167"/>
        <v>0</v>
      </c>
      <c r="S141" s="262">
        <f t="shared" si="160"/>
        <v>0</v>
      </c>
      <c r="T141" s="261">
        <f t="shared" si="161"/>
        <v>1.0090673960203322</v>
      </c>
      <c r="U141" s="267">
        <f t="shared" si="140"/>
        <v>0</v>
      </c>
      <c r="V141" s="181" t="s">
        <v>308</v>
      </c>
      <c r="W141" s="198" t="s">
        <v>291</v>
      </c>
      <c r="X141" s="198"/>
      <c r="Y141" s="333">
        <v>0</v>
      </c>
      <c r="Z141" s="334">
        <v>0</v>
      </c>
      <c r="AA141" s="288">
        <f t="shared" si="174"/>
        <v>0</v>
      </c>
      <c r="AB141" s="288">
        <f t="shared" si="162"/>
        <v>0</v>
      </c>
      <c r="AC141" s="288">
        <f t="shared" si="175"/>
        <v>0</v>
      </c>
      <c r="AD141" s="288">
        <f t="shared" si="176"/>
        <v>0</v>
      </c>
      <c r="AE141" s="288">
        <f t="shared" si="177"/>
        <v>0</v>
      </c>
      <c r="AF141" s="288">
        <f t="shared" si="178"/>
        <v>0</v>
      </c>
      <c r="AG141" s="288" t="s">
        <v>38</v>
      </c>
      <c r="AH141" s="288">
        <f t="shared" si="179"/>
        <v>0</v>
      </c>
      <c r="AI141" s="288">
        <f t="shared" si="180"/>
        <v>0</v>
      </c>
      <c r="AJ141" s="288">
        <f t="shared" si="181"/>
        <v>0</v>
      </c>
      <c r="AK141" s="288">
        <f t="shared" si="163"/>
        <v>0</v>
      </c>
      <c r="AL141" s="451" t="s">
        <v>449</v>
      </c>
      <c r="AM141" s="181" t="s">
        <v>364</v>
      </c>
      <c r="AN141" s="181"/>
      <c r="AO141" s="451" t="s">
        <v>435</v>
      </c>
      <c r="AP141" s="43" t="s">
        <v>98</v>
      </c>
      <c r="AQ141" s="44">
        <v>0.47279682185799282</v>
      </c>
      <c r="AR141" s="45">
        <v>4.1416962005448319</v>
      </c>
      <c r="AS141" s="46">
        <v>0.47279682185799282</v>
      </c>
      <c r="AT141" s="45">
        <v>4.1416962005448319</v>
      </c>
      <c r="AU141" s="393">
        <v>3764.147637987699</v>
      </c>
      <c r="AV141" s="295">
        <f t="shared" si="164"/>
        <v>0</v>
      </c>
      <c r="AW141" s="295">
        <f t="shared" si="168"/>
        <v>3764.147637987699</v>
      </c>
      <c r="AX141" s="39">
        <v>3730.3233191689146</v>
      </c>
      <c r="AY141" s="41">
        <v>12.434481360164337</v>
      </c>
      <c r="AZ141" s="39">
        <v>33.824318818784377</v>
      </c>
      <c r="BA141" s="47">
        <v>1.0090673960203322</v>
      </c>
      <c r="BB141" s="41">
        <f t="shared" si="169"/>
        <v>1.0090673960203322</v>
      </c>
      <c r="BC141" s="39">
        <v>783.35123680996639</v>
      </c>
      <c r="BD141" s="47">
        <v>4.8051850320890548</v>
      </c>
      <c r="BE141" s="46">
        <v>0.43266521962267568</v>
      </c>
      <c r="BF141" s="45">
        <v>3.7901437010026235</v>
      </c>
      <c r="BG141" s="46">
        <v>0.90546204148066844</v>
      </c>
      <c r="BH141" s="45">
        <v>7.9318399015474554</v>
      </c>
      <c r="BI141" s="393">
        <v>3640.4264686693814</v>
      </c>
      <c r="BJ141" s="295">
        <f t="shared" si="165"/>
        <v>0</v>
      </c>
      <c r="BK141" s="295">
        <f t="shared" si="170"/>
        <v>3640.4264686693814</v>
      </c>
      <c r="BL141" s="39">
        <v>3413.6886788054062</v>
      </c>
      <c r="BM141" s="41">
        <v>11.379026592115022</v>
      </c>
      <c r="BN141" s="39">
        <v>226.73778986397519</v>
      </c>
      <c r="BO141" s="47">
        <v>1.0664201721942963</v>
      </c>
      <c r="BP141" s="41">
        <f t="shared" si="171"/>
        <v>1.0664201721942963</v>
      </c>
      <c r="BQ141" s="39">
        <v>716.85937647414619</v>
      </c>
      <c r="BR141" s="47">
        <v>5.0782992984966207</v>
      </c>
      <c r="BS141" s="44">
        <v>0.48416793024945842</v>
      </c>
      <c r="BT141" s="45">
        <v>4.2413070148388883</v>
      </c>
      <c r="BU141" s="46">
        <v>1.3896299717301268</v>
      </c>
      <c r="BV141" s="45">
        <v>12.173146916386344</v>
      </c>
      <c r="BW141" s="393">
        <v>4324.8257911628325</v>
      </c>
      <c r="BX141" s="295">
        <f t="shared" si="166"/>
        <v>0</v>
      </c>
      <c r="BY141" s="295">
        <f t="shared" si="172"/>
        <v>4324.8257911628325</v>
      </c>
      <c r="BZ141" s="39">
        <v>3820.0403156385346</v>
      </c>
      <c r="CA141" s="41">
        <v>12.733539705739584</v>
      </c>
      <c r="CB141" s="39">
        <v>504.78547552429791</v>
      </c>
      <c r="CC141" s="47">
        <v>1.132141400041722</v>
      </c>
      <c r="CD141" s="41">
        <f t="shared" si="173"/>
        <v>1.132141400041722</v>
      </c>
      <c r="CE141" s="39">
        <v>802.19140537825285</v>
      </c>
      <c r="CF141" s="47">
        <v>5.3912641822977045</v>
      </c>
    </row>
    <row r="142" spans="1:84" s="22" customFormat="1" ht="15" customHeight="1">
      <c r="A142" s="324" t="str">
        <f t="shared" si="158"/>
        <v>BNI - Efficient Product Rebates; Heat Reclaimer Unit; COM-Other; Other Commercial</v>
      </c>
      <c r="B142" s="233" t="s">
        <v>99</v>
      </c>
      <c r="C142" s="15" t="s">
        <v>27</v>
      </c>
      <c r="D142" s="15" t="s">
        <v>54</v>
      </c>
      <c r="E142" s="37">
        <v>15</v>
      </c>
      <c r="F142" s="38">
        <v>158.22660000000002</v>
      </c>
      <c r="G142" s="38">
        <v>18.062414525612699</v>
      </c>
      <c r="H142" s="39">
        <v>35</v>
      </c>
      <c r="I142" s="40">
        <v>0.42857142857142855</v>
      </c>
      <c r="J142" s="39">
        <v>5.0632512000000007</v>
      </c>
      <c r="K142" s="39">
        <v>20.0632512</v>
      </c>
      <c r="L142" s="39">
        <v>20</v>
      </c>
      <c r="M142" s="39">
        <v>40.063251199999996</v>
      </c>
      <c r="N142" s="39">
        <v>143.80298646203846</v>
      </c>
      <c r="O142" s="41">
        <v>0.82</v>
      </c>
      <c r="P142" s="41">
        <v>3.4925087101467152</v>
      </c>
      <c r="Q142" s="261">
        <f t="shared" si="159"/>
        <v>3.4925087101467152</v>
      </c>
      <c r="R142" s="262">
        <f t="shared" si="167"/>
        <v>0</v>
      </c>
      <c r="S142" s="262">
        <f t="shared" si="160"/>
        <v>0</v>
      </c>
      <c r="T142" s="261">
        <f t="shared" si="161"/>
        <v>3.4925087101467152</v>
      </c>
      <c r="U142" s="267">
        <f t="shared" si="140"/>
        <v>0</v>
      </c>
      <c r="V142" s="181" t="s">
        <v>308</v>
      </c>
      <c r="W142" s="198" t="s">
        <v>291</v>
      </c>
      <c r="X142" s="198"/>
      <c r="Y142" s="333">
        <v>0</v>
      </c>
      <c r="Z142" s="334">
        <v>0</v>
      </c>
      <c r="AA142" s="288">
        <f t="shared" si="174"/>
        <v>0</v>
      </c>
      <c r="AB142" s="288">
        <f t="shared" si="162"/>
        <v>0</v>
      </c>
      <c r="AC142" s="288">
        <f t="shared" si="175"/>
        <v>0</v>
      </c>
      <c r="AD142" s="288">
        <f t="shared" si="176"/>
        <v>0</v>
      </c>
      <c r="AE142" s="288">
        <f t="shared" si="177"/>
        <v>0</v>
      </c>
      <c r="AF142" s="288">
        <f t="shared" si="178"/>
        <v>0</v>
      </c>
      <c r="AG142" s="288" t="s">
        <v>38</v>
      </c>
      <c r="AH142" s="288">
        <f t="shared" si="179"/>
        <v>0</v>
      </c>
      <c r="AI142" s="288">
        <f t="shared" si="180"/>
        <v>0</v>
      </c>
      <c r="AJ142" s="288">
        <f t="shared" si="181"/>
        <v>0</v>
      </c>
      <c r="AK142" s="288">
        <f t="shared" si="163"/>
        <v>0</v>
      </c>
      <c r="AL142" s="451" t="s">
        <v>449</v>
      </c>
      <c r="AM142" s="181" t="s">
        <v>364</v>
      </c>
      <c r="AN142" s="181"/>
      <c r="AO142" s="451" t="s">
        <v>435</v>
      </c>
      <c r="AP142" s="43" t="s">
        <v>99</v>
      </c>
      <c r="AQ142" s="44">
        <v>0.2128872381029501</v>
      </c>
      <c r="AR142" s="45">
        <v>1.8648904231854149</v>
      </c>
      <c r="AS142" s="46">
        <v>0.2128872381029501</v>
      </c>
      <c r="AT142" s="45">
        <v>1.8648904231854149</v>
      </c>
      <c r="AU142" s="393">
        <v>1694.8908228990408</v>
      </c>
      <c r="AV142" s="295">
        <f t="shared" si="164"/>
        <v>0</v>
      </c>
      <c r="AW142" s="295">
        <f t="shared" si="168"/>
        <v>1694.8908228990408</v>
      </c>
      <c r="AX142" s="39">
        <v>485.29322717933633</v>
      </c>
      <c r="AY142" s="41">
        <v>14.373415175708445</v>
      </c>
      <c r="AZ142" s="39">
        <v>1209.5975957197045</v>
      </c>
      <c r="BA142" s="47">
        <v>3.4925087101467152</v>
      </c>
      <c r="BB142" s="41">
        <f t="shared" si="169"/>
        <v>3.4925087101467152</v>
      </c>
      <c r="BC142" s="39">
        <v>288.37743927213069</v>
      </c>
      <c r="BD142" s="47">
        <v>5.8773350203017705</v>
      </c>
      <c r="BE142" s="46">
        <v>0.20882802699725969</v>
      </c>
      <c r="BF142" s="45">
        <v>1.8293317678890877</v>
      </c>
      <c r="BG142" s="46">
        <v>0.42171526510020985</v>
      </c>
      <c r="BH142" s="45">
        <v>3.6942221910745028</v>
      </c>
      <c r="BI142" s="393">
        <v>1757.0699987020298</v>
      </c>
      <c r="BJ142" s="295">
        <f t="shared" si="165"/>
        <v>0</v>
      </c>
      <c r="BK142" s="295">
        <f t="shared" si="170"/>
        <v>1757.0699987020298</v>
      </c>
      <c r="BL142" s="39">
        <v>476.03993574281498</v>
      </c>
      <c r="BM142" s="41">
        <v>14.099351182827291</v>
      </c>
      <c r="BN142" s="39">
        <v>1281.0300629592148</v>
      </c>
      <c r="BO142" s="47">
        <v>3.6910138557184062</v>
      </c>
      <c r="BP142" s="41">
        <f t="shared" si="171"/>
        <v>3.6910138557184062</v>
      </c>
      <c r="BQ142" s="39">
        <v>282.87882453808112</v>
      </c>
      <c r="BR142" s="47">
        <v>6.2113875139688766</v>
      </c>
      <c r="BS142" s="44">
        <v>0.23416854673095339</v>
      </c>
      <c r="BT142" s="45">
        <v>2.0513145085691713</v>
      </c>
      <c r="BU142" s="46">
        <v>0.65588381183116318</v>
      </c>
      <c r="BV142" s="45">
        <v>5.7455366996436741</v>
      </c>
      <c r="BW142" s="393">
        <v>2091.7084901913099</v>
      </c>
      <c r="BX142" s="295">
        <f t="shared" si="166"/>
        <v>0</v>
      </c>
      <c r="BY142" s="295">
        <f t="shared" si="172"/>
        <v>2091.7084901913099</v>
      </c>
      <c r="BZ142" s="39">
        <v>533.80564640518401</v>
      </c>
      <c r="CA142" s="41">
        <v>15.81025604563769</v>
      </c>
      <c r="CB142" s="39">
        <v>1557.9028437861259</v>
      </c>
      <c r="CC142" s="47">
        <v>3.9184832612347513</v>
      </c>
      <c r="CD142" s="41">
        <f t="shared" si="173"/>
        <v>3.9184832612347513</v>
      </c>
      <c r="CE142" s="39">
        <v>317.20513857994763</v>
      </c>
      <c r="CF142" s="47">
        <v>6.5941822366289333</v>
      </c>
    </row>
    <row r="143" spans="1:84" s="22" customFormat="1" ht="15" customHeight="1" thickBot="1">
      <c r="A143" s="324" t="str">
        <f t="shared" si="158"/>
        <v>BNI - Efficient Product Rebates; VSD for Milk Vacuum Pump; COM-Other; Other Commercial</v>
      </c>
      <c r="B143" s="454" t="s">
        <v>100</v>
      </c>
      <c r="C143" s="16" t="s">
        <v>27</v>
      </c>
      <c r="D143" s="16" t="s">
        <v>54</v>
      </c>
      <c r="E143" s="54">
        <v>15</v>
      </c>
      <c r="F143" s="55">
        <v>2310.7350000000001</v>
      </c>
      <c r="G143" s="55">
        <v>263.78278638889827</v>
      </c>
      <c r="H143" s="56">
        <v>200</v>
      </c>
      <c r="I143" s="57">
        <v>0.57499999999999996</v>
      </c>
      <c r="J143" s="56">
        <v>73.943520000000007</v>
      </c>
      <c r="K143" s="56">
        <v>188.94351999999998</v>
      </c>
      <c r="L143" s="56">
        <v>85.000000000000014</v>
      </c>
      <c r="M143" s="56">
        <v>273.94351999999998</v>
      </c>
      <c r="N143" s="56">
        <v>2100.0931191238287</v>
      </c>
      <c r="O143" s="58">
        <v>0.82</v>
      </c>
      <c r="P143" s="58">
        <v>7.2373324462945643</v>
      </c>
      <c r="Q143" s="263">
        <f t="shared" si="159"/>
        <v>7.2373324462945643</v>
      </c>
      <c r="R143" s="264">
        <f t="shared" si="167"/>
        <v>0</v>
      </c>
      <c r="S143" s="264">
        <f t="shared" si="160"/>
        <v>0</v>
      </c>
      <c r="T143" s="263">
        <f t="shared" si="161"/>
        <v>7.2373324462945643</v>
      </c>
      <c r="U143" s="268">
        <f t="shared" si="140"/>
        <v>0</v>
      </c>
      <c r="V143" s="184" t="s">
        <v>308</v>
      </c>
      <c r="W143" s="201" t="s">
        <v>291</v>
      </c>
      <c r="X143" s="201"/>
      <c r="Y143" s="338">
        <v>0</v>
      </c>
      <c r="Z143" s="339">
        <v>0</v>
      </c>
      <c r="AA143" s="289">
        <f t="shared" si="174"/>
        <v>0</v>
      </c>
      <c r="AB143" s="289">
        <f t="shared" si="162"/>
        <v>0</v>
      </c>
      <c r="AC143" s="289">
        <f t="shared" si="175"/>
        <v>0</v>
      </c>
      <c r="AD143" s="289">
        <f t="shared" si="176"/>
        <v>0</v>
      </c>
      <c r="AE143" s="289">
        <f t="shared" si="177"/>
        <v>0</v>
      </c>
      <c r="AF143" s="289">
        <f t="shared" si="178"/>
        <v>0</v>
      </c>
      <c r="AG143" s="289" t="s">
        <v>38</v>
      </c>
      <c r="AH143" s="289">
        <f t="shared" si="179"/>
        <v>0</v>
      </c>
      <c r="AI143" s="289">
        <f t="shared" si="180"/>
        <v>0</v>
      </c>
      <c r="AJ143" s="289">
        <f t="shared" si="181"/>
        <v>0</v>
      </c>
      <c r="AK143" s="289">
        <f t="shared" si="163"/>
        <v>0</v>
      </c>
      <c r="AL143" s="455" t="s">
        <v>449</v>
      </c>
      <c r="AM143" s="184" t="s">
        <v>364</v>
      </c>
      <c r="AN143" s="184"/>
      <c r="AO143" s="451" t="s">
        <v>435</v>
      </c>
      <c r="AP143" s="43" t="s">
        <v>100</v>
      </c>
      <c r="AQ143" s="44">
        <v>3.0163144878562616</v>
      </c>
      <c r="AR143" s="45">
        <v>26.422889656722035</v>
      </c>
      <c r="AS143" s="46">
        <v>3.0163144878562616</v>
      </c>
      <c r="AT143" s="45">
        <v>26.422889656722035</v>
      </c>
      <c r="AU143" s="393">
        <v>24014.233027781262</v>
      </c>
      <c r="AV143" s="295">
        <f t="shared" si="164"/>
        <v>0</v>
      </c>
      <c r="AW143" s="295">
        <f t="shared" si="168"/>
        <v>24014.233027781262</v>
      </c>
      <c r="AX143" s="39">
        <v>3318.1055597461591</v>
      </c>
      <c r="AY143" s="41">
        <v>13.944929282991858</v>
      </c>
      <c r="AZ143" s="39">
        <v>20696.127468035102</v>
      </c>
      <c r="BA143" s="47">
        <v>7.2373324462945634</v>
      </c>
      <c r="BB143" s="41">
        <f t="shared" si="169"/>
        <v>7.2373324462945634</v>
      </c>
      <c r="BC143" s="39">
        <v>2634.8040248795578</v>
      </c>
      <c r="BD143" s="47">
        <v>9.1142387824760522</v>
      </c>
      <c r="BE143" s="46">
        <v>2.8532898536858382</v>
      </c>
      <c r="BF143" s="45">
        <v>24.994795226464522</v>
      </c>
      <c r="BG143" s="46">
        <v>5.8696043415420993</v>
      </c>
      <c r="BH143" s="45">
        <v>51.417684883186553</v>
      </c>
      <c r="BI143" s="393">
        <v>24007.457579331916</v>
      </c>
      <c r="BJ143" s="295">
        <f t="shared" si="165"/>
        <v>0</v>
      </c>
      <c r="BK143" s="295">
        <f t="shared" si="170"/>
        <v>24007.457579331916</v>
      </c>
      <c r="BL143" s="39">
        <v>3138.7698349090206</v>
      </c>
      <c r="BM143" s="41">
        <v>13.191238975152675</v>
      </c>
      <c r="BN143" s="39">
        <v>20868.687744422896</v>
      </c>
      <c r="BO143" s="47">
        <v>7.6486836697370606</v>
      </c>
      <c r="BP143" s="41">
        <f t="shared" si="171"/>
        <v>7.6486836697370606</v>
      </c>
      <c r="BQ143" s="39">
        <v>2492.3991251265388</v>
      </c>
      <c r="BR143" s="47">
        <v>9.6322684987754759</v>
      </c>
      <c r="BS143" s="44">
        <v>3.0786556929767213</v>
      </c>
      <c r="BT143" s="45">
        <v>26.968998091567531</v>
      </c>
      <c r="BU143" s="46">
        <v>8.9482600345188192</v>
      </c>
      <c r="BV143" s="45">
        <v>78.386682974754081</v>
      </c>
      <c r="BW143" s="393">
        <v>27500.064980007832</v>
      </c>
      <c r="BX143" s="295">
        <f t="shared" si="166"/>
        <v>0</v>
      </c>
      <c r="BY143" s="295">
        <f t="shared" si="172"/>
        <v>27500.064980007832</v>
      </c>
      <c r="BZ143" s="39">
        <v>3386.6841844698984</v>
      </c>
      <c r="CA143" s="41">
        <v>14.233143161326259</v>
      </c>
      <c r="CB143" s="39">
        <v>24113.380795537934</v>
      </c>
      <c r="CC143" s="47">
        <v>8.1200559255312683</v>
      </c>
      <c r="CD143" s="41">
        <f t="shared" si="173"/>
        <v>8.1200559255312683</v>
      </c>
      <c r="CE143" s="39">
        <v>2689.2601695649118</v>
      </c>
      <c r="CF143" s="47">
        <v>10.22588490739332</v>
      </c>
    </row>
    <row r="144" spans="1:84" s="22" customFormat="1" ht="15" customHeight="1" thickBot="1">
      <c r="A144" s="324"/>
      <c r="B144" s="60"/>
      <c r="C144" s="15"/>
      <c r="D144" s="15"/>
      <c r="E144" s="15"/>
      <c r="F144" s="60"/>
      <c r="G144" s="60"/>
      <c r="H144" s="42"/>
      <c r="I144" s="40"/>
      <c r="J144" s="39"/>
      <c r="K144" s="39"/>
      <c r="L144" s="39"/>
      <c r="M144" s="39"/>
      <c r="N144" s="39"/>
      <c r="O144" s="41"/>
      <c r="P144" s="61"/>
      <c r="Q144"/>
      <c r="R144"/>
      <c r="S144"/>
      <c r="T144"/>
      <c r="U144"/>
      <c r="V144" s="42"/>
      <c r="W144" s="42"/>
      <c r="X144" s="42"/>
      <c r="Y144" s="42"/>
      <c r="Z144" s="231"/>
      <c r="AA144" s="231"/>
      <c r="AB144" s="231"/>
      <c r="AC144" s="231"/>
      <c r="AD144" s="231"/>
      <c r="AE144" s="231"/>
      <c r="AF144" s="231"/>
      <c r="AG144" s="231"/>
      <c r="AH144" s="231"/>
      <c r="AI144" s="231"/>
      <c r="AJ144" s="231"/>
      <c r="AK144" s="231"/>
      <c r="AL144" s="231"/>
      <c r="AM144" s="42"/>
      <c r="AN144" s="42"/>
      <c r="AO144" s="441"/>
      <c r="AP144" s="62" t="s">
        <v>101</v>
      </c>
      <c r="AQ144" s="63">
        <v>5336.6571658514049</v>
      </c>
      <c r="AR144" s="64">
        <v>34078.960791379453</v>
      </c>
      <c r="AS144" s="65">
        <v>5336.6571658514049</v>
      </c>
      <c r="AT144" s="64">
        <v>34078.960791379453</v>
      </c>
      <c r="AU144" s="371">
        <v>23758751.660846185</v>
      </c>
      <c r="AV144" s="296">
        <f>SUM(AV5:AV143)</f>
        <v>6076161.0589546561</v>
      </c>
      <c r="AW144" s="373">
        <f t="shared" si="168"/>
        <v>29834912.719800841</v>
      </c>
      <c r="AX144" s="66">
        <v>11816821.388119688</v>
      </c>
      <c r="AY144" s="67"/>
      <c r="AZ144" s="66">
        <v>11941930.272726487</v>
      </c>
      <c r="BA144" s="68">
        <v>2.0105873551353319</v>
      </c>
      <c r="BB144" s="67"/>
      <c r="BC144" s="66">
        <v>6712360.5611687312</v>
      </c>
      <c r="BD144" s="68">
        <v>3.5395523593132787</v>
      </c>
      <c r="BE144" s="65">
        <v>5372.5061003623878</v>
      </c>
      <c r="BF144" s="64">
        <v>33586.597896778534</v>
      </c>
      <c r="BG144" s="65">
        <v>10709.163266213796</v>
      </c>
      <c r="BH144" s="64">
        <v>67665.558688158024</v>
      </c>
      <c r="BI144" s="371">
        <v>25443533.927543513</v>
      </c>
      <c r="BJ144" s="296">
        <f>SUM(BJ5:BJ143)</f>
        <v>6132458.7625981299</v>
      </c>
      <c r="BK144" s="373">
        <f t="shared" si="170"/>
        <v>31575992.690141644</v>
      </c>
      <c r="BL144" s="66">
        <v>11569835.31770175</v>
      </c>
      <c r="BM144" s="67"/>
      <c r="BN144" s="66">
        <v>13873698.609841749</v>
      </c>
      <c r="BO144" s="68">
        <v>2.1991267143288655</v>
      </c>
      <c r="BP144" s="67">
        <f t="shared" si="171"/>
        <v>2.7291652666681125</v>
      </c>
      <c r="BQ144" s="66">
        <v>6491649.3171973322</v>
      </c>
      <c r="BR144" s="68">
        <v>3.9194252006404375</v>
      </c>
      <c r="BS144" s="63">
        <v>5347.8327845225695</v>
      </c>
      <c r="BT144" s="64">
        <v>33638.87581099847</v>
      </c>
      <c r="BU144" s="65">
        <v>15795.063288991631</v>
      </c>
      <c r="BV144" s="64">
        <v>99704.872123662251</v>
      </c>
      <c r="BW144" s="371">
        <v>28889552.775057938</v>
      </c>
      <c r="BX144" s="296">
        <f>SUM(BX5:BX143)</f>
        <v>6425810.7638229532</v>
      </c>
      <c r="BY144" s="373">
        <f t="shared" si="172"/>
        <v>35315363.538880892</v>
      </c>
      <c r="BZ144" s="66">
        <v>12987108.499652158</v>
      </c>
      <c r="CA144" s="67"/>
      <c r="CB144" s="66">
        <v>15902444.275405802</v>
      </c>
      <c r="CC144" s="68">
        <v>2.2244792038067369</v>
      </c>
      <c r="CD144" s="67"/>
      <c r="CE144" s="66">
        <v>7045598.2049943469</v>
      </c>
      <c r="CF144" s="68">
        <v>4.100369043834954</v>
      </c>
    </row>
    <row r="145" spans="1:84" s="22" customFormat="1" ht="15" customHeight="1" thickBot="1">
      <c r="A145" s="324"/>
      <c r="B145"/>
      <c r="C145" s="15"/>
      <c r="D145" s="15"/>
      <c r="E145" s="15"/>
      <c r="F145" s="60"/>
      <c r="G145" s="60"/>
      <c r="H145" s="42"/>
      <c r="I145" s="40"/>
      <c r="J145" s="39"/>
      <c r="K145" s="39"/>
      <c r="L145" s="39"/>
      <c r="M145" s="39"/>
      <c r="N145" s="39"/>
      <c r="O145" s="41"/>
      <c r="P145" s="61"/>
      <c r="Q145"/>
      <c r="R145"/>
      <c r="S145"/>
      <c r="T145"/>
      <c r="U145"/>
      <c r="V145" s="42"/>
      <c r="W145" s="42"/>
      <c r="X145" s="42"/>
      <c r="Y145" s="42"/>
      <c r="Z145" s="231"/>
      <c r="AA145" s="231"/>
      <c r="AB145" s="231"/>
      <c r="AC145" s="231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42"/>
      <c r="AN145" s="42"/>
      <c r="AO145" s="441"/>
      <c r="AP145" s="69" t="s">
        <v>102</v>
      </c>
      <c r="AQ145" s="382">
        <v>5336.6571658514049</v>
      </c>
      <c r="AR145" s="70">
        <v>34078.960791379453</v>
      </c>
      <c r="AS145" s="71">
        <v>5336.6571658514049</v>
      </c>
      <c r="AT145" s="70">
        <v>34078.960791379453</v>
      </c>
      <c r="AU145" s="394">
        <v>23758751.660846185</v>
      </c>
      <c r="AV145" s="372">
        <f>SUM(AU144:AV144)/AX144</f>
        <v>2.5247832509168711</v>
      </c>
      <c r="AW145" s="295"/>
      <c r="AX145" s="72"/>
      <c r="AY145" s="73"/>
      <c r="AZ145" s="72"/>
      <c r="BA145" s="372">
        <v>2.0105873551353328</v>
      </c>
      <c r="BB145" s="73"/>
      <c r="BC145" s="72"/>
      <c r="BD145" s="383">
        <v>3.5395523593132783</v>
      </c>
      <c r="BE145" s="70">
        <v>5372.5061003623878</v>
      </c>
      <c r="BF145" s="70">
        <v>33586.597896778534</v>
      </c>
      <c r="BG145" s="71">
        <v>10709.163266213796</v>
      </c>
      <c r="BH145" s="70">
        <v>67665.558688158024</v>
      </c>
      <c r="BI145" s="394">
        <v>25443533.927543513</v>
      </c>
      <c r="BJ145" s="372">
        <f>SUM(BI144:BJ144)/BL144</f>
        <v>2.7291652666681125</v>
      </c>
      <c r="BK145" s="295"/>
      <c r="BL145" s="72"/>
      <c r="BM145" s="73"/>
      <c r="BN145" s="72"/>
      <c r="BO145" s="372">
        <v>2.19912671432887</v>
      </c>
      <c r="BP145" s="73" t="e">
        <f t="shared" si="171"/>
        <v>#DIV/0!</v>
      </c>
      <c r="BQ145" s="72"/>
      <c r="BR145" s="73">
        <v>3.9194252006404393</v>
      </c>
      <c r="BS145" s="70">
        <v>5347.8327845225695</v>
      </c>
      <c r="BT145" s="70">
        <v>33638.87581099847</v>
      </c>
      <c r="BU145" s="71">
        <v>15795.063288991631</v>
      </c>
      <c r="BV145" s="70">
        <v>99704.872123662251</v>
      </c>
      <c r="BW145" s="394">
        <v>28889552.775057938</v>
      </c>
      <c r="BX145" s="372">
        <f>SUM(BW144:BX144)/BZ144</f>
        <v>2.7192629937469732</v>
      </c>
      <c r="BY145" s="295"/>
      <c r="BZ145" s="72"/>
      <c r="CA145" s="73"/>
      <c r="CB145" s="72"/>
      <c r="CC145" s="372">
        <v>2.2244792038067382</v>
      </c>
      <c r="CD145" s="73"/>
      <c r="CE145" s="72"/>
      <c r="CF145" s="73">
        <v>4.1003690438349505</v>
      </c>
    </row>
    <row r="146" spans="1:84" s="22" customFormat="1" ht="15" customHeight="1" thickBot="1">
      <c r="A146" s="324"/>
      <c r="B146" s="74"/>
      <c r="C146" s="74"/>
      <c r="D146" s="74"/>
      <c r="E146" s="21"/>
      <c r="F146" s="75"/>
      <c r="G146" s="75"/>
      <c r="H146" s="21"/>
      <c r="I146" s="21"/>
      <c r="J146" s="21"/>
      <c r="K146" s="21"/>
      <c r="L146" s="21"/>
      <c r="M146" s="21"/>
      <c r="N146" s="21"/>
      <c r="O146" s="21"/>
      <c r="P146" s="21"/>
      <c r="Q146"/>
      <c r="R146"/>
      <c r="S146"/>
      <c r="T146"/>
      <c r="U146"/>
      <c r="V146" s="21"/>
      <c r="W146" s="21"/>
      <c r="X146" s="21"/>
      <c r="Y146" s="21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1"/>
      <c r="AN146" s="21"/>
      <c r="AO146" s="442"/>
      <c r="AQ146" s="384"/>
      <c r="AR146" s="385"/>
      <c r="AS146" s="385"/>
      <c r="AT146" s="385"/>
      <c r="AU146" s="384"/>
      <c r="AV146" s="412" t="s">
        <v>372</v>
      </c>
      <c r="AW146" s="411"/>
      <c r="AX146" s="385"/>
      <c r="AY146" s="386"/>
      <c r="AZ146" s="385"/>
      <c r="BA146" s="413" t="s">
        <v>413</v>
      </c>
      <c r="BB146" s="385"/>
      <c r="BC146" s="385"/>
      <c r="BD146" s="387"/>
      <c r="BI146" s="384"/>
      <c r="BJ146" s="412" t="s">
        <v>372</v>
      </c>
      <c r="BK146" s="411"/>
      <c r="BL146" s="385"/>
      <c r="BM146" s="386"/>
      <c r="BN146" s="385"/>
      <c r="BO146" s="413" t="s">
        <v>413</v>
      </c>
      <c r="BP146" s="22" t="e">
        <f t="shared" si="171"/>
        <v>#DIV/0!</v>
      </c>
      <c r="BW146" s="384"/>
      <c r="BX146" s="412" t="s">
        <v>372</v>
      </c>
      <c r="BY146" s="411"/>
      <c r="BZ146" s="385"/>
      <c r="CA146" s="386"/>
      <c r="CB146" s="385"/>
      <c r="CC146" s="413" t="s">
        <v>413</v>
      </c>
    </row>
    <row r="147" spans="1:84" s="22" customFormat="1" ht="15" customHeight="1" thickBot="1">
      <c r="A147" s="324"/>
      <c r="B147" s="76"/>
      <c r="C147" s="76"/>
      <c r="D147" s="76"/>
      <c r="E147" s="21"/>
      <c r="F147" s="75"/>
      <c r="G147" s="75"/>
      <c r="H147" s="21"/>
      <c r="I147" s="21"/>
      <c r="J147" s="21"/>
      <c r="K147" s="21"/>
      <c r="L147" s="21"/>
      <c r="M147" s="21"/>
      <c r="N147" s="21"/>
      <c r="O147" s="21"/>
      <c r="P147" s="21"/>
      <c r="Q147"/>
      <c r="R147"/>
      <c r="S147"/>
      <c r="T147"/>
      <c r="U147"/>
      <c r="V147" s="21"/>
      <c r="W147" s="21"/>
      <c r="X147" s="21"/>
      <c r="Y147" s="21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1"/>
      <c r="AN147" s="21"/>
      <c r="AO147" s="442"/>
      <c r="AP147" s="76" t="s">
        <v>103</v>
      </c>
      <c r="AQ147" s="388"/>
      <c r="AR147" s="21"/>
      <c r="AS147" s="77"/>
      <c r="AT147" s="21"/>
      <c r="AU147" s="395"/>
      <c r="AV147" s="297"/>
      <c r="AW147" s="369"/>
      <c r="AX147" s="21"/>
      <c r="AY147" s="326"/>
      <c r="AZ147" s="21"/>
      <c r="BA147" s="389"/>
      <c r="BB147" s="21"/>
      <c r="BC147" s="21"/>
      <c r="BD147" s="389"/>
      <c r="BE147" s="77"/>
      <c r="BF147" s="21"/>
      <c r="BG147" s="77"/>
      <c r="BH147" s="21"/>
      <c r="BI147" s="395"/>
      <c r="BJ147" s="297"/>
      <c r="BK147" s="297"/>
      <c r="BL147" s="21"/>
      <c r="BM147" s="326"/>
      <c r="BN147" s="21"/>
      <c r="BO147" s="389"/>
      <c r="BP147" s="21" t="e">
        <f t="shared" si="171"/>
        <v>#DIV/0!</v>
      </c>
      <c r="BQ147" s="21"/>
      <c r="BR147" s="21"/>
      <c r="BS147" s="77"/>
      <c r="BT147" s="21"/>
      <c r="BU147" s="77"/>
      <c r="BV147" s="21"/>
      <c r="BW147" s="395"/>
      <c r="BX147" s="297"/>
      <c r="BY147" s="297"/>
      <c r="BZ147" s="21"/>
      <c r="CA147" s="326"/>
      <c r="CB147" s="21"/>
      <c r="CC147" s="389"/>
      <c r="CD147" s="21"/>
      <c r="CE147" s="21"/>
      <c r="CF147" s="21"/>
    </row>
    <row r="148" spans="1:84" s="22" customFormat="1" ht="15" customHeight="1" thickBot="1">
      <c r="A148" s="324"/>
      <c r="B148" s="76" t="s">
        <v>399</v>
      </c>
      <c r="C148" s="76"/>
      <c r="D148" s="76"/>
      <c r="E148" s="21"/>
      <c r="F148" s="75"/>
      <c r="G148" s="75"/>
      <c r="H148" s="21"/>
      <c r="I148" s="21"/>
      <c r="J148" s="21"/>
      <c r="K148" s="21"/>
      <c r="L148" s="21"/>
      <c r="M148" s="21"/>
      <c r="N148" s="21"/>
      <c r="O148" s="21"/>
      <c r="P148" s="21"/>
      <c r="Q148"/>
      <c r="R148"/>
      <c r="S148"/>
      <c r="T148"/>
      <c r="U148"/>
      <c r="V148" s="21"/>
      <c r="W148" s="21"/>
      <c r="X148" s="21"/>
      <c r="Y148" s="21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1"/>
      <c r="AN148" s="21"/>
      <c r="AO148" s="442"/>
      <c r="AP148" s="377" t="s">
        <v>0</v>
      </c>
      <c r="AQ148" s="5" t="s">
        <v>104</v>
      </c>
      <c r="AR148" s="6"/>
      <c r="AS148" s="7"/>
      <c r="AT148" s="6"/>
      <c r="AU148" s="396"/>
      <c r="AV148" s="298"/>
      <c r="AW148" s="370"/>
      <c r="AX148" s="6"/>
      <c r="AY148" s="327"/>
      <c r="AZ148" s="6"/>
      <c r="BA148" s="8"/>
      <c r="BB148" s="6"/>
      <c r="BC148" s="6"/>
      <c r="BD148" s="8"/>
      <c r="BE148" s="7" t="s">
        <v>105</v>
      </c>
      <c r="BF148" s="6"/>
      <c r="BG148" s="7"/>
      <c r="BH148" s="6"/>
      <c r="BI148" s="396"/>
      <c r="BJ148" s="298"/>
      <c r="BK148" s="298"/>
      <c r="BL148" s="6"/>
      <c r="BM148" s="327"/>
      <c r="BN148" s="6"/>
      <c r="BO148" s="8"/>
      <c r="BP148" s="6" t="e">
        <f t="shared" si="171"/>
        <v>#DIV/0!</v>
      </c>
      <c r="BQ148" s="6"/>
      <c r="BR148" s="8"/>
      <c r="BS148" s="5" t="s">
        <v>106</v>
      </c>
      <c r="BT148" s="6"/>
      <c r="BU148" s="7"/>
      <c r="BV148" s="6"/>
      <c r="BW148" s="396"/>
      <c r="BX148" s="298"/>
      <c r="BY148" s="298"/>
      <c r="BZ148" s="6"/>
      <c r="CA148" s="327"/>
      <c r="CB148" s="6"/>
      <c r="CC148" s="8"/>
      <c r="CD148" s="6"/>
      <c r="CE148" s="6"/>
      <c r="CF148" s="8"/>
    </row>
    <row r="149" spans="1:84" s="22" customFormat="1" ht="15" customHeight="1" thickBot="1">
      <c r="A149" s="324"/>
      <c r="B149" s="76"/>
      <c r="C149" s="76"/>
      <c r="D149" s="76"/>
      <c r="E149" s="21"/>
      <c r="F149" s="75"/>
      <c r="G149" s="75"/>
      <c r="H149" s="21"/>
      <c r="I149" s="21"/>
      <c r="J149" s="21"/>
      <c r="K149" s="21"/>
      <c r="L149" s="21"/>
      <c r="M149" s="21"/>
      <c r="N149" s="21"/>
      <c r="O149" s="21"/>
      <c r="P149" s="21"/>
      <c r="Q149"/>
      <c r="R149"/>
      <c r="S149"/>
      <c r="T149"/>
      <c r="U149"/>
      <c r="V149" s="107"/>
      <c r="W149" s="107"/>
      <c r="X149" s="107"/>
      <c r="Y149" s="10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107"/>
      <c r="AN149" s="107"/>
      <c r="AO149" s="443"/>
      <c r="AP149" s="378"/>
      <c r="AQ149" s="9"/>
      <c r="AR149" s="10"/>
      <c r="AS149" s="11"/>
      <c r="AT149" s="10"/>
      <c r="AU149" s="397" t="s">
        <v>107</v>
      </c>
      <c r="AV149" s="299"/>
      <c r="AW149" s="370"/>
      <c r="AX149" s="10" t="s">
        <v>108</v>
      </c>
      <c r="AY149" s="328"/>
      <c r="AZ149" s="10" t="s">
        <v>109</v>
      </c>
      <c r="BA149" s="12" t="s">
        <v>110</v>
      </c>
      <c r="BB149" s="10"/>
      <c r="BC149" s="10" t="s">
        <v>111</v>
      </c>
      <c r="BD149" s="12" t="s">
        <v>112</v>
      </c>
      <c r="BE149" s="11"/>
      <c r="BF149" s="10"/>
      <c r="BG149" s="11"/>
      <c r="BH149" s="10"/>
      <c r="BI149" s="397" t="s">
        <v>107</v>
      </c>
      <c r="BJ149" s="299"/>
      <c r="BK149" s="299"/>
      <c r="BL149" s="10" t="s">
        <v>108</v>
      </c>
      <c r="BM149" s="328"/>
      <c r="BN149" s="10" t="s">
        <v>109</v>
      </c>
      <c r="BO149" s="12" t="s">
        <v>110</v>
      </c>
      <c r="BP149" s="10" t="e">
        <f t="shared" si="171"/>
        <v>#VALUE!</v>
      </c>
      <c r="BQ149" s="10" t="s">
        <v>111</v>
      </c>
      <c r="BR149" s="12" t="s">
        <v>112</v>
      </c>
      <c r="BS149" s="9"/>
      <c r="BT149" s="10"/>
      <c r="BU149" s="11"/>
      <c r="BV149" s="10"/>
      <c r="BW149" s="397" t="s">
        <v>107</v>
      </c>
      <c r="BX149" s="299"/>
      <c r="BY149" s="299"/>
      <c r="BZ149" s="10" t="s">
        <v>108</v>
      </c>
      <c r="CA149" s="328"/>
      <c r="CB149" s="10" t="s">
        <v>109</v>
      </c>
      <c r="CC149" s="12" t="s">
        <v>110</v>
      </c>
      <c r="CD149" s="10"/>
      <c r="CE149" s="10" t="s">
        <v>111</v>
      </c>
      <c r="CF149" s="12" t="s">
        <v>112</v>
      </c>
    </row>
    <row r="150" spans="1:84" s="22" customFormat="1" ht="15" customHeight="1" thickBot="1">
      <c r="A150" s="324"/>
      <c r="B150" s="17" t="s">
        <v>0</v>
      </c>
      <c r="C150" s="18" t="s">
        <v>1</v>
      </c>
      <c r="D150" s="18" t="s">
        <v>2</v>
      </c>
      <c r="E150" s="19" t="s">
        <v>3</v>
      </c>
      <c r="F150" s="19" t="s">
        <v>4</v>
      </c>
      <c r="G150" s="19" t="s">
        <v>5</v>
      </c>
      <c r="H150" s="19" t="s">
        <v>6</v>
      </c>
      <c r="I150" s="19" t="s">
        <v>7</v>
      </c>
      <c r="J150" s="19" t="s">
        <v>8</v>
      </c>
      <c r="K150" s="19" t="s">
        <v>9</v>
      </c>
      <c r="L150" s="19" t="s">
        <v>10</v>
      </c>
      <c r="M150" s="19" t="s">
        <v>11</v>
      </c>
      <c r="N150" s="19" t="s">
        <v>12</v>
      </c>
      <c r="O150" s="19" t="s">
        <v>13</v>
      </c>
      <c r="P150" s="19" t="s">
        <v>14</v>
      </c>
      <c r="Q150" s="258" t="s">
        <v>342</v>
      </c>
      <c r="R150" s="258" t="s">
        <v>343</v>
      </c>
      <c r="S150" s="258" t="s">
        <v>344</v>
      </c>
      <c r="T150" s="258" t="s">
        <v>345</v>
      </c>
      <c r="U150" s="269" t="s">
        <v>346</v>
      </c>
      <c r="V150" s="178"/>
      <c r="W150" s="178"/>
      <c r="X150" s="178"/>
      <c r="Y150" s="330"/>
      <c r="Z150" s="358"/>
      <c r="AA150" s="355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307"/>
      <c r="AL150" s="238"/>
      <c r="AM150" s="178"/>
      <c r="AN150" s="19"/>
      <c r="AO150" s="444"/>
      <c r="AP150" s="376"/>
      <c r="AQ150" s="13" t="s">
        <v>15</v>
      </c>
      <c r="AR150" s="1" t="s">
        <v>16</v>
      </c>
      <c r="AS150" s="14" t="s">
        <v>17</v>
      </c>
      <c r="AT150" s="1" t="s">
        <v>18</v>
      </c>
      <c r="AU150" s="398" t="s">
        <v>19</v>
      </c>
      <c r="AV150" s="293"/>
      <c r="AW150" s="370"/>
      <c r="AX150" s="1" t="s">
        <v>20</v>
      </c>
      <c r="AY150" s="329"/>
      <c r="AZ150" s="2" t="s">
        <v>21</v>
      </c>
      <c r="BA150" s="4" t="s">
        <v>22</v>
      </c>
      <c r="BB150" s="3"/>
      <c r="BC150" s="1" t="s">
        <v>23</v>
      </c>
      <c r="BD150" s="4" t="s">
        <v>24</v>
      </c>
      <c r="BE150" s="14" t="s">
        <v>15</v>
      </c>
      <c r="BF150" s="1" t="s">
        <v>16</v>
      </c>
      <c r="BG150" s="14" t="s">
        <v>17</v>
      </c>
      <c r="BH150" s="1" t="s">
        <v>18</v>
      </c>
      <c r="BI150" s="398" t="s">
        <v>19</v>
      </c>
      <c r="BJ150" s="293"/>
      <c r="BK150" s="293"/>
      <c r="BL150" s="1" t="s">
        <v>20</v>
      </c>
      <c r="BM150" s="329"/>
      <c r="BN150" s="2" t="s">
        <v>21</v>
      </c>
      <c r="BO150" s="4" t="s">
        <v>22</v>
      </c>
      <c r="BP150" s="3" t="e">
        <f t="shared" si="171"/>
        <v>#VALUE!</v>
      </c>
      <c r="BQ150" s="1" t="s">
        <v>23</v>
      </c>
      <c r="BR150" s="4" t="s">
        <v>24</v>
      </c>
      <c r="BS150" s="13" t="s">
        <v>15</v>
      </c>
      <c r="BT150" s="1" t="s">
        <v>16</v>
      </c>
      <c r="BU150" s="14" t="s">
        <v>17</v>
      </c>
      <c r="BV150" s="1" t="s">
        <v>18</v>
      </c>
      <c r="BW150" s="398" t="s">
        <v>19</v>
      </c>
      <c r="BX150" s="293"/>
      <c r="BY150" s="391"/>
      <c r="BZ150" s="1" t="s">
        <v>20</v>
      </c>
      <c r="CA150" s="329"/>
      <c r="CB150" s="2" t="s">
        <v>21</v>
      </c>
      <c r="CC150" s="4" t="s">
        <v>22</v>
      </c>
      <c r="CD150" s="3"/>
      <c r="CE150" s="1" t="s">
        <v>23</v>
      </c>
      <c r="CF150" s="4" t="s">
        <v>24</v>
      </c>
    </row>
    <row r="151" spans="1:84" s="22" customFormat="1" ht="15" customHeight="1">
      <c r="A151" s="324" t="str">
        <f t="shared" ref="A151:A191" si="182">CONCATENATE($B$148,"; ",B151,"; ",C151,"; ",D151)</f>
        <v>BNI- Direct Installation; Night Covers for 3' Refrigerated Display Cases-BES; COM-Refrigeration; Other Commercial</v>
      </c>
      <c r="B151" s="36" t="s">
        <v>113</v>
      </c>
      <c r="C151" s="15" t="s">
        <v>44</v>
      </c>
      <c r="D151" s="15" t="s">
        <v>54</v>
      </c>
      <c r="E151" s="37">
        <v>10</v>
      </c>
      <c r="F151" s="38">
        <v>133.79323500000001</v>
      </c>
      <c r="G151" s="26">
        <v>13.546647171245569</v>
      </c>
      <c r="H151" s="27">
        <v>52.859000000000002</v>
      </c>
      <c r="I151" s="28">
        <v>0.75673016894001022</v>
      </c>
      <c r="J151" s="27">
        <v>16.724154375000001</v>
      </c>
      <c r="K151" s="27">
        <v>56.724154374999998</v>
      </c>
      <c r="L151" s="27">
        <v>12.859000000000002</v>
      </c>
      <c r="M151" s="27">
        <v>69.583154374999992</v>
      </c>
      <c r="N151" s="27">
        <v>83.127116615642365</v>
      </c>
      <c r="O151" s="29">
        <v>0.82</v>
      </c>
      <c r="P151" s="29">
        <v>1.1347744094984293</v>
      </c>
      <c r="Q151" s="261">
        <f t="shared" ref="Q151:Q191" si="183">N151*O151/(O151*H151+J151)</f>
        <v>1.1347744094984293</v>
      </c>
      <c r="R151" s="262">
        <f t="shared" ref="R151:R191" si="184">Y151</f>
        <v>0</v>
      </c>
      <c r="S151" s="262">
        <f t="shared" ref="S151:S191" si="185">-PV(RDR,E151,Z151)</f>
        <v>0</v>
      </c>
      <c r="T151" s="261">
        <f t="shared" ref="T151:T191" si="186">(N151+SUM(R151:S151))*O151/(O151*H151+J151)</f>
        <v>1.1347744094984293</v>
      </c>
      <c r="U151" s="267">
        <f t="shared" ref="U151:U191" si="187">(T151-Q151)/Q151</f>
        <v>0</v>
      </c>
      <c r="V151" s="42" t="s">
        <v>38</v>
      </c>
      <c r="W151" s="198" t="s">
        <v>38</v>
      </c>
      <c r="X151" s="198"/>
      <c r="Y151" s="356">
        <v>0</v>
      </c>
      <c r="Z151" s="357">
        <v>0</v>
      </c>
      <c r="AA151" s="288">
        <f t="shared" ref="AA151:AA158" si="188">Z151*0</f>
        <v>0</v>
      </c>
      <c r="AB151" s="288">
        <f t="shared" ref="AB151:AB158" si="189">AA151*0</f>
        <v>0</v>
      </c>
      <c r="AC151" s="288">
        <f t="shared" ref="AC151:AE151" si="190">AB151*0</f>
        <v>0</v>
      </c>
      <c r="AD151" s="288">
        <f t="shared" si="190"/>
        <v>0</v>
      </c>
      <c r="AE151" s="288">
        <f t="shared" si="190"/>
        <v>0</v>
      </c>
      <c r="AF151" s="288">
        <f t="shared" ref="AF151:AF158" si="191">Z151*1</f>
        <v>0</v>
      </c>
      <c r="AG151" s="288" t="s">
        <v>38</v>
      </c>
      <c r="AH151" s="288">
        <f t="shared" ref="AH151:AH158" si="192">AF151*0</f>
        <v>0</v>
      </c>
      <c r="AI151" s="288">
        <f t="shared" ref="AI151:AJ151" si="193">AH151*0</f>
        <v>0</v>
      </c>
      <c r="AJ151" s="288">
        <f t="shared" si="193"/>
        <v>0</v>
      </c>
      <c r="AK151" s="288">
        <f t="shared" ref="AK151:AK191" si="194">SUM(AA151:AJ151)</f>
        <v>0</v>
      </c>
      <c r="AL151" s="246" t="s">
        <v>448</v>
      </c>
      <c r="AM151" s="234" t="s">
        <v>330</v>
      </c>
      <c r="AN151" s="102" t="s">
        <v>38</v>
      </c>
      <c r="AO151" s="241"/>
      <c r="AP151" s="43" t="s">
        <v>113</v>
      </c>
      <c r="AQ151" s="78">
        <v>1.87264137899728</v>
      </c>
      <c r="AR151" s="79">
        <v>18.495111367683922</v>
      </c>
      <c r="AS151" s="80">
        <v>1.87264137899728</v>
      </c>
      <c r="AT151" s="79">
        <v>18.495111367683922</v>
      </c>
      <c r="AU151" s="392">
        <v>11491.203419072375</v>
      </c>
      <c r="AV151" s="294">
        <f t="shared" ref="AV151:AV191" si="195">SUM(R151:S151)*O151*AY151</f>
        <v>0</v>
      </c>
      <c r="AW151" s="295">
        <f t="shared" si="168"/>
        <v>11491.203419072375</v>
      </c>
      <c r="AX151" s="81">
        <v>10126.421007459528</v>
      </c>
      <c r="AY151" s="82">
        <v>168.58112342547943</v>
      </c>
      <c r="AZ151" s="81">
        <v>1364.7824116128468</v>
      </c>
      <c r="BA151" s="83">
        <v>1.1347744094984293</v>
      </c>
      <c r="BB151" s="82">
        <f t="shared" ref="BB151:BB191" si="196">SUM(AU151:AV151)/AX151</f>
        <v>1.1347744094984293</v>
      </c>
      <c r="BC151" s="81">
        <v>9562.6216698978242</v>
      </c>
      <c r="BD151" s="83">
        <v>1.2016791854524094</v>
      </c>
      <c r="BE151" s="80">
        <v>1.9503551554032332</v>
      </c>
      <c r="BF151" s="79">
        <v>19.262650185074051</v>
      </c>
      <c r="BG151" s="80">
        <v>3.8229965344005126</v>
      </c>
      <c r="BH151" s="79">
        <v>37.75776155275797</v>
      </c>
      <c r="BI151" s="392">
        <v>12718.399506467977</v>
      </c>
      <c r="BJ151" s="294">
        <f t="shared" ref="BJ151:BJ191" si="197">SUM(R151:S151)*O151*BM151</f>
        <v>0</v>
      </c>
      <c r="BK151" s="294">
        <f>BI151+BJ151</f>
        <v>12718.399506467977</v>
      </c>
      <c r="BL151" s="81">
        <v>10546.662932471161</v>
      </c>
      <c r="BM151" s="82">
        <v>175.5771643541313</v>
      </c>
      <c r="BN151" s="81">
        <v>2171.7365739968154</v>
      </c>
      <c r="BO151" s="83">
        <v>1.2059169414915549</v>
      </c>
      <c r="BP151" s="82">
        <f t="shared" si="171"/>
        <v>1.2059169414915549</v>
      </c>
      <c r="BQ151" s="81">
        <v>9959.4661755484922</v>
      </c>
      <c r="BR151" s="83">
        <v>1.2770161856358273</v>
      </c>
      <c r="BS151" s="78">
        <v>2.0449392346298056</v>
      </c>
      <c r="BT151" s="79">
        <v>20.196808267088663</v>
      </c>
      <c r="BU151" s="80">
        <v>5.8679357690303187</v>
      </c>
      <c r="BV151" s="79">
        <v>57.954569819846633</v>
      </c>
      <c r="BW151" s="392">
        <v>14242.605414535827</v>
      </c>
      <c r="BX151" s="294">
        <f t="shared" ref="BX151:BX191" si="198">SUM(R151:S151)*O151*CA151</f>
        <v>0</v>
      </c>
      <c r="BY151" s="295">
        <f>BW151+BX151</f>
        <v>14242.605414535827</v>
      </c>
      <c r="BZ151" s="81">
        <v>11058.132035735365</v>
      </c>
      <c r="CA151" s="82">
        <v>184.09192351358024</v>
      </c>
      <c r="CB151" s="81">
        <v>3184.4733788004614</v>
      </c>
      <c r="CC151" s="83">
        <v>1.2879757058886205</v>
      </c>
      <c r="CD151" s="82">
        <f t="shared" ref="CD151:CD191" si="199">SUM(BW151:BX151)/BZ151</f>
        <v>1.2879757058886205</v>
      </c>
      <c r="CE151" s="81">
        <v>10442.458688575018</v>
      </c>
      <c r="CF151" s="83">
        <v>1.3639130246326479</v>
      </c>
    </row>
    <row r="152" spans="1:84" s="22" customFormat="1" ht="15" customHeight="1">
      <c r="A152" s="324" t="str">
        <f t="shared" si="182"/>
        <v>BNI- Direct Installation; Night Covers for 3' Refrigerated Display Cases-BES; COM-Refrigeration; Retail</v>
      </c>
      <c r="B152" s="36" t="s">
        <v>113</v>
      </c>
      <c r="C152" s="15" t="s">
        <v>44</v>
      </c>
      <c r="D152" s="15" t="s">
        <v>28</v>
      </c>
      <c r="E152" s="37">
        <v>10</v>
      </c>
      <c r="F152" s="38">
        <v>103.2837</v>
      </c>
      <c r="G152" s="26">
        <v>10.464498905599465</v>
      </c>
      <c r="H152" s="27">
        <v>52.859000000000002</v>
      </c>
      <c r="I152" s="28">
        <v>0.75673016894001022</v>
      </c>
      <c r="J152" s="27">
        <v>12.9104625</v>
      </c>
      <c r="K152" s="27">
        <v>52.910462500000001</v>
      </c>
      <c r="L152" s="27">
        <v>12.859000000000002</v>
      </c>
      <c r="M152" s="27">
        <v>65.769462500000003</v>
      </c>
      <c r="N152" s="27">
        <v>64.179007963785665</v>
      </c>
      <c r="O152" s="29">
        <v>0.82</v>
      </c>
      <c r="P152" s="29">
        <v>0.93550677935511495</v>
      </c>
      <c r="Q152" s="261">
        <f t="shared" si="183"/>
        <v>0.93550677935511495</v>
      </c>
      <c r="R152" s="262">
        <f t="shared" si="184"/>
        <v>0</v>
      </c>
      <c r="S152" s="262">
        <f t="shared" si="185"/>
        <v>0</v>
      </c>
      <c r="T152" s="261">
        <f t="shared" si="186"/>
        <v>0.93550677935511495</v>
      </c>
      <c r="U152" s="267">
        <f t="shared" si="187"/>
        <v>0</v>
      </c>
      <c r="V152" s="42" t="s">
        <v>38</v>
      </c>
      <c r="W152" s="198" t="s">
        <v>38</v>
      </c>
      <c r="X152" s="198"/>
      <c r="Y152" s="333">
        <v>0</v>
      </c>
      <c r="Z152" s="335">
        <v>0</v>
      </c>
      <c r="AA152" s="288">
        <f t="shared" si="188"/>
        <v>0</v>
      </c>
      <c r="AB152" s="288">
        <f t="shared" si="189"/>
        <v>0</v>
      </c>
      <c r="AC152" s="288">
        <f t="shared" ref="AC152:AE152" si="200">AB152*0</f>
        <v>0</v>
      </c>
      <c r="AD152" s="288">
        <f t="shared" si="200"/>
        <v>0</v>
      </c>
      <c r="AE152" s="288">
        <f t="shared" si="200"/>
        <v>0</v>
      </c>
      <c r="AF152" s="288">
        <f t="shared" si="191"/>
        <v>0</v>
      </c>
      <c r="AG152" s="288" t="s">
        <v>38</v>
      </c>
      <c r="AH152" s="288">
        <f t="shared" si="192"/>
        <v>0</v>
      </c>
      <c r="AI152" s="288">
        <f t="shared" ref="AI152:AJ152" si="201">AH152*0</f>
        <v>0</v>
      </c>
      <c r="AJ152" s="288">
        <f t="shared" si="201"/>
        <v>0</v>
      </c>
      <c r="AK152" s="288">
        <f t="shared" si="194"/>
        <v>0</v>
      </c>
      <c r="AL152" s="246" t="s">
        <v>448</v>
      </c>
      <c r="AM152" s="234" t="s">
        <v>330</v>
      </c>
      <c r="AN152" s="102" t="s">
        <v>38</v>
      </c>
      <c r="AO152" s="241"/>
      <c r="AP152" s="43" t="s">
        <v>113</v>
      </c>
      <c r="AQ152" s="44">
        <v>2.0620835192680596</v>
      </c>
      <c r="AR152" s="45">
        <v>20.352586158240495</v>
      </c>
      <c r="AS152" s="46">
        <v>2.0620835192680596</v>
      </c>
      <c r="AT152" s="45">
        <v>20.352586158240495</v>
      </c>
      <c r="AU152" s="393">
        <v>12646.804763320353</v>
      </c>
      <c r="AV152" s="295">
        <f t="shared" si="195"/>
        <v>0</v>
      </c>
      <c r="AW152" s="295">
        <f t="shared" si="168"/>
        <v>12646.804763320353</v>
      </c>
      <c r="AX152" s="39">
        <v>13518.667146419124</v>
      </c>
      <c r="AY152" s="41">
        <v>240.31117225897705</v>
      </c>
      <c r="AZ152" s="39">
        <v>-871.86238309877081</v>
      </c>
      <c r="BA152" s="47">
        <v>0.93550677935511473</v>
      </c>
      <c r="BB152" s="41">
        <f t="shared" si="196"/>
        <v>0.93550677935511473</v>
      </c>
      <c r="BC152" s="39">
        <v>12714.975268139646</v>
      </c>
      <c r="BD152" s="47">
        <v>0.99463856567695341</v>
      </c>
      <c r="BE152" s="46">
        <v>2.1390617438344197</v>
      </c>
      <c r="BF152" s="45">
        <v>21.112354583309592</v>
      </c>
      <c r="BG152" s="46">
        <v>4.2011452631024788</v>
      </c>
      <c r="BH152" s="45">
        <v>41.464940741550087</v>
      </c>
      <c r="BI152" s="393">
        <v>13941.546988076376</v>
      </c>
      <c r="BJ152" s="295">
        <f t="shared" si="197"/>
        <v>0</v>
      </c>
      <c r="BK152" s="295">
        <f t="shared" ref="BK152:BK192" si="202">BI152+BJ152</f>
        <v>13941.546988076376</v>
      </c>
      <c r="BL152" s="39">
        <v>14023.323231253315</v>
      </c>
      <c r="BM152" s="41">
        <v>249.28206369528655</v>
      </c>
      <c r="BN152" s="39">
        <v>-81.776243176938806</v>
      </c>
      <c r="BO152" s="47">
        <v>0.99416855464083675</v>
      </c>
      <c r="BP152" s="41">
        <f t="shared" si="171"/>
        <v>0.99416855464083675</v>
      </c>
      <c r="BQ152" s="39">
        <v>13189.629283072072</v>
      </c>
      <c r="BR152" s="47">
        <v>1.0570082516245802</v>
      </c>
      <c r="BS152" s="44">
        <v>2.2336446630577185</v>
      </c>
      <c r="BT152" s="45">
        <v>22.045879823486757</v>
      </c>
      <c r="BU152" s="46">
        <v>6.4347899261601977</v>
      </c>
      <c r="BV152" s="45">
        <v>63.510820565036845</v>
      </c>
      <c r="BW152" s="393">
        <v>15548.788604756164</v>
      </c>
      <c r="BX152" s="295">
        <f t="shared" si="198"/>
        <v>0</v>
      </c>
      <c r="BY152" s="295">
        <f t="shared" ref="BY152:BY192" si="203">BW152+BX152</f>
        <v>15548.788604756164</v>
      </c>
      <c r="BZ152" s="39">
        <v>14643.39268565169</v>
      </c>
      <c r="CA152" s="41">
        <v>260.30457174689786</v>
      </c>
      <c r="CB152" s="39">
        <v>905.39591910447416</v>
      </c>
      <c r="CC152" s="47">
        <v>1.0618296550902186</v>
      </c>
      <c r="CD152" s="41">
        <f t="shared" si="199"/>
        <v>1.0618296550902186</v>
      </c>
      <c r="CE152" s="39">
        <v>13772.835281992799</v>
      </c>
      <c r="CF152" s="47">
        <v>1.1289460947148133</v>
      </c>
    </row>
    <row r="153" spans="1:84" s="22" customFormat="1" ht="15" customHeight="1">
      <c r="A153" s="324" t="str">
        <f t="shared" si="182"/>
        <v>BNI- Direct Installation; Humidity-Based Door Heater Controls for Reach-In Coolers and Freezers-BES; COM-Refrigeration; Other Commercial</v>
      </c>
      <c r="B153" s="36" t="s">
        <v>114</v>
      </c>
      <c r="C153" s="15" t="s">
        <v>44</v>
      </c>
      <c r="D153" s="15" t="s">
        <v>54</v>
      </c>
      <c r="E153" s="37">
        <v>10</v>
      </c>
      <c r="F153" s="38">
        <v>1779.1428599999997</v>
      </c>
      <c r="G153" s="38">
        <v>1217.7118226250841</v>
      </c>
      <c r="H153" s="39">
        <v>345</v>
      </c>
      <c r="I153" s="40">
        <v>0.75</v>
      </c>
      <c r="J153" s="39">
        <v>222.39285749999996</v>
      </c>
      <c r="K153" s="39">
        <v>481.14285749999999</v>
      </c>
      <c r="L153" s="39">
        <v>86.25</v>
      </c>
      <c r="M153" s="39">
        <v>567.39285749999999</v>
      </c>
      <c r="N153" s="39">
        <v>2265.0780686539956</v>
      </c>
      <c r="O153" s="41">
        <v>0.82</v>
      </c>
      <c r="P153" s="41">
        <v>3.6758168826803108</v>
      </c>
      <c r="Q153" s="261">
        <f t="shared" si="183"/>
        <v>3.6758168826803108</v>
      </c>
      <c r="R153" s="262">
        <f t="shared" si="184"/>
        <v>0</v>
      </c>
      <c r="S153" s="262">
        <f t="shared" si="185"/>
        <v>0</v>
      </c>
      <c r="T153" s="261">
        <f t="shared" si="186"/>
        <v>3.6758168826803108</v>
      </c>
      <c r="U153" s="267">
        <f t="shared" si="187"/>
        <v>0</v>
      </c>
      <c r="V153" s="42" t="s">
        <v>38</v>
      </c>
      <c r="W153" s="198" t="s">
        <v>38</v>
      </c>
      <c r="X153" s="198"/>
      <c r="Y153" s="333">
        <v>0</v>
      </c>
      <c r="Z153" s="335">
        <v>0</v>
      </c>
      <c r="AA153" s="288">
        <f t="shared" si="188"/>
        <v>0</v>
      </c>
      <c r="AB153" s="288">
        <f t="shared" si="189"/>
        <v>0</v>
      </c>
      <c r="AC153" s="288">
        <f t="shared" ref="AC153:AE153" si="204">AB153*0</f>
        <v>0</v>
      </c>
      <c r="AD153" s="288">
        <f t="shared" si="204"/>
        <v>0</v>
      </c>
      <c r="AE153" s="288">
        <f t="shared" si="204"/>
        <v>0</v>
      </c>
      <c r="AF153" s="288">
        <f t="shared" si="191"/>
        <v>0</v>
      </c>
      <c r="AG153" s="288" t="s">
        <v>38</v>
      </c>
      <c r="AH153" s="288">
        <f t="shared" si="192"/>
        <v>0</v>
      </c>
      <c r="AI153" s="288">
        <f t="shared" ref="AI153:AJ153" si="205">AH153*0</f>
        <v>0</v>
      </c>
      <c r="AJ153" s="288">
        <f t="shared" si="205"/>
        <v>0</v>
      </c>
      <c r="AK153" s="288">
        <f t="shared" si="194"/>
        <v>0</v>
      </c>
      <c r="AL153" s="246" t="s">
        <v>450</v>
      </c>
      <c r="AM153" s="234" t="s">
        <v>330</v>
      </c>
      <c r="AN153" s="102" t="s">
        <v>38</v>
      </c>
      <c r="AO153" s="241"/>
      <c r="AP153" s="43" t="s">
        <v>114</v>
      </c>
      <c r="AQ153" s="44">
        <v>31.80938573407229</v>
      </c>
      <c r="AR153" s="45">
        <v>46.475233678654092</v>
      </c>
      <c r="AS153" s="46">
        <v>31.80938573407229</v>
      </c>
      <c r="AT153" s="45">
        <v>46.475233678654092</v>
      </c>
      <c r="AU153" s="393">
        <v>59168.959900774338</v>
      </c>
      <c r="AV153" s="295">
        <f t="shared" si="195"/>
        <v>0</v>
      </c>
      <c r="AW153" s="295">
        <f t="shared" si="168"/>
        <v>59168.959900774338</v>
      </c>
      <c r="AX153" s="39">
        <v>16096.819234811788</v>
      </c>
      <c r="AY153" s="41">
        <v>31.856415533860556</v>
      </c>
      <c r="AZ153" s="39">
        <v>43072.14066596255</v>
      </c>
      <c r="BA153" s="47">
        <v>3.6758168826803113</v>
      </c>
      <c r="BB153" s="41">
        <f t="shared" si="196"/>
        <v>3.6758168826803113</v>
      </c>
      <c r="BC153" s="39">
        <v>15327.486799669055</v>
      </c>
      <c r="BD153" s="47">
        <v>3.8603171331422637</v>
      </c>
      <c r="BE153" s="46">
        <v>33.831748855979441</v>
      </c>
      <c r="BF153" s="45">
        <v>49.430015624444735</v>
      </c>
      <c r="BG153" s="46">
        <v>65.641134590051735</v>
      </c>
      <c r="BH153" s="45">
        <v>95.905249303098827</v>
      </c>
      <c r="BI153" s="393">
        <v>70271.138142897398</v>
      </c>
      <c r="BJ153" s="295">
        <f t="shared" si="197"/>
        <v>0</v>
      </c>
      <c r="BK153" s="295">
        <f t="shared" si="202"/>
        <v>70271.138142897398</v>
      </c>
      <c r="BL153" s="39">
        <v>17120.21572139089</v>
      </c>
      <c r="BM153" s="41">
        <v>33.881768695673465</v>
      </c>
      <c r="BN153" s="39">
        <v>53150.922421506504</v>
      </c>
      <c r="BO153" s="47">
        <v>4.1045708352317645</v>
      </c>
      <c r="BP153" s="41">
        <f t="shared" si="171"/>
        <v>4.1045708352317645</v>
      </c>
      <c r="BQ153" s="39">
        <v>16301.971007390377</v>
      </c>
      <c r="BR153" s="47">
        <v>4.3105915297629043</v>
      </c>
      <c r="BS153" s="44">
        <v>36.20959292809539</v>
      </c>
      <c r="BT153" s="45">
        <v>52.904174472618237</v>
      </c>
      <c r="BU153" s="46">
        <v>101.85072751814711</v>
      </c>
      <c r="BV153" s="45">
        <v>148.80942377571705</v>
      </c>
      <c r="BW153" s="393">
        <v>83712.822606790432</v>
      </c>
      <c r="BX153" s="295">
        <f t="shared" si="198"/>
        <v>0</v>
      </c>
      <c r="BY153" s="295">
        <f t="shared" si="203"/>
        <v>83712.822606790432</v>
      </c>
      <c r="BZ153" s="39">
        <v>18323.49976206385</v>
      </c>
      <c r="CA153" s="41">
        <v>36.263128382066732</v>
      </c>
      <c r="CB153" s="39">
        <v>65389.322844726586</v>
      </c>
      <c r="CC153" s="47">
        <v>4.5686044529607654</v>
      </c>
      <c r="CD153" s="41">
        <f t="shared" si="199"/>
        <v>4.5686044529607654</v>
      </c>
      <c r="CE153" s="39">
        <v>17447.745211636939</v>
      </c>
      <c r="CF153" s="47">
        <v>4.7979163835426357</v>
      </c>
    </row>
    <row r="154" spans="1:84" s="22" customFormat="1" ht="15" customHeight="1">
      <c r="A154" s="324" t="str">
        <f t="shared" si="182"/>
        <v>BNI- Direct Installation; Humidity-Based Door Heater Controls for Reach-In Coolers and Freezers-BES; COM-Refrigeration; Retail</v>
      </c>
      <c r="B154" s="36" t="s">
        <v>114</v>
      </c>
      <c r="C154" s="15" t="s">
        <v>44</v>
      </c>
      <c r="D154" s="15" t="s">
        <v>28</v>
      </c>
      <c r="E154" s="37">
        <v>10</v>
      </c>
      <c r="F154" s="38">
        <v>1779.1428599999997</v>
      </c>
      <c r="G154" s="38">
        <v>1236.4543298054157</v>
      </c>
      <c r="H154" s="39">
        <v>345</v>
      </c>
      <c r="I154" s="40">
        <v>0.75</v>
      </c>
      <c r="J154" s="39">
        <v>222.39285749999996</v>
      </c>
      <c r="K154" s="39">
        <v>481.14285749999999</v>
      </c>
      <c r="L154" s="39">
        <v>86.25</v>
      </c>
      <c r="M154" s="39">
        <v>567.39285749999999</v>
      </c>
      <c r="N154" s="39">
        <v>2286.0262701846386</v>
      </c>
      <c r="O154" s="41">
        <v>0.82</v>
      </c>
      <c r="P154" s="41">
        <v>3.7098120698280472</v>
      </c>
      <c r="Q154" s="261">
        <f t="shared" si="183"/>
        <v>3.7098120698280472</v>
      </c>
      <c r="R154" s="262">
        <f t="shared" si="184"/>
        <v>0</v>
      </c>
      <c r="S154" s="262">
        <f t="shared" si="185"/>
        <v>0</v>
      </c>
      <c r="T154" s="261">
        <f t="shared" si="186"/>
        <v>3.7098120698280472</v>
      </c>
      <c r="U154" s="267">
        <f t="shared" si="187"/>
        <v>0</v>
      </c>
      <c r="V154" s="42" t="s">
        <v>38</v>
      </c>
      <c r="W154" s="198" t="s">
        <v>38</v>
      </c>
      <c r="X154" s="198"/>
      <c r="Y154" s="333">
        <v>0</v>
      </c>
      <c r="Z154" s="335">
        <v>0</v>
      </c>
      <c r="AA154" s="288">
        <f t="shared" si="188"/>
        <v>0</v>
      </c>
      <c r="AB154" s="288">
        <f t="shared" si="189"/>
        <v>0</v>
      </c>
      <c r="AC154" s="288">
        <f t="shared" ref="AC154:AE154" si="206">AB154*0</f>
        <v>0</v>
      </c>
      <c r="AD154" s="288">
        <f t="shared" si="206"/>
        <v>0</v>
      </c>
      <c r="AE154" s="288">
        <f t="shared" si="206"/>
        <v>0</v>
      </c>
      <c r="AF154" s="288">
        <f t="shared" si="191"/>
        <v>0</v>
      </c>
      <c r="AG154" s="288" t="s">
        <v>38</v>
      </c>
      <c r="AH154" s="288">
        <f t="shared" si="192"/>
        <v>0</v>
      </c>
      <c r="AI154" s="288">
        <f t="shared" ref="AI154:AJ154" si="207">AH154*0</f>
        <v>0</v>
      </c>
      <c r="AJ154" s="288">
        <f t="shared" si="207"/>
        <v>0</v>
      </c>
      <c r="AK154" s="288">
        <f t="shared" si="194"/>
        <v>0</v>
      </c>
      <c r="AL154" s="246" t="s">
        <v>450</v>
      </c>
      <c r="AM154" s="234" t="s">
        <v>330</v>
      </c>
      <c r="AN154" s="102" t="s">
        <v>38</v>
      </c>
      <c r="AO154" s="241"/>
      <c r="AP154" s="43" t="s">
        <v>114</v>
      </c>
      <c r="AQ154" s="44">
        <v>46.211518935901807</v>
      </c>
      <c r="AR154" s="45">
        <v>66.494080681090097</v>
      </c>
      <c r="AS154" s="46">
        <v>46.211518935901807</v>
      </c>
      <c r="AT154" s="45">
        <v>66.494080681090097</v>
      </c>
      <c r="AU154" s="393">
        <v>85438.453912997677</v>
      </c>
      <c r="AV154" s="295">
        <f t="shared" si="195"/>
        <v>0</v>
      </c>
      <c r="AW154" s="295">
        <f t="shared" si="168"/>
        <v>85438.453912997677</v>
      </c>
      <c r="AX154" s="39">
        <v>23030.399466288276</v>
      </c>
      <c r="AY154" s="41">
        <v>45.578319828691185</v>
      </c>
      <c r="AZ154" s="39">
        <v>62408.054446709401</v>
      </c>
      <c r="BA154" s="47">
        <v>3.7098120698280477</v>
      </c>
      <c r="BB154" s="41">
        <f t="shared" si="196"/>
        <v>3.7098120698280477</v>
      </c>
      <c r="BC154" s="39">
        <v>21929.683042425386</v>
      </c>
      <c r="BD154" s="47">
        <v>3.8960186404749937</v>
      </c>
      <c r="BE154" s="46">
        <v>49.149534541879923</v>
      </c>
      <c r="BF154" s="45">
        <v>70.721612068171041</v>
      </c>
      <c r="BG154" s="46">
        <v>95.361053477781724</v>
      </c>
      <c r="BH154" s="45">
        <v>137.21569274926114</v>
      </c>
      <c r="BI154" s="393">
        <v>101512.53373161692</v>
      </c>
      <c r="BJ154" s="295">
        <f t="shared" si="197"/>
        <v>0</v>
      </c>
      <c r="BK154" s="295">
        <f t="shared" si="202"/>
        <v>101512.53373161692</v>
      </c>
      <c r="BL154" s="39">
        <v>24494.616064269365</v>
      </c>
      <c r="BM154" s="41">
        <v>48.476078180601171</v>
      </c>
      <c r="BN154" s="39">
        <v>77017.917667347559</v>
      </c>
      <c r="BO154" s="47">
        <v>4.1442794394191242</v>
      </c>
      <c r="BP154" s="41">
        <f t="shared" si="171"/>
        <v>4.1442794394191242</v>
      </c>
      <c r="BQ154" s="39">
        <v>23323.918776207844</v>
      </c>
      <c r="BR154" s="47">
        <v>4.3522932276358022</v>
      </c>
      <c r="BS154" s="44">
        <v>52.603979946259656</v>
      </c>
      <c r="BT154" s="45">
        <v>75.692237936276683</v>
      </c>
      <c r="BU154" s="46">
        <v>147.96503342404139</v>
      </c>
      <c r="BV154" s="45">
        <v>212.90793068553782</v>
      </c>
      <c r="BW154" s="393">
        <v>120970.80082767273</v>
      </c>
      <c r="BX154" s="295">
        <f t="shared" si="198"/>
        <v>0</v>
      </c>
      <c r="BY154" s="295">
        <f t="shared" si="203"/>
        <v>120970.80082767273</v>
      </c>
      <c r="BZ154" s="39">
        <v>26216.205387219336</v>
      </c>
      <c r="CA154" s="41">
        <v>51.883190110636662</v>
      </c>
      <c r="CB154" s="39">
        <v>94754.595440453399</v>
      </c>
      <c r="CC154" s="47">
        <v>4.6143520406903438</v>
      </c>
      <c r="CD154" s="41">
        <f t="shared" si="199"/>
        <v>4.6143520406903438</v>
      </c>
      <c r="CE154" s="39">
        <v>24963.226346047464</v>
      </c>
      <c r="CF154" s="47">
        <v>4.8459601796154272</v>
      </c>
    </row>
    <row r="155" spans="1:84" s="22" customFormat="1" ht="15" customHeight="1">
      <c r="A155" s="324" t="str">
        <f t="shared" si="182"/>
        <v>BNI- Direct Installation; Evaporator Fan Motor Controls for Walk-In Freezers and Coolers-BES; COM-Refrigeration; Other Commercial</v>
      </c>
      <c r="B155" s="36" t="s">
        <v>115</v>
      </c>
      <c r="C155" s="15" t="s">
        <v>44</v>
      </c>
      <c r="D155" s="15" t="s">
        <v>54</v>
      </c>
      <c r="E155" s="37">
        <v>15</v>
      </c>
      <c r="F155" s="38">
        <v>2719.5889536000013</v>
      </c>
      <c r="G155" s="38">
        <v>1861.3882538242619</v>
      </c>
      <c r="H155" s="39">
        <v>2254</v>
      </c>
      <c r="I155" s="40">
        <v>0.75</v>
      </c>
      <c r="J155" s="39">
        <v>339.94861920000017</v>
      </c>
      <c r="K155" s="39">
        <v>2030.4486192000002</v>
      </c>
      <c r="L155" s="39">
        <v>563.5</v>
      </c>
      <c r="M155" s="39">
        <v>2593.9486192000004</v>
      </c>
      <c r="N155" s="39">
        <v>4901.103501777734</v>
      </c>
      <c r="O155" s="41">
        <v>0.82</v>
      </c>
      <c r="P155" s="41">
        <v>1.8366019145325971</v>
      </c>
      <c r="Q155" s="261">
        <f t="shared" si="183"/>
        <v>1.8366019145325971</v>
      </c>
      <c r="R155" s="262">
        <f t="shared" si="184"/>
        <v>0</v>
      </c>
      <c r="S155" s="262">
        <f t="shared" si="185"/>
        <v>0</v>
      </c>
      <c r="T155" s="261">
        <f t="shared" si="186"/>
        <v>1.8366019145325971</v>
      </c>
      <c r="U155" s="267">
        <f t="shared" si="187"/>
        <v>0</v>
      </c>
      <c r="V155" s="42" t="s">
        <v>38</v>
      </c>
      <c r="W155" s="198" t="s">
        <v>38</v>
      </c>
      <c r="X155" s="198"/>
      <c r="Y155" s="333">
        <v>0</v>
      </c>
      <c r="Z155" s="335">
        <v>0</v>
      </c>
      <c r="AA155" s="288">
        <f t="shared" si="188"/>
        <v>0</v>
      </c>
      <c r="AB155" s="288">
        <f t="shared" si="189"/>
        <v>0</v>
      </c>
      <c r="AC155" s="288">
        <f t="shared" ref="AC155:AE155" si="208">AB155*0</f>
        <v>0</v>
      </c>
      <c r="AD155" s="288">
        <f t="shared" si="208"/>
        <v>0</v>
      </c>
      <c r="AE155" s="288">
        <f t="shared" si="208"/>
        <v>0</v>
      </c>
      <c r="AF155" s="288">
        <f t="shared" si="191"/>
        <v>0</v>
      </c>
      <c r="AG155" s="288" t="s">
        <v>38</v>
      </c>
      <c r="AH155" s="288">
        <f t="shared" si="192"/>
        <v>0</v>
      </c>
      <c r="AI155" s="288">
        <f t="shared" ref="AI155:AJ155" si="209">AH155*0</f>
        <v>0</v>
      </c>
      <c r="AJ155" s="288">
        <f t="shared" si="209"/>
        <v>0</v>
      </c>
      <c r="AK155" s="288">
        <f t="shared" si="194"/>
        <v>0</v>
      </c>
      <c r="AL155" s="246" t="s">
        <v>451</v>
      </c>
      <c r="AM155" s="234" t="s">
        <v>330</v>
      </c>
      <c r="AN155" s="102" t="s">
        <v>38</v>
      </c>
      <c r="AO155" s="241"/>
      <c r="AP155" s="43" t="s">
        <v>115</v>
      </c>
      <c r="AQ155" s="44">
        <v>10.510473544370294</v>
      </c>
      <c r="AR155" s="45">
        <v>15.356370542065967</v>
      </c>
      <c r="AS155" s="46">
        <v>10.510473544370294</v>
      </c>
      <c r="AT155" s="45">
        <v>15.356370542065967</v>
      </c>
      <c r="AU155" s="393">
        <v>27674.462105270668</v>
      </c>
      <c r="AV155" s="295">
        <f t="shared" si="195"/>
        <v>0</v>
      </c>
      <c r="AW155" s="295">
        <f t="shared" si="168"/>
        <v>27674.462105270668</v>
      </c>
      <c r="AX155" s="39">
        <v>15068.296448070312</v>
      </c>
      <c r="AY155" s="41">
        <v>6.8860704571075253</v>
      </c>
      <c r="AZ155" s="39">
        <v>12606.165657200356</v>
      </c>
      <c r="BA155" s="47">
        <v>1.8366019145325971</v>
      </c>
      <c r="BB155" s="41">
        <f t="shared" si="196"/>
        <v>1.8366019145325971</v>
      </c>
      <c r="BC155" s="39">
        <v>13981.812251347888</v>
      </c>
      <c r="BD155" s="47">
        <v>1.9793186754172563</v>
      </c>
      <c r="BE155" s="46">
        <v>10.811784297031275</v>
      </c>
      <c r="BF155" s="45">
        <v>15.796601854826294</v>
      </c>
      <c r="BG155" s="46">
        <v>21.322257841401569</v>
      </c>
      <c r="BH155" s="45">
        <v>31.15297239689226</v>
      </c>
      <c r="BI155" s="393">
        <v>30922.831408941558</v>
      </c>
      <c r="BJ155" s="295">
        <f t="shared" si="197"/>
        <v>0</v>
      </c>
      <c r="BK155" s="295">
        <f t="shared" si="202"/>
        <v>30922.831408941558</v>
      </c>
      <c r="BL155" s="39">
        <v>15500.269348712714</v>
      </c>
      <c r="BM155" s="41">
        <v>7.0834780299964706</v>
      </c>
      <c r="BN155" s="39">
        <v>15422.562060228844</v>
      </c>
      <c r="BO155" s="47">
        <v>1.9949867136669903</v>
      </c>
      <c r="BP155" s="41">
        <f t="shared" si="171"/>
        <v>1.9949867136669903</v>
      </c>
      <c r="BQ155" s="39">
        <v>14382.638185139873</v>
      </c>
      <c r="BR155" s="47">
        <v>2.150011076611174</v>
      </c>
      <c r="BS155" s="44">
        <v>11.235060789541778</v>
      </c>
      <c r="BT155" s="45">
        <v>16.415031712748238</v>
      </c>
      <c r="BU155" s="46">
        <v>32.55731863094335</v>
      </c>
      <c r="BV155" s="45">
        <v>47.568004109640498</v>
      </c>
      <c r="BW155" s="393">
        <v>34919.063638374886</v>
      </c>
      <c r="BX155" s="295">
        <f t="shared" si="198"/>
        <v>0</v>
      </c>
      <c r="BY155" s="295">
        <f t="shared" si="203"/>
        <v>34919.063638374886</v>
      </c>
      <c r="BZ155" s="39">
        <v>16107.097922299097</v>
      </c>
      <c r="CA155" s="41">
        <v>7.3607930089990923</v>
      </c>
      <c r="CB155" s="39">
        <v>18811.965716075789</v>
      </c>
      <c r="CC155" s="47">
        <v>2.1679301763002261</v>
      </c>
      <c r="CD155" s="41">
        <f t="shared" si="199"/>
        <v>2.1679301763002261</v>
      </c>
      <c r="CE155" s="39">
        <v>14945.712001339221</v>
      </c>
      <c r="CF155" s="47">
        <v>2.3363934508604167</v>
      </c>
    </row>
    <row r="156" spans="1:84" s="22" customFormat="1" ht="15" customHeight="1">
      <c r="A156" s="324" t="str">
        <f t="shared" si="182"/>
        <v>BNI- Direct Installation; Evaporator Fan Motor Controls for Walk-In Freezers and Coolers-BES; COM-Refrigeration; Retail</v>
      </c>
      <c r="B156" s="36" t="s">
        <v>115</v>
      </c>
      <c r="C156" s="15" t="s">
        <v>44</v>
      </c>
      <c r="D156" s="15" t="s">
        <v>28</v>
      </c>
      <c r="E156" s="37">
        <v>15</v>
      </c>
      <c r="F156" s="38">
        <v>2709.4815488000013</v>
      </c>
      <c r="G156" s="38">
        <v>1883.0135948395091</v>
      </c>
      <c r="H156" s="39">
        <v>2254</v>
      </c>
      <c r="I156" s="40">
        <v>0.75</v>
      </c>
      <c r="J156" s="39">
        <v>338.68519360000016</v>
      </c>
      <c r="K156" s="39">
        <v>2029.1851936000003</v>
      </c>
      <c r="L156" s="39">
        <v>563.5</v>
      </c>
      <c r="M156" s="39">
        <v>2592.6851936000003</v>
      </c>
      <c r="N156" s="39">
        <v>4927.5994105960199</v>
      </c>
      <c r="O156" s="41">
        <v>0.82</v>
      </c>
      <c r="P156" s="41">
        <v>1.8475975422532376</v>
      </c>
      <c r="Q156" s="261">
        <f t="shared" si="183"/>
        <v>1.8475975422532376</v>
      </c>
      <c r="R156" s="262">
        <f t="shared" si="184"/>
        <v>0</v>
      </c>
      <c r="S156" s="262">
        <f t="shared" si="185"/>
        <v>0</v>
      </c>
      <c r="T156" s="261">
        <f t="shared" si="186"/>
        <v>1.8475975422532376</v>
      </c>
      <c r="U156" s="267">
        <f t="shared" si="187"/>
        <v>0</v>
      </c>
      <c r="V156" s="42" t="s">
        <v>38</v>
      </c>
      <c r="W156" s="198" t="s">
        <v>38</v>
      </c>
      <c r="X156" s="198"/>
      <c r="Y156" s="333">
        <v>0</v>
      </c>
      <c r="Z156" s="335">
        <v>0</v>
      </c>
      <c r="AA156" s="288">
        <f t="shared" si="188"/>
        <v>0</v>
      </c>
      <c r="AB156" s="288">
        <f t="shared" si="189"/>
        <v>0</v>
      </c>
      <c r="AC156" s="288">
        <f t="shared" ref="AC156:AE156" si="210">AB156*0</f>
        <v>0</v>
      </c>
      <c r="AD156" s="288">
        <f t="shared" si="210"/>
        <v>0</v>
      </c>
      <c r="AE156" s="288">
        <f t="shared" si="210"/>
        <v>0</v>
      </c>
      <c r="AF156" s="288">
        <f t="shared" si="191"/>
        <v>0</v>
      </c>
      <c r="AG156" s="288" t="s">
        <v>38</v>
      </c>
      <c r="AH156" s="288">
        <f t="shared" si="192"/>
        <v>0</v>
      </c>
      <c r="AI156" s="288">
        <f t="shared" ref="AI156:AJ156" si="211">AH156*0</f>
        <v>0</v>
      </c>
      <c r="AJ156" s="288">
        <f t="shared" si="211"/>
        <v>0</v>
      </c>
      <c r="AK156" s="288">
        <f t="shared" si="194"/>
        <v>0</v>
      </c>
      <c r="AL156" s="246" t="s">
        <v>451</v>
      </c>
      <c r="AM156" s="234" t="s">
        <v>330</v>
      </c>
      <c r="AN156" s="102" t="s">
        <v>38</v>
      </c>
      <c r="AO156" s="241"/>
      <c r="AP156" s="43" t="s">
        <v>115</v>
      </c>
      <c r="AQ156" s="44">
        <v>15.211421955010325</v>
      </c>
      <c r="AR156" s="45">
        <v>21.887822388039908</v>
      </c>
      <c r="AS156" s="46">
        <v>15.211421955010325</v>
      </c>
      <c r="AT156" s="45">
        <v>21.887822388039908</v>
      </c>
      <c r="AU156" s="393">
        <v>39806.294582926144</v>
      </c>
      <c r="AV156" s="295">
        <f t="shared" si="195"/>
        <v>0</v>
      </c>
      <c r="AW156" s="295">
        <f t="shared" si="168"/>
        <v>39806.294582926144</v>
      </c>
      <c r="AX156" s="39">
        <v>21544.894747143026</v>
      </c>
      <c r="AY156" s="41">
        <v>9.8515032658922266</v>
      </c>
      <c r="AZ156" s="39">
        <v>18261.399835783119</v>
      </c>
      <c r="BA156" s="47">
        <v>1.8475975422532376</v>
      </c>
      <c r="BB156" s="41">
        <f t="shared" si="196"/>
        <v>1.8475975422532376</v>
      </c>
      <c r="BC156" s="39">
        <v>19990.524561850551</v>
      </c>
      <c r="BD156" s="47">
        <v>1.9912581313094477</v>
      </c>
      <c r="BE156" s="46">
        <v>15.646270511267861</v>
      </c>
      <c r="BF156" s="45">
        <v>22.513529044078435</v>
      </c>
      <c r="BG156" s="46">
        <v>30.857692466278188</v>
      </c>
      <c r="BH156" s="45">
        <v>44.401351432118346</v>
      </c>
      <c r="BI156" s="393">
        <v>44486.296076958628</v>
      </c>
      <c r="BJ156" s="295">
        <f t="shared" si="197"/>
        <v>0</v>
      </c>
      <c r="BK156" s="295">
        <f t="shared" si="202"/>
        <v>44486.296076958628</v>
      </c>
      <c r="BL156" s="39">
        <v>22160.798138898575</v>
      </c>
      <c r="BM156" s="41">
        <v>10.133127954551171</v>
      </c>
      <c r="BN156" s="39">
        <v>22325.497938060053</v>
      </c>
      <c r="BO156" s="47">
        <v>2.0074320337259146</v>
      </c>
      <c r="BP156" s="41">
        <f t="shared" si="171"/>
        <v>2.0074320337259146</v>
      </c>
      <c r="BQ156" s="39">
        <v>20561.993210229492</v>
      </c>
      <c r="BR156" s="47">
        <v>2.1635206092192907</v>
      </c>
      <c r="BS156" s="44">
        <v>16.257458928421599</v>
      </c>
      <c r="BT156" s="45">
        <v>23.392972370274641</v>
      </c>
      <c r="BU156" s="46">
        <v>47.115151394699794</v>
      </c>
      <c r="BV156" s="45">
        <v>67.794323802392995</v>
      </c>
      <c r="BW156" s="393">
        <v>50241.579669990278</v>
      </c>
      <c r="BX156" s="295">
        <f t="shared" si="198"/>
        <v>0</v>
      </c>
      <c r="BY156" s="295">
        <f t="shared" si="203"/>
        <v>50241.579669990278</v>
      </c>
      <c r="BZ156" s="39">
        <v>23026.462779403337</v>
      </c>
      <c r="CA156" s="41">
        <v>10.52895713511521</v>
      </c>
      <c r="CB156" s="39">
        <v>27215.116890586942</v>
      </c>
      <c r="CC156" s="47">
        <v>2.1819061030481097</v>
      </c>
      <c r="CD156" s="41">
        <f t="shared" si="199"/>
        <v>2.1819061030481097</v>
      </c>
      <c r="CE156" s="39">
        <v>21365.20392262486</v>
      </c>
      <c r="CF156" s="47">
        <v>2.3515609704425309</v>
      </c>
    </row>
    <row r="157" spans="1:84" s="22" customFormat="1" ht="15" customHeight="1">
      <c r="A157" s="324" t="str">
        <f t="shared" si="182"/>
        <v>BNI- Direct Installation; Electronically Commutated (Brushless) DC Motors for Refrigeration Applications-BES; COM-Refrigeration; Other Commercial</v>
      </c>
      <c r="B157" s="36" t="s">
        <v>116</v>
      </c>
      <c r="C157" s="15" t="s">
        <v>44</v>
      </c>
      <c r="D157" s="15" t="s">
        <v>54</v>
      </c>
      <c r="E157" s="37">
        <v>15</v>
      </c>
      <c r="F157" s="38">
        <v>613.21199999999999</v>
      </c>
      <c r="G157" s="26">
        <v>62.088091413394977</v>
      </c>
      <c r="H157" s="27">
        <v>245</v>
      </c>
      <c r="I157" s="28">
        <v>0.75</v>
      </c>
      <c r="J157" s="27">
        <v>76.651499999999999</v>
      </c>
      <c r="K157" s="27">
        <v>260.4015</v>
      </c>
      <c r="L157" s="27">
        <v>61.25</v>
      </c>
      <c r="M157" s="27">
        <v>321.6515</v>
      </c>
      <c r="N157" s="27">
        <v>544.91714873784667</v>
      </c>
      <c r="O157" s="29">
        <v>0.82</v>
      </c>
      <c r="P157" s="29">
        <v>1.6099068531967375</v>
      </c>
      <c r="Q157" s="261">
        <f t="shared" si="183"/>
        <v>1.6099068531967375</v>
      </c>
      <c r="R157" s="262">
        <f t="shared" si="184"/>
        <v>0</v>
      </c>
      <c r="S157" s="262">
        <f t="shared" si="185"/>
        <v>0</v>
      </c>
      <c r="T157" s="261">
        <f t="shared" si="186"/>
        <v>1.6099068531967375</v>
      </c>
      <c r="U157" s="267">
        <f t="shared" si="187"/>
        <v>0</v>
      </c>
      <c r="V157" s="42" t="s">
        <v>38</v>
      </c>
      <c r="W157" s="198" t="s">
        <v>38</v>
      </c>
      <c r="X157" s="198"/>
      <c r="Y157" s="333">
        <v>0</v>
      </c>
      <c r="Z157" s="335">
        <v>0</v>
      </c>
      <c r="AA157" s="288">
        <f t="shared" si="188"/>
        <v>0</v>
      </c>
      <c r="AB157" s="288">
        <f t="shared" si="189"/>
        <v>0</v>
      </c>
      <c r="AC157" s="288">
        <f t="shared" ref="AC157:AE157" si="212">AB157*0</f>
        <v>0</v>
      </c>
      <c r="AD157" s="288">
        <f t="shared" si="212"/>
        <v>0</v>
      </c>
      <c r="AE157" s="288">
        <f t="shared" si="212"/>
        <v>0</v>
      </c>
      <c r="AF157" s="288">
        <f t="shared" si="191"/>
        <v>0</v>
      </c>
      <c r="AG157" s="288" t="s">
        <v>38</v>
      </c>
      <c r="AH157" s="288">
        <f t="shared" si="192"/>
        <v>0</v>
      </c>
      <c r="AI157" s="288">
        <f t="shared" ref="AI157:AJ157" si="213">AH157*0</f>
        <v>0</v>
      </c>
      <c r="AJ157" s="288">
        <f t="shared" si="213"/>
        <v>0</v>
      </c>
      <c r="AK157" s="288">
        <f t="shared" si="194"/>
        <v>0</v>
      </c>
      <c r="AL157" s="246" t="s">
        <v>454</v>
      </c>
      <c r="AM157" s="234" t="s">
        <v>330</v>
      </c>
      <c r="AN157" s="102" t="s">
        <v>38</v>
      </c>
      <c r="AO157" s="241"/>
      <c r="AP157" s="43" t="s">
        <v>116</v>
      </c>
      <c r="AQ157" s="44">
        <v>1.6667454395832657</v>
      </c>
      <c r="AR157" s="45">
        <v>16.461583553802573</v>
      </c>
      <c r="AS157" s="46">
        <v>1.6667454395832657</v>
      </c>
      <c r="AT157" s="45">
        <v>16.461583553802573</v>
      </c>
      <c r="AU157" s="393">
        <v>14628.218583210906</v>
      </c>
      <c r="AV157" s="295">
        <f t="shared" si="195"/>
        <v>0</v>
      </c>
      <c r="AW157" s="295">
        <f t="shared" si="168"/>
        <v>14628.218583210906</v>
      </c>
      <c r="AX157" s="39">
        <v>9086.3757453818835</v>
      </c>
      <c r="AY157" s="41">
        <v>32.737620749237109</v>
      </c>
      <c r="AZ157" s="39">
        <v>5541.8428378290228</v>
      </c>
      <c r="BA157" s="47">
        <v>1.6099068531967373</v>
      </c>
      <c r="BB157" s="41">
        <f t="shared" si="196"/>
        <v>1.6099068531967373</v>
      </c>
      <c r="BC157" s="39">
        <v>8524.9255495324669</v>
      </c>
      <c r="BD157" s="47">
        <v>1.7159350540032767</v>
      </c>
      <c r="BE157" s="46">
        <v>1.7566987491657782</v>
      </c>
      <c r="BF157" s="45">
        <v>17.350005916610318</v>
      </c>
      <c r="BG157" s="46">
        <v>3.4234441887490439</v>
      </c>
      <c r="BH157" s="45">
        <v>33.811589470412891</v>
      </c>
      <c r="BI157" s="393">
        <v>16273.195105374502</v>
      </c>
      <c r="BJ157" s="295">
        <f t="shared" si="197"/>
        <v>0</v>
      </c>
      <c r="BK157" s="295">
        <f t="shared" si="202"/>
        <v>16273.195105374502</v>
      </c>
      <c r="BL157" s="39">
        <v>9576.7623101183253</v>
      </c>
      <c r="BM157" s="41">
        <v>34.504451642734146</v>
      </c>
      <c r="BN157" s="39">
        <v>6696.4327952561762</v>
      </c>
      <c r="BO157" s="47">
        <v>1.6992376523933419</v>
      </c>
      <c r="BP157" s="41">
        <f t="shared" si="171"/>
        <v>1.6992376523933419</v>
      </c>
      <c r="BQ157" s="39">
        <v>8985.0109644454351</v>
      </c>
      <c r="BR157" s="47">
        <v>1.8111491649558495</v>
      </c>
      <c r="BS157" s="44">
        <v>1.871434160714595</v>
      </c>
      <c r="BT157" s="45">
        <v>18.483188296436122</v>
      </c>
      <c r="BU157" s="46">
        <v>5.2948783494636382</v>
      </c>
      <c r="BV157" s="45">
        <v>52.294777766849009</v>
      </c>
      <c r="BW157" s="393">
        <v>18383.912881873675</v>
      </c>
      <c r="BX157" s="295">
        <f t="shared" si="198"/>
        <v>0</v>
      </c>
      <c r="BY157" s="295">
        <f t="shared" si="203"/>
        <v>18383.912881873675</v>
      </c>
      <c r="BZ157" s="39">
        <v>10202.250183596017</v>
      </c>
      <c r="CA157" s="41">
        <v>36.758043763395328</v>
      </c>
      <c r="CB157" s="39">
        <v>8181.6626982776579</v>
      </c>
      <c r="CC157" s="47">
        <v>1.8019468794671181</v>
      </c>
      <c r="CD157" s="41">
        <f t="shared" si="199"/>
        <v>1.8019468794671181</v>
      </c>
      <c r="CE157" s="39">
        <v>9571.8497330537884</v>
      </c>
      <c r="CF157" s="47">
        <v>1.9206228048471985</v>
      </c>
    </row>
    <row r="158" spans="1:84" s="22" customFormat="1" ht="15" customHeight="1">
      <c r="A158" s="324" t="str">
        <f t="shared" si="182"/>
        <v>BNI- Direct Installation; Electronically Commutated (Brushless) DC Motors for Refrigeration Applications-BES; COM-Refrigeration; Retail</v>
      </c>
      <c r="B158" s="36" t="s">
        <v>116</v>
      </c>
      <c r="C158" s="15" t="s">
        <v>44</v>
      </c>
      <c r="D158" s="15" t="s">
        <v>28</v>
      </c>
      <c r="E158" s="37">
        <v>15</v>
      </c>
      <c r="F158" s="38">
        <v>613.21199999999999</v>
      </c>
      <c r="G158" s="26">
        <v>62.129419287849473</v>
      </c>
      <c r="H158" s="27">
        <v>245</v>
      </c>
      <c r="I158" s="28">
        <v>0.75</v>
      </c>
      <c r="J158" s="27">
        <v>76.651499999999999</v>
      </c>
      <c r="K158" s="27">
        <v>260.4015</v>
      </c>
      <c r="L158" s="27">
        <v>61.25</v>
      </c>
      <c r="M158" s="27">
        <v>321.6515</v>
      </c>
      <c r="N158" s="27">
        <v>544.98188594349381</v>
      </c>
      <c r="O158" s="29">
        <v>0.82</v>
      </c>
      <c r="P158" s="29">
        <v>1.6100981132282295</v>
      </c>
      <c r="Q158" s="261">
        <f t="shared" si="183"/>
        <v>1.6100981132282295</v>
      </c>
      <c r="R158" s="262">
        <f t="shared" si="184"/>
        <v>0</v>
      </c>
      <c r="S158" s="262">
        <f t="shared" si="185"/>
        <v>0</v>
      </c>
      <c r="T158" s="261">
        <f t="shared" si="186"/>
        <v>1.6100981132282295</v>
      </c>
      <c r="U158" s="267">
        <f t="shared" si="187"/>
        <v>0</v>
      </c>
      <c r="V158" s="42" t="s">
        <v>38</v>
      </c>
      <c r="W158" s="198" t="s">
        <v>38</v>
      </c>
      <c r="X158" s="198"/>
      <c r="Y158" s="333">
        <v>0</v>
      </c>
      <c r="Z158" s="335">
        <v>0</v>
      </c>
      <c r="AA158" s="288">
        <f t="shared" si="188"/>
        <v>0</v>
      </c>
      <c r="AB158" s="288">
        <f t="shared" si="189"/>
        <v>0</v>
      </c>
      <c r="AC158" s="288">
        <f t="shared" ref="AC158:AE158" si="214">AB158*0</f>
        <v>0</v>
      </c>
      <c r="AD158" s="288">
        <f t="shared" si="214"/>
        <v>0</v>
      </c>
      <c r="AE158" s="288">
        <f t="shared" si="214"/>
        <v>0</v>
      </c>
      <c r="AF158" s="288">
        <f t="shared" si="191"/>
        <v>0</v>
      </c>
      <c r="AG158" s="288" t="s">
        <v>38</v>
      </c>
      <c r="AH158" s="288">
        <f t="shared" si="192"/>
        <v>0</v>
      </c>
      <c r="AI158" s="288">
        <f t="shared" ref="AI158:AJ158" si="215">AH158*0</f>
        <v>0</v>
      </c>
      <c r="AJ158" s="288">
        <f t="shared" si="215"/>
        <v>0</v>
      </c>
      <c r="AK158" s="288">
        <f t="shared" si="194"/>
        <v>0</v>
      </c>
      <c r="AL158" s="246" t="s">
        <v>454</v>
      </c>
      <c r="AM158" s="234" t="s">
        <v>330</v>
      </c>
      <c r="AN158" s="102" t="s">
        <v>38</v>
      </c>
      <c r="AO158" s="241"/>
      <c r="AP158" s="43" t="s">
        <v>116</v>
      </c>
      <c r="AQ158" s="44">
        <v>2.3862704538666186</v>
      </c>
      <c r="AR158" s="45">
        <v>23.552283190946056</v>
      </c>
      <c r="AS158" s="46">
        <v>2.3862704538666186</v>
      </c>
      <c r="AT158" s="45">
        <v>23.552283190946056</v>
      </c>
      <c r="AU158" s="393">
        <v>20931.696887335911</v>
      </c>
      <c r="AV158" s="295">
        <f t="shared" si="195"/>
        <v>0</v>
      </c>
      <c r="AW158" s="295">
        <f t="shared" si="168"/>
        <v>20931.696887335911</v>
      </c>
      <c r="AX158" s="39">
        <v>13000.261732726389</v>
      </c>
      <c r="AY158" s="41">
        <v>46.839097366529778</v>
      </c>
      <c r="AZ158" s="39">
        <v>7931.4351546095222</v>
      </c>
      <c r="BA158" s="47">
        <v>1.6100981132282295</v>
      </c>
      <c r="BB158" s="41">
        <f t="shared" si="196"/>
        <v>1.6100981132282295</v>
      </c>
      <c r="BC158" s="39">
        <v>12196.971212890403</v>
      </c>
      <c r="BD158" s="47">
        <v>1.7161389103890143</v>
      </c>
      <c r="BE158" s="46">
        <v>2.5150561219035663</v>
      </c>
      <c r="BF158" s="45">
        <v>24.823386606582154</v>
      </c>
      <c r="BG158" s="46">
        <v>4.9013265757701845</v>
      </c>
      <c r="BH158" s="45">
        <v>48.375669797528211</v>
      </c>
      <c r="BI158" s="393">
        <v>23285.672883673065</v>
      </c>
      <c r="BJ158" s="295">
        <f t="shared" si="197"/>
        <v>0</v>
      </c>
      <c r="BK158" s="295">
        <f t="shared" si="202"/>
        <v>23285.672883673065</v>
      </c>
      <c r="BL158" s="39">
        <v>13701.878512664913</v>
      </c>
      <c r="BM158" s="41">
        <v>49.36697698504571</v>
      </c>
      <c r="BN158" s="39">
        <v>9583.7943710081527</v>
      </c>
      <c r="BO158" s="47">
        <v>1.6994511272413972</v>
      </c>
      <c r="BP158" s="41">
        <f t="shared" si="171"/>
        <v>1.6994511272413972</v>
      </c>
      <c r="BQ158" s="39">
        <v>12855.234857371379</v>
      </c>
      <c r="BR158" s="47">
        <v>1.8113766992223188</v>
      </c>
      <c r="BS158" s="44">
        <v>2.6793221916278211</v>
      </c>
      <c r="BT158" s="45">
        <v>26.444678521142979</v>
      </c>
      <c r="BU158" s="46">
        <v>7.5806487673980056</v>
      </c>
      <c r="BV158" s="45">
        <v>74.820348318671194</v>
      </c>
      <c r="BW158" s="393">
        <v>26306.102393125158</v>
      </c>
      <c r="BX158" s="295">
        <f t="shared" si="198"/>
        <v>0</v>
      </c>
      <c r="BY158" s="295">
        <f t="shared" si="203"/>
        <v>26306.102393125158</v>
      </c>
      <c r="BZ158" s="39">
        <v>14596.790443859178</v>
      </c>
      <c r="CA158" s="41">
        <v>52.591286459843239</v>
      </c>
      <c r="CB158" s="39">
        <v>11709.311949265981</v>
      </c>
      <c r="CC158" s="47">
        <v>1.8021840139653476</v>
      </c>
      <c r="CD158" s="41">
        <f t="shared" si="199"/>
        <v>1.8021840139653476</v>
      </c>
      <c r="CE158" s="39">
        <v>13694.849881072869</v>
      </c>
      <c r="CF158" s="47">
        <v>1.9208755569845144</v>
      </c>
    </row>
    <row r="159" spans="1:84" s="22" customFormat="1" ht="15" customHeight="1">
      <c r="A159" s="324" t="str">
        <f t="shared" si="182"/>
        <v>BNI- Direct Installation; Relamp/Reballast-Retrofit (dual baseline)-BES; COM-Lighting; Office</v>
      </c>
      <c r="B159" s="36" t="s">
        <v>117</v>
      </c>
      <c r="C159" s="15" t="s">
        <v>71</v>
      </c>
      <c r="D159" s="15" t="s">
        <v>64</v>
      </c>
      <c r="E159" s="37">
        <v>15</v>
      </c>
      <c r="F159" s="38">
        <v>87.468158804681281</v>
      </c>
      <c r="G159" s="38">
        <v>9.9963577389163394</v>
      </c>
      <c r="H159" s="39">
        <v>44.476701245850407</v>
      </c>
      <c r="I159" s="40">
        <v>0.78692886431781928</v>
      </c>
      <c r="J159" s="39">
        <v>10.93351985058516</v>
      </c>
      <c r="K159" s="39">
        <v>45.933519850585157</v>
      </c>
      <c r="L159" s="39">
        <v>9.476701245850407</v>
      </c>
      <c r="M159" s="39">
        <v>55.410221096435563</v>
      </c>
      <c r="N159" s="39">
        <v>79.512595219968418</v>
      </c>
      <c r="O159" s="41">
        <v>0.82</v>
      </c>
      <c r="P159" s="41">
        <v>1.375406241299995</v>
      </c>
      <c r="Q159" s="261">
        <f t="shared" si="183"/>
        <v>1.375406241299995</v>
      </c>
      <c r="R159" s="262">
        <f t="shared" si="184"/>
        <v>0</v>
      </c>
      <c r="S159" s="262">
        <f t="shared" si="185"/>
        <v>27.430382816026697</v>
      </c>
      <c r="T159" s="261">
        <f t="shared" si="186"/>
        <v>1.849896095668834</v>
      </c>
      <c r="U159" s="267">
        <f t="shared" si="187"/>
        <v>0.34498160624919411</v>
      </c>
      <c r="V159" s="42" t="s">
        <v>72</v>
      </c>
      <c r="W159" s="199">
        <f>0.027*W3</f>
        <v>3.4020000000000002E-2</v>
      </c>
      <c r="X159" s="199"/>
      <c r="Y159" s="333">
        <v>0</v>
      </c>
      <c r="Z159" s="334">
        <f t="shared" ref="Z159:Z183" si="216">W159*F159</f>
        <v>2.9756667625352575</v>
      </c>
      <c r="AA159" s="309">
        <f t="shared" ref="AA159:AA167" si="217">Z159*0.05</f>
        <v>0.14878333812676289</v>
      </c>
      <c r="AB159" s="309">
        <f t="shared" ref="AB159:AB167" si="218">Z159*0.029</f>
        <v>8.6294336113522468E-2</v>
      </c>
      <c r="AC159" s="309">
        <f t="shared" ref="AC159:AC167" si="219">Z159*0.004</f>
        <v>1.1902667050141031E-2</v>
      </c>
      <c r="AD159" s="309">
        <f t="shared" ref="AD159:AD167" si="220">Z159*0</f>
        <v>0</v>
      </c>
      <c r="AE159" s="309">
        <f t="shared" ref="AE159:AE167" si="221">Z159*0.073</f>
        <v>0.21722367366507378</v>
      </c>
      <c r="AF159" s="309">
        <f t="shared" ref="AF159:AF167" si="222">Z159*0.737</f>
        <v>2.1930664039884848</v>
      </c>
      <c r="AG159" s="309" t="s">
        <v>38</v>
      </c>
      <c r="AH159" s="309">
        <f t="shared" ref="AH159:AH167" si="223">Z159*0</f>
        <v>0</v>
      </c>
      <c r="AI159" s="309">
        <f t="shared" ref="AI159:AI167" si="224">Z159*0.083</f>
        <v>0.2469803412904264</v>
      </c>
      <c r="AJ159" s="309">
        <f t="shared" ref="AJ159:AJ167" si="225">Z159*0.023</f>
        <v>6.8440335538310929E-2</v>
      </c>
      <c r="AK159" s="309">
        <f t="shared" si="194"/>
        <v>2.9726910957727219</v>
      </c>
      <c r="AL159" s="246" t="s">
        <v>456</v>
      </c>
      <c r="AM159" s="234" t="s">
        <v>331</v>
      </c>
      <c r="AN159" s="102" t="s">
        <v>72</v>
      </c>
      <c r="AO159" s="246"/>
      <c r="AP159" s="43" t="s">
        <v>117</v>
      </c>
      <c r="AQ159" s="44">
        <v>38.259139313833785</v>
      </c>
      <c r="AR159" s="45">
        <v>334.76757841557725</v>
      </c>
      <c r="AS159" s="46">
        <v>38.259139313833785</v>
      </c>
      <c r="AT159" s="45">
        <v>334.76757841557725</v>
      </c>
      <c r="AU159" s="393">
        <v>96581.900267553952</v>
      </c>
      <c r="AV159" s="295">
        <f t="shared" si="195"/>
        <v>19524.390571014719</v>
      </c>
      <c r="AW159" s="295">
        <f t="shared" si="168"/>
        <v>116106.29083856868</v>
      </c>
      <c r="AX159" s="39">
        <v>82689.257611567009</v>
      </c>
      <c r="AY159" s="41">
        <v>868.02406526258653</v>
      </c>
      <c r="AZ159" s="39">
        <v>13892.642655986943</v>
      </c>
      <c r="BA159" s="47">
        <v>1.1680102477306988</v>
      </c>
      <c r="BB159" s="41">
        <f t="shared" si="196"/>
        <v>1.4041278660884617</v>
      </c>
      <c r="BC159" s="39">
        <v>81412.485335345598</v>
      </c>
      <c r="BD159" s="47">
        <v>1.1863278693645591</v>
      </c>
      <c r="BE159" s="46">
        <v>31.022071577536146</v>
      </c>
      <c r="BF159" s="45">
        <v>271.4432150252631</v>
      </c>
      <c r="BG159" s="46">
        <v>69.281210891369923</v>
      </c>
      <c r="BH159" s="45">
        <v>606.21079344084035</v>
      </c>
      <c r="BI159" s="393">
        <v>84385.273511521023</v>
      </c>
      <c r="BJ159" s="295">
        <f t="shared" si="197"/>
        <v>15831.172699245366</v>
      </c>
      <c r="BK159" s="295">
        <f t="shared" si="202"/>
        <v>100216.44621076639</v>
      </c>
      <c r="BL159" s="39">
        <v>67047.824763580924</v>
      </c>
      <c r="BM159" s="41">
        <v>703.82933768359089</v>
      </c>
      <c r="BN159" s="39">
        <v>17337.4487479401</v>
      </c>
      <c r="BO159" s="47">
        <v>1.2585833143591776</v>
      </c>
      <c r="BP159" s="41">
        <f t="shared" si="171"/>
        <v>1.4947009327169405</v>
      </c>
      <c r="BQ159" s="39">
        <v>66012.565694727993</v>
      </c>
      <c r="BR159" s="47">
        <v>1.2783213714455026</v>
      </c>
      <c r="BS159" s="44">
        <v>26.748606073090087</v>
      </c>
      <c r="BT159" s="45">
        <v>234.05037963942823</v>
      </c>
      <c r="BU159" s="46">
        <v>96.029816964460011</v>
      </c>
      <c r="BV159" s="45">
        <v>840.26117308026858</v>
      </c>
      <c r="BW159" s="393">
        <v>78807.824477628921</v>
      </c>
      <c r="BX159" s="295">
        <f t="shared" si="198"/>
        <v>13650.33928017276</v>
      </c>
      <c r="BY159" s="295">
        <f t="shared" si="203"/>
        <v>92458.163757801682</v>
      </c>
      <c r="BZ159" s="39">
        <v>57811.608363294225</v>
      </c>
      <c r="CA159" s="41">
        <v>606.87287273281186</v>
      </c>
      <c r="CB159" s="39">
        <v>20996.216114334697</v>
      </c>
      <c r="CC159" s="47">
        <v>1.3631833935909943</v>
      </c>
      <c r="CD159" s="41">
        <f t="shared" si="199"/>
        <v>1.5993010119487572</v>
      </c>
      <c r="CE159" s="39">
        <v>56918.962076049065</v>
      </c>
      <c r="CF159" s="47">
        <v>1.3845618683688274</v>
      </c>
    </row>
    <row r="160" spans="1:84" s="22" customFormat="1" ht="15" customHeight="1">
      <c r="A160" s="324" t="str">
        <f t="shared" si="182"/>
        <v>BNI- Direct Installation; Relamp/Reballast-Retrofit (dual baseline)-BES; COM-Lighting; Other Commercial</v>
      </c>
      <c r="B160" s="36" t="s">
        <v>117</v>
      </c>
      <c r="C160" s="15" t="s">
        <v>71</v>
      </c>
      <c r="D160" s="15" t="s">
        <v>54</v>
      </c>
      <c r="E160" s="37">
        <v>15</v>
      </c>
      <c r="F160" s="38">
        <v>84.736735861629398</v>
      </c>
      <c r="G160" s="38">
        <v>10.273041186242946</v>
      </c>
      <c r="H160" s="39">
        <v>44.476701245850407</v>
      </c>
      <c r="I160" s="40">
        <v>0.78692886431781928</v>
      </c>
      <c r="J160" s="39">
        <v>10.592091982703675</v>
      </c>
      <c r="K160" s="39">
        <v>45.592091982703678</v>
      </c>
      <c r="L160" s="39">
        <v>9.476701245850407</v>
      </c>
      <c r="M160" s="39">
        <v>55.068793228554085</v>
      </c>
      <c r="N160" s="39">
        <v>77.951991390733767</v>
      </c>
      <c r="O160" s="41">
        <v>0.82</v>
      </c>
      <c r="P160" s="41">
        <v>1.3581932854062171</v>
      </c>
      <c r="Q160" s="261">
        <f t="shared" si="183"/>
        <v>1.3581932854062171</v>
      </c>
      <c r="R160" s="262">
        <f t="shared" si="184"/>
        <v>0</v>
      </c>
      <c r="S160" s="262">
        <f t="shared" si="185"/>
        <v>26.573797082609136</v>
      </c>
      <c r="T160" s="261">
        <f t="shared" si="186"/>
        <v>1.8212007355229742</v>
      </c>
      <c r="U160" s="267">
        <f t="shared" si="187"/>
        <v>0.34089952813916169</v>
      </c>
      <c r="V160" s="42" t="s">
        <v>72</v>
      </c>
      <c r="W160" s="199">
        <f>0.027*W3</f>
        <v>3.4020000000000002E-2</v>
      </c>
      <c r="X160" s="199"/>
      <c r="Y160" s="333">
        <v>0</v>
      </c>
      <c r="Z160" s="334">
        <f t="shared" si="216"/>
        <v>2.8827437540126324</v>
      </c>
      <c r="AA160" s="309">
        <f t="shared" si="217"/>
        <v>0.14413718770063164</v>
      </c>
      <c r="AB160" s="309">
        <f t="shared" si="218"/>
        <v>8.3599568866366339E-2</v>
      </c>
      <c r="AC160" s="309">
        <f t="shared" si="219"/>
        <v>1.153097501605053E-2</v>
      </c>
      <c r="AD160" s="309">
        <f t="shared" si="220"/>
        <v>0</v>
      </c>
      <c r="AE160" s="309">
        <f t="shared" si="221"/>
        <v>0.21044029404292214</v>
      </c>
      <c r="AF160" s="309">
        <f t="shared" si="222"/>
        <v>2.12458214670731</v>
      </c>
      <c r="AG160" s="309" t="s">
        <v>38</v>
      </c>
      <c r="AH160" s="309">
        <f t="shared" si="223"/>
        <v>0</v>
      </c>
      <c r="AI160" s="309">
        <f t="shared" si="224"/>
        <v>0.23926773158304851</v>
      </c>
      <c r="AJ160" s="309">
        <f t="shared" si="225"/>
        <v>6.6303106342290544E-2</v>
      </c>
      <c r="AK160" s="309">
        <f t="shared" si="194"/>
        <v>2.8798610102586197</v>
      </c>
      <c r="AL160" s="246" t="s">
        <v>456</v>
      </c>
      <c r="AM160" s="234" t="s">
        <v>331</v>
      </c>
      <c r="AN160" s="102" t="s">
        <v>72</v>
      </c>
      <c r="AO160" s="246"/>
      <c r="AP160" s="43" t="s">
        <v>117</v>
      </c>
      <c r="AQ160" s="44">
        <v>54.951422161928548</v>
      </c>
      <c r="AR160" s="45">
        <v>453.2644287644647</v>
      </c>
      <c r="AS160" s="46">
        <v>54.951422161928548</v>
      </c>
      <c r="AT160" s="45">
        <v>453.2644287644647</v>
      </c>
      <c r="AU160" s="393">
        <v>131612.57953379344</v>
      </c>
      <c r="AV160" s="295">
        <f t="shared" si="195"/>
        <v>25759.475064475348</v>
      </c>
      <c r="AW160" s="295">
        <f t="shared" si="168"/>
        <v>157372.05459826879</v>
      </c>
      <c r="AX160" s="39">
        <v>112208.95359545118</v>
      </c>
      <c r="AY160" s="41">
        <v>1182.1417121313823</v>
      </c>
      <c r="AZ160" s="39">
        <v>19403.625938342258</v>
      </c>
      <c r="BA160" s="47">
        <v>1.1729240431944359</v>
      </c>
      <c r="BB160" s="41">
        <f t="shared" si="196"/>
        <v>1.4024910629292997</v>
      </c>
      <c r="BC160" s="39">
        <v>110470.14723625459</v>
      </c>
      <c r="BD160" s="47">
        <v>1.1913859339059543</v>
      </c>
      <c r="BE160" s="46">
        <v>44.676960818958854</v>
      </c>
      <c r="BF160" s="45">
        <v>368.51597880150399</v>
      </c>
      <c r="BG160" s="46">
        <v>99.628382980887409</v>
      </c>
      <c r="BH160" s="45">
        <v>821.78040756596874</v>
      </c>
      <c r="BI160" s="393">
        <v>115702.0413516183</v>
      </c>
      <c r="BJ160" s="295">
        <f t="shared" si="197"/>
        <v>20943.135098145802</v>
      </c>
      <c r="BK160" s="295">
        <f t="shared" si="202"/>
        <v>136645.17644976411</v>
      </c>
      <c r="BL160" s="39">
        <v>91228.849519995856</v>
      </c>
      <c r="BM160" s="41">
        <v>961.11250405347403</v>
      </c>
      <c r="BN160" s="39">
        <v>24473.191831622447</v>
      </c>
      <c r="BO160" s="47">
        <v>1.268261541830124</v>
      </c>
      <c r="BP160" s="41">
        <f t="shared" si="171"/>
        <v>1.4978285615649878</v>
      </c>
      <c r="BQ160" s="39">
        <v>89815.153922588666</v>
      </c>
      <c r="BR160" s="47">
        <v>1.2882240501568527</v>
      </c>
      <c r="BS160" s="44">
        <v>38.587551976258368</v>
      </c>
      <c r="BT160" s="45">
        <v>318.28775336146833</v>
      </c>
      <c r="BU160" s="46">
        <v>138.21593495714578</v>
      </c>
      <c r="BV160" s="45">
        <v>1140.068160927437</v>
      </c>
      <c r="BW160" s="393">
        <v>108542.92030907019</v>
      </c>
      <c r="BX160" s="295">
        <f t="shared" si="198"/>
        <v>18088.614340180509</v>
      </c>
      <c r="BY160" s="295">
        <f t="shared" si="203"/>
        <v>126631.53464925071</v>
      </c>
      <c r="BZ160" s="39">
        <v>78794.481720727068</v>
      </c>
      <c r="CA160" s="41">
        <v>830.11418022546502</v>
      </c>
      <c r="CB160" s="39">
        <v>29748.438588343124</v>
      </c>
      <c r="CC160" s="47">
        <v>1.3775446952463135</v>
      </c>
      <c r="CD160" s="41">
        <f t="shared" si="199"/>
        <v>1.6071117149811773</v>
      </c>
      <c r="CE160" s="39">
        <v>77573.470905676077</v>
      </c>
      <c r="CF160" s="47">
        <v>1.3992273265824446</v>
      </c>
    </row>
    <row r="161" spans="1:101" s="22" customFormat="1" ht="15" customHeight="1">
      <c r="A161" s="324" t="str">
        <f t="shared" si="182"/>
        <v>BNI- Direct Installation; Relamp/Reballast-Retrofit (dual baseline)-BES; COM-Lighting; Retail</v>
      </c>
      <c r="B161" s="36" t="s">
        <v>117</v>
      </c>
      <c r="C161" s="15" t="s">
        <v>71</v>
      </c>
      <c r="D161" s="15" t="s">
        <v>28</v>
      </c>
      <c r="E161" s="37">
        <v>15</v>
      </c>
      <c r="F161" s="38">
        <v>85.16894192420628</v>
      </c>
      <c r="G161" s="38">
        <v>11.483772532253406</v>
      </c>
      <c r="H161" s="39">
        <v>44.476701245850407</v>
      </c>
      <c r="I161" s="40">
        <v>0.78692886431781928</v>
      </c>
      <c r="J161" s="39">
        <v>10.646117740525785</v>
      </c>
      <c r="K161" s="39">
        <v>45.646117740525781</v>
      </c>
      <c r="L161" s="39">
        <v>9.476701245850407</v>
      </c>
      <c r="M161" s="39">
        <v>55.122818986376188</v>
      </c>
      <c r="N161" s="39">
        <v>80.16403833992247</v>
      </c>
      <c r="O161" s="41">
        <v>0.82</v>
      </c>
      <c r="P161" s="41">
        <v>1.3951332562318068</v>
      </c>
      <c r="Q161" s="261">
        <f t="shared" si="183"/>
        <v>1.3951332562318068</v>
      </c>
      <c r="R161" s="262">
        <f t="shared" si="184"/>
        <v>0</v>
      </c>
      <c r="S161" s="262">
        <f t="shared" si="185"/>
        <v>26.70933872329195</v>
      </c>
      <c r="T161" s="261">
        <f t="shared" si="186"/>
        <v>1.8599687046010194</v>
      </c>
      <c r="U161" s="267">
        <f t="shared" si="187"/>
        <v>0.33318354808967315</v>
      </c>
      <c r="V161" s="42" t="s">
        <v>72</v>
      </c>
      <c r="W161" s="199">
        <f>0.027*W3</f>
        <v>3.4020000000000002E-2</v>
      </c>
      <c r="X161" s="199"/>
      <c r="Y161" s="333">
        <v>0</v>
      </c>
      <c r="Z161" s="334">
        <f t="shared" si="216"/>
        <v>2.8974474042614977</v>
      </c>
      <c r="AA161" s="309">
        <f t="shared" si="217"/>
        <v>0.14487237021307489</v>
      </c>
      <c r="AB161" s="309">
        <f t="shared" si="218"/>
        <v>8.4025974723583433E-2</v>
      </c>
      <c r="AC161" s="309">
        <f t="shared" si="219"/>
        <v>1.158978961704599E-2</v>
      </c>
      <c r="AD161" s="309">
        <f t="shared" si="220"/>
        <v>0</v>
      </c>
      <c r="AE161" s="309">
        <f t="shared" si="221"/>
        <v>0.21151366051108933</v>
      </c>
      <c r="AF161" s="309">
        <f t="shared" si="222"/>
        <v>2.1354187369407236</v>
      </c>
      <c r="AG161" s="309" t="s">
        <v>38</v>
      </c>
      <c r="AH161" s="309">
        <f t="shared" si="223"/>
        <v>0</v>
      </c>
      <c r="AI161" s="309">
        <f t="shared" si="224"/>
        <v>0.24048813455370432</v>
      </c>
      <c r="AJ161" s="309">
        <f t="shared" si="225"/>
        <v>6.6641290298014452E-2</v>
      </c>
      <c r="AK161" s="309">
        <f t="shared" si="194"/>
        <v>2.8945499568572357</v>
      </c>
      <c r="AL161" s="246" t="s">
        <v>456</v>
      </c>
      <c r="AM161" s="234" t="s">
        <v>331</v>
      </c>
      <c r="AN161" s="102" t="s">
        <v>72</v>
      </c>
      <c r="AO161" s="246"/>
      <c r="AP161" s="43" t="s">
        <v>117</v>
      </c>
      <c r="AQ161" s="44">
        <v>87.466975279156131</v>
      </c>
      <c r="AR161" s="45">
        <v>648.69534091813478</v>
      </c>
      <c r="AS161" s="46">
        <v>87.466975279156131</v>
      </c>
      <c r="AT161" s="45">
        <v>648.69534091813478</v>
      </c>
      <c r="AU161" s="393">
        <v>192129.48417069574</v>
      </c>
      <c r="AV161" s="295">
        <f t="shared" si="195"/>
        <v>37019.830750820031</v>
      </c>
      <c r="AW161" s="295">
        <f t="shared" si="168"/>
        <v>229149.31492151576</v>
      </c>
      <c r="AX161" s="39">
        <v>160532.33729001088</v>
      </c>
      <c r="AY161" s="41">
        <v>1690.2752827274546</v>
      </c>
      <c r="AZ161" s="39">
        <v>31597.146880684857</v>
      </c>
      <c r="BA161" s="47">
        <v>1.196827302299865</v>
      </c>
      <c r="BB161" s="41">
        <f t="shared" si="196"/>
        <v>1.4274339911188383</v>
      </c>
      <c r="BC161" s="39">
        <v>158046.11979151805</v>
      </c>
      <c r="BD161" s="47">
        <v>1.2156545470659943</v>
      </c>
      <c r="BE161" s="46">
        <v>71.082252931639943</v>
      </c>
      <c r="BF161" s="45">
        <v>527.17869974986661</v>
      </c>
      <c r="BG161" s="46">
        <v>158.54922821079606</v>
      </c>
      <c r="BH161" s="45">
        <v>1175.8740406680013</v>
      </c>
      <c r="BI161" s="393">
        <v>169903.49607996433</v>
      </c>
      <c r="BJ161" s="295">
        <f t="shared" si="197"/>
        <v>30085.103143418994</v>
      </c>
      <c r="BK161" s="295">
        <f t="shared" si="202"/>
        <v>199988.59922338332</v>
      </c>
      <c r="BL161" s="39">
        <v>130460.67005903646</v>
      </c>
      <c r="BM161" s="41">
        <v>1373.6450218779225</v>
      </c>
      <c r="BN161" s="39">
        <v>39442.826020927867</v>
      </c>
      <c r="BO161" s="47">
        <v>1.3023349949304956</v>
      </c>
      <c r="BP161" s="41">
        <f t="shared" si="171"/>
        <v>1.5329416837494692</v>
      </c>
      <c r="BQ161" s="39">
        <v>128440.18243491428</v>
      </c>
      <c r="BR161" s="47">
        <v>1.3228219771959693</v>
      </c>
      <c r="BS161" s="44">
        <v>61.377172472082037</v>
      </c>
      <c r="BT161" s="45">
        <v>455.20135678976169</v>
      </c>
      <c r="BU161" s="46">
        <v>219.92640068287807</v>
      </c>
      <c r="BV161" s="45">
        <v>1631.0753974577628</v>
      </c>
      <c r="BW161" s="393">
        <v>160158.29305602086</v>
      </c>
      <c r="BX161" s="295">
        <f t="shared" si="198"/>
        <v>25977.490700102429</v>
      </c>
      <c r="BY161" s="295">
        <f t="shared" si="203"/>
        <v>186135.7837561233</v>
      </c>
      <c r="BZ161" s="39">
        <v>112648.47014257591</v>
      </c>
      <c r="CA161" s="41">
        <v>1186.0970065805291</v>
      </c>
      <c r="CB161" s="39">
        <v>47509.82291344495</v>
      </c>
      <c r="CC161" s="47">
        <v>1.4217529350670555</v>
      </c>
      <c r="CD161" s="41">
        <f t="shared" si="199"/>
        <v>1.652359623886029</v>
      </c>
      <c r="CE161" s="39">
        <v>110903.84596046511</v>
      </c>
      <c r="CF161" s="47">
        <v>1.4441184764062549</v>
      </c>
    </row>
    <row r="162" spans="1:101" s="22" customFormat="1" ht="15" customHeight="1">
      <c r="A162" s="324" t="str">
        <f t="shared" si="182"/>
        <v>BNI- Direct Installation; LED Lamps-Retrofit (dual baseline)-BES; COM-Lighting; Office</v>
      </c>
      <c r="B162" s="108" t="s">
        <v>118</v>
      </c>
      <c r="C162" s="15" t="s">
        <v>71</v>
      </c>
      <c r="D162" s="15" t="s">
        <v>64</v>
      </c>
      <c r="E162" s="37">
        <v>10</v>
      </c>
      <c r="F162" s="38">
        <v>90.35823252745152</v>
      </c>
      <c r="G162" s="38">
        <v>10.326651770704132</v>
      </c>
      <c r="H162" s="39">
        <v>6.060495051526221</v>
      </c>
      <c r="I162" s="40">
        <v>0.75</v>
      </c>
      <c r="J162" s="39">
        <v>11.29477906593144</v>
      </c>
      <c r="K162" s="39">
        <v>15.840150354576107</v>
      </c>
      <c r="L162" s="39">
        <v>1.5151237628815553</v>
      </c>
      <c r="M162" s="39">
        <v>17.355274117457661</v>
      </c>
      <c r="N162" s="39">
        <v>57.456938187932067</v>
      </c>
      <c r="O162" s="41">
        <v>0.82</v>
      </c>
      <c r="P162" s="41">
        <v>2.8968011572770771</v>
      </c>
      <c r="Q162" s="261">
        <f t="shared" si="183"/>
        <v>2.8968011572770771</v>
      </c>
      <c r="R162" s="262">
        <f t="shared" si="184"/>
        <v>0</v>
      </c>
      <c r="S162" s="262">
        <f t="shared" si="185"/>
        <v>21.781304430783745</v>
      </c>
      <c r="T162" s="261">
        <f t="shared" si="186"/>
        <v>3.9949471753562489</v>
      </c>
      <c r="U162" s="267">
        <f t="shared" si="187"/>
        <v>0.37908919475557046</v>
      </c>
      <c r="V162" s="42" t="s">
        <v>72</v>
      </c>
      <c r="W162" s="199">
        <f>0.027*W3</f>
        <v>3.4020000000000002E-2</v>
      </c>
      <c r="X162" s="199"/>
      <c r="Y162" s="333">
        <v>0</v>
      </c>
      <c r="Z162" s="334">
        <f t="shared" si="216"/>
        <v>3.0739870705839007</v>
      </c>
      <c r="AA162" s="309">
        <f t="shared" si="217"/>
        <v>0.15369935352919506</v>
      </c>
      <c r="AB162" s="309">
        <f t="shared" si="218"/>
        <v>8.914562504693313E-2</v>
      </c>
      <c r="AC162" s="309">
        <f t="shared" si="219"/>
        <v>1.2295948282335604E-2</v>
      </c>
      <c r="AD162" s="309">
        <f t="shared" si="220"/>
        <v>0</v>
      </c>
      <c r="AE162" s="309">
        <f t="shared" si="221"/>
        <v>0.22440105615262473</v>
      </c>
      <c r="AF162" s="309">
        <f t="shared" si="222"/>
        <v>2.2655284710203349</v>
      </c>
      <c r="AG162" s="309" t="s">
        <v>38</v>
      </c>
      <c r="AH162" s="309">
        <f t="shared" si="223"/>
        <v>0</v>
      </c>
      <c r="AI162" s="309">
        <f t="shared" si="224"/>
        <v>0.25514092685846379</v>
      </c>
      <c r="AJ162" s="309">
        <f t="shared" si="225"/>
        <v>7.0701702623429716E-2</v>
      </c>
      <c r="AK162" s="309">
        <f t="shared" si="194"/>
        <v>3.0709130835133167</v>
      </c>
      <c r="AL162" s="246" t="s">
        <v>456</v>
      </c>
      <c r="AM162" s="234" t="s">
        <v>331</v>
      </c>
      <c r="AN162" s="102" t="s">
        <v>72</v>
      </c>
      <c r="AO162" s="246"/>
      <c r="AP162" s="43" t="s">
        <v>118</v>
      </c>
      <c r="AQ162" s="44">
        <v>18.421775876320094</v>
      </c>
      <c r="AR162" s="45">
        <v>161.19059160330616</v>
      </c>
      <c r="AS162" s="46">
        <v>18.421775876320094</v>
      </c>
      <c r="AT162" s="45">
        <v>161.19059160330616</v>
      </c>
      <c r="AU162" s="393">
        <v>71586.603930366895</v>
      </c>
      <c r="AV162" s="295">
        <f t="shared" si="195"/>
        <v>26563.037834631661</v>
      </c>
      <c r="AW162" s="295">
        <f t="shared" si="168"/>
        <v>98149.641764998552</v>
      </c>
      <c r="AX162" s="39">
        <v>31962.715327925285</v>
      </c>
      <c r="AY162" s="41">
        <v>1487.236390353022</v>
      </c>
      <c r="AZ162" s="39">
        <v>39623.888602441613</v>
      </c>
      <c r="BA162" s="47">
        <v>2.2396909397689027</v>
      </c>
      <c r="BB162" s="41">
        <f t="shared" si="196"/>
        <v>3.0707541821156497</v>
      </c>
      <c r="BC162" s="39">
        <v>31331.778113032389</v>
      </c>
      <c r="BD162" s="47">
        <v>2.2847922537977694</v>
      </c>
      <c r="BE162" s="46">
        <v>18.368849112310834</v>
      </c>
      <c r="BF162" s="45">
        <v>160.72748226685678</v>
      </c>
      <c r="BG162" s="46">
        <v>36.790624988630931</v>
      </c>
      <c r="BH162" s="45">
        <v>321.91807387016297</v>
      </c>
      <c r="BI162" s="393">
        <v>78026.466824764022</v>
      </c>
      <c r="BJ162" s="295">
        <f t="shared" si="197"/>
        <v>26183.437719840316</v>
      </c>
      <c r="BK162" s="295">
        <f t="shared" si="202"/>
        <v>104209.90454460433</v>
      </c>
      <c r="BL162" s="39">
        <v>31786.498325370616</v>
      </c>
      <c r="BM162" s="41">
        <v>1465.9829814615198</v>
      </c>
      <c r="BN162" s="39">
        <v>46239.968499393406</v>
      </c>
      <c r="BO162" s="47">
        <v>2.4547046996518849</v>
      </c>
      <c r="BP162" s="41">
        <f t="shared" si="171"/>
        <v>3.2784329836491763</v>
      </c>
      <c r="BQ162" s="39">
        <v>31164.577543036772</v>
      </c>
      <c r="BR162" s="47">
        <v>2.5036908238853313</v>
      </c>
      <c r="BS162" s="44">
        <v>16.50061688757102</v>
      </c>
      <c r="BT162" s="45">
        <v>144.38044495731774</v>
      </c>
      <c r="BU162" s="46">
        <v>35.790282187160898</v>
      </c>
      <c r="BV162" s="45">
        <v>313.1650714963618</v>
      </c>
      <c r="BW162" s="393">
        <v>58227.941846684662</v>
      </c>
      <c r="BX162" s="295">
        <f t="shared" si="198"/>
        <v>23254.141867693346</v>
      </c>
      <c r="BY162" s="295">
        <f t="shared" si="203"/>
        <v>81482.083714378008</v>
      </c>
      <c r="BZ162" s="39">
        <v>28479.515899243346</v>
      </c>
      <c r="CA162" s="41">
        <v>1301.9748052677839</v>
      </c>
      <c r="CB162" s="39">
        <v>29748.425947441316</v>
      </c>
      <c r="CC162" s="47">
        <v>2.0445551831950795</v>
      </c>
      <c r="CD162" s="41">
        <f t="shared" si="199"/>
        <v>2.8610768526631749</v>
      </c>
      <c r="CE162" s="39">
        <v>27927.17306872574</v>
      </c>
      <c r="CF162" s="47">
        <v>2.0849923371546422</v>
      </c>
    </row>
    <row r="163" spans="1:101" s="22" customFormat="1" ht="15" customHeight="1">
      <c r="A163" s="324" t="str">
        <f t="shared" si="182"/>
        <v>BNI- Direct Installation; LED Lamps-Retrofit (dual baseline)-BES; COM-Lighting; Other Commercial</v>
      </c>
      <c r="B163" s="108" t="s">
        <v>118</v>
      </c>
      <c r="C163" s="15" t="s">
        <v>71</v>
      </c>
      <c r="D163" s="15" t="s">
        <v>54</v>
      </c>
      <c r="E163" s="37">
        <v>10</v>
      </c>
      <c r="F163" s="38">
        <v>150.80091295120059</v>
      </c>
      <c r="G163" s="38">
        <v>18.282318452771843</v>
      </c>
      <c r="H163" s="39">
        <v>6.060495051526221</v>
      </c>
      <c r="I163" s="40">
        <v>0.75</v>
      </c>
      <c r="J163" s="39">
        <v>18.850114118900073</v>
      </c>
      <c r="K163" s="39">
        <v>23.39548540754474</v>
      </c>
      <c r="L163" s="39">
        <v>1.5151237628815553</v>
      </c>
      <c r="M163" s="39">
        <v>24.910609170426294</v>
      </c>
      <c r="N163" s="39">
        <v>97.062452384609216</v>
      </c>
      <c r="O163" s="41">
        <v>0.82</v>
      </c>
      <c r="P163" s="41">
        <v>3.3413999304377922</v>
      </c>
      <c r="Q163" s="261">
        <f t="shared" si="183"/>
        <v>3.3413999304377922</v>
      </c>
      <c r="R163" s="262">
        <f t="shared" si="184"/>
        <v>0</v>
      </c>
      <c r="S163" s="262">
        <f t="shared" si="185"/>
        <v>36.351315221137384</v>
      </c>
      <c r="T163" s="261">
        <f t="shared" si="186"/>
        <v>4.5928033224511067</v>
      </c>
      <c r="U163" s="267">
        <f t="shared" si="187"/>
        <v>0.3745146998459879</v>
      </c>
      <c r="V163" s="42" t="s">
        <v>72</v>
      </c>
      <c r="W163" s="199">
        <f>0.027*W3</f>
        <v>3.4020000000000002E-2</v>
      </c>
      <c r="X163" s="199"/>
      <c r="Y163" s="333">
        <v>0</v>
      </c>
      <c r="Z163" s="334">
        <f t="shared" si="216"/>
        <v>5.1302470585998439</v>
      </c>
      <c r="AA163" s="309">
        <f t="shared" si="217"/>
        <v>0.25651235292999219</v>
      </c>
      <c r="AB163" s="309">
        <f t="shared" si="218"/>
        <v>0.14877716469939548</v>
      </c>
      <c r="AC163" s="309">
        <f t="shared" si="219"/>
        <v>2.0520988234399375E-2</v>
      </c>
      <c r="AD163" s="309">
        <f t="shared" si="220"/>
        <v>0</v>
      </c>
      <c r="AE163" s="309">
        <f t="shared" si="221"/>
        <v>0.37450803527778859</v>
      </c>
      <c r="AF163" s="309">
        <f t="shared" si="222"/>
        <v>3.7809920821880847</v>
      </c>
      <c r="AG163" s="309" t="s">
        <v>38</v>
      </c>
      <c r="AH163" s="309">
        <f t="shared" si="223"/>
        <v>0</v>
      </c>
      <c r="AI163" s="309">
        <f t="shared" si="224"/>
        <v>0.42581050586378705</v>
      </c>
      <c r="AJ163" s="309">
        <f t="shared" si="225"/>
        <v>0.11799568234779641</v>
      </c>
      <c r="AK163" s="309">
        <f t="shared" si="194"/>
        <v>5.1251168115412433</v>
      </c>
      <c r="AL163" s="246" t="s">
        <v>456</v>
      </c>
      <c r="AM163" s="234" t="s">
        <v>331</v>
      </c>
      <c r="AN163" s="102" t="s">
        <v>72</v>
      </c>
      <c r="AO163" s="246"/>
      <c r="AP163" s="43" t="s">
        <v>118</v>
      </c>
      <c r="AQ163" s="44">
        <v>44.630435540858706</v>
      </c>
      <c r="AR163" s="45">
        <v>368.13221705755802</v>
      </c>
      <c r="AS163" s="46">
        <v>44.630435540858706</v>
      </c>
      <c r="AT163" s="45">
        <v>368.13221705755802</v>
      </c>
      <c r="AU163" s="393">
        <v>165694.1756733708</v>
      </c>
      <c r="AV163" s="295">
        <f t="shared" si="195"/>
        <v>60979.284901920204</v>
      </c>
      <c r="AW163" s="295">
        <f t="shared" si="168"/>
        <v>226673.46057529101</v>
      </c>
      <c r="AX163" s="39">
        <v>66284.188731072092</v>
      </c>
      <c r="AY163" s="41">
        <v>2045.7301513114492</v>
      </c>
      <c r="AZ163" s="39">
        <v>99409.98694229871</v>
      </c>
      <c r="BA163" s="47">
        <v>2.4997541471862084</v>
      </c>
      <c r="BB163" s="41">
        <f t="shared" si="196"/>
        <v>3.4197214285136619</v>
      </c>
      <c r="BC163" s="39">
        <v>65416.319108957417</v>
      </c>
      <c r="BD163" s="47">
        <v>2.5329180536341487</v>
      </c>
      <c r="BE163" s="46">
        <v>44.819982546451939</v>
      </c>
      <c r="BF163" s="45">
        <v>369.69568733428827</v>
      </c>
      <c r="BG163" s="46">
        <v>89.450418087310638</v>
      </c>
      <c r="BH163" s="45">
        <v>737.82790439184623</v>
      </c>
      <c r="BI163" s="393">
        <v>182381.43171995293</v>
      </c>
      <c r="BJ163" s="295">
        <f t="shared" si="197"/>
        <v>60537.06451751227</v>
      </c>
      <c r="BK163" s="295">
        <f t="shared" si="202"/>
        <v>242918.49623746521</v>
      </c>
      <c r="BL163" s="39">
        <v>66448.795586273176</v>
      </c>
      <c r="BM163" s="41">
        <v>2030.8945628757547</v>
      </c>
      <c r="BN163" s="39">
        <v>115932.63613367976</v>
      </c>
      <c r="BO163" s="47">
        <v>2.7446913087109261</v>
      </c>
      <c r="BP163" s="41">
        <f t="shared" si="171"/>
        <v>3.6557245935642917</v>
      </c>
      <c r="BQ163" s="39">
        <v>65587.219734879574</v>
      </c>
      <c r="BR163" s="47">
        <v>2.7807464999612064</v>
      </c>
      <c r="BS163" s="44">
        <v>41.390150709741576</v>
      </c>
      <c r="BT163" s="45">
        <v>341.40486778746009</v>
      </c>
      <c r="BU163" s="46">
        <v>89.1023589341155</v>
      </c>
      <c r="BV163" s="45">
        <v>734.95695352210623</v>
      </c>
      <c r="BW163" s="393">
        <v>140124.85124755328</v>
      </c>
      <c r="BX163" s="295">
        <f t="shared" si="198"/>
        <v>55271.608051060401</v>
      </c>
      <c r="BY163" s="295">
        <f t="shared" si="203"/>
        <v>195396.45929861368</v>
      </c>
      <c r="BZ163" s="39">
        <v>61258.313206047911</v>
      </c>
      <c r="CA163" s="41">
        <v>1854.2492796264714</v>
      </c>
      <c r="CB163" s="39">
        <v>78866.538041505366</v>
      </c>
      <c r="CC163" s="47">
        <v>2.2874422084759432</v>
      </c>
      <c r="CD163" s="41">
        <f t="shared" si="199"/>
        <v>3.1897133478256237</v>
      </c>
      <c r="CE163" s="39">
        <v>60471.676405204846</v>
      </c>
      <c r="CF163" s="47">
        <v>2.31719805994154</v>
      </c>
    </row>
    <row r="164" spans="1:101" s="22" customFormat="1" ht="15" customHeight="1">
      <c r="A164" s="324" t="str">
        <f t="shared" si="182"/>
        <v>BNI- Direct Installation; LED Lamps-Retrofit (dual baseline)-BES; COM-Lighting; Retail</v>
      </c>
      <c r="B164" s="108" t="s">
        <v>118</v>
      </c>
      <c r="C164" s="15" t="s">
        <v>71</v>
      </c>
      <c r="D164" s="15" t="s">
        <v>28</v>
      </c>
      <c r="E164" s="37">
        <v>10</v>
      </c>
      <c r="F164" s="38">
        <v>141.2367797275291</v>
      </c>
      <c r="G164" s="38">
        <v>19.043691455299697</v>
      </c>
      <c r="H164" s="39">
        <v>6.060495051526221</v>
      </c>
      <c r="I164" s="40">
        <v>0.75</v>
      </c>
      <c r="J164" s="39">
        <v>17.654597465941137</v>
      </c>
      <c r="K164" s="39">
        <v>22.199968754585804</v>
      </c>
      <c r="L164" s="39">
        <v>1.5151237628815553</v>
      </c>
      <c r="M164" s="39">
        <v>23.715092517467358</v>
      </c>
      <c r="N164" s="39">
        <v>93.053468840567461</v>
      </c>
      <c r="O164" s="41">
        <v>0.82</v>
      </c>
      <c r="P164" s="41">
        <v>3.3726643573949788</v>
      </c>
      <c r="Q164" s="261">
        <f t="shared" si="183"/>
        <v>3.3726643573949788</v>
      </c>
      <c r="R164" s="262">
        <f t="shared" si="184"/>
        <v>0</v>
      </c>
      <c r="S164" s="262">
        <f t="shared" si="185"/>
        <v>34.045833013989593</v>
      </c>
      <c r="T164" s="261">
        <f t="shared" si="186"/>
        <v>4.6066341271930176</v>
      </c>
      <c r="U164" s="267">
        <f t="shared" si="187"/>
        <v>0.36587387271206195</v>
      </c>
      <c r="V164" s="42" t="s">
        <v>72</v>
      </c>
      <c r="W164" s="199">
        <f>0.027*W3</f>
        <v>3.4020000000000002E-2</v>
      </c>
      <c r="X164" s="199"/>
      <c r="Y164" s="333">
        <v>0</v>
      </c>
      <c r="Z164" s="334">
        <f t="shared" si="216"/>
        <v>4.80487524633054</v>
      </c>
      <c r="AA164" s="309">
        <f t="shared" si="217"/>
        <v>0.240243762316527</v>
      </c>
      <c r="AB164" s="309">
        <f t="shared" si="218"/>
        <v>0.13934138214358566</v>
      </c>
      <c r="AC164" s="309">
        <f t="shared" si="219"/>
        <v>1.9219500985322161E-2</v>
      </c>
      <c r="AD164" s="309">
        <f t="shared" si="220"/>
        <v>0</v>
      </c>
      <c r="AE164" s="309">
        <f t="shared" si="221"/>
        <v>0.35075589298212939</v>
      </c>
      <c r="AF164" s="309">
        <f t="shared" si="222"/>
        <v>3.541193056545608</v>
      </c>
      <c r="AG164" s="309" t="s">
        <v>38</v>
      </c>
      <c r="AH164" s="309">
        <f t="shared" si="223"/>
        <v>0</v>
      </c>
      <c r="AI164" s="309">
        <f t="shared" si="224"/>
        <v>0.39880464544543481</v>
      </c>
      <c r="AJ164" s="309">
        <f t="shared" si="225"/>
        <v>0.11051213066560242</v>
      </c>
      <c r="AK164" s="309">
        <f t="shared" si="194"/>
        <v>4.8000703710842103</v>
      </c>
      <c r="AL164" s="246" t="s">
        <v>456</v>
      </c>
      <c r="AM164" s="234" t="s">
        <v>331</v>
      </c>
      <c r="AN164" s="102" t="s">
        <v>72</v>
      </c>
      <c r="AO164" s="246"/>
      <c r="AP164" s="43" t="s">
        <v>118</v>
      </c>
      <c r="AQ164" s="44">
        <v>52.864895662198293</v>
      </c>
      <c r="AR164" s="45">
        <v>392.07039462314196</v>
      </c>
      <c r="AS164" s="46">
        <v>52.864895662198293</v>
      </c>
      <c r="AT164" s="45">
        <v>392.07039462314196</v>
      </c>
      <c r="AU164" s="393">
        <v>209692.79795992817</v>
      </c>
      <c r="AV164" s="295">
        <f t="shared" si="195"/>
        <v>81566.351309299091</v>
      </c>
      <c r="AW164" s="295">
        <f t="shared" si="168"/>
        <v>291259.14926922729</v>
      </c>
      <c r="AX164" s="39">
        <v>74286.445820853012</v>
      </c>
      <c r="AY164" s="41">
        <v>2921.6838399112867</v>
      </c>
      <c r="AZ164" s="39">
        <v>135406.35213907517</v>
      </c>
      <c r="BA164" s="47">
        <v>2.8227598674678434</v>
      </c>
      <c r="BB164" s="41">
        <f t="shared" si="196"/>
        <v>3.9207576301552938</v>
      </c>
      <c r="BC164" s="39">
        <v>73046.966289079559</v>
      </c>
      <c r="BD164" s="47">
        <v>2.8706571759610093</v>
      </c>
      <c r="BE164" s="46">
        <v>53.041278144640501</v>
      </c>
      <c r="BF164" s="45">
        <v>393.37852828404266</v>
      </c>
      <c r="BG164" s="46">
        <v>105.90617380683879</v>
      </c>
      <c r="BH164" s="45">
        <v>785.44892290718462</v>
      </c>
      <c r="BI164" s="393">
        <v>228857.06601842758</v>
      </c>
      <c r="BJ164" s="295">
        <f t="shared" si="197"/>
        <v>80901.413514416054</v>
      </c>
      <c r="BK164" s="295">
        <f t="shared" si="202"/>
        <v>309758.47953284363</v>
      </c>
      <c r="BL164" s="39">
        <v>74367.490934962814</v>
      </c>
      <c r="BM164" s="41">
        <v>2897.8659544882998</v>
      </c>
      <c r="BN164" s="39">
        <v>154489.57508346476</v>
      </c>
      <c r="BO164" s="47">
        <v>3.077380494369129</v>
      </c>
      <c r="BP164" s="41">
        <f t="shared" si="171"/>
        <v>4.1652404247944732</v>
      </c>
      <c r="BQ164" s="39">
        <v>73138.115775561426</v>
      </c>
      <c r="BR164" s="47">
        <v>3.129108038833269</v>
      </c>
      <c r="BS164" s="44">
        <v>48.7965215948728</v>
      </c>
      <c r="BT164" s="45">
        <v>361.89746027662716</v>
      </c>
      <c r="BU164" s="46">
        <v>109.66583996672637</v>
      </c>
      <c r="BV164" s="45">
        <v>813.33233734495172</v>
      </c>
      <c r="BW164" s="393">
        <v>170173.26198428887</v>
      </c>
      <c r="BX164" s="295">
        <f t="shared" si="198"/>
        <v>73584.51151678602</v>
      </c>
      <c r="BY164" s="295">
        <f t="shared" si="203"/>
        <v>243757.77350107487</v>
      </c>
      <c r="BZ164" s="39">
        <v>68266.066708140192</v>
      </c>
      <c r="CA164" s="41">
        <v>2635.7765759451026</v>
      </c>
      <c r="CB164" s="39">
        <v>101907.19527614868</v>
      </c>
      <c r="CC164" s="47">
        <v>2.4927943001584572</v>
      </c>
      <c r="CD164" s="41">
        <f t="shared" si="199"/>
        <v>3.5707018912224613</v>
      </c>
      <c r="CE164" s="39">
        <v>67147.878945459102</v>
      </c>
      <c r="CF164" s="47">
        <v>2.5343058434133443</v>
      </c>
    </row>
    <row r="165" spans="1:101" s="22" customFormat="1" ht="15" customHeight="1">
      <c r="A165" s="324" t="str">
        <f t="shared" si="182"/>
        <v>BNI- Direct Installation; LED Lamps-End of Life-BES; COM-Lighting; Office</v>
      </c>
      <c r="B165" s="108" t="s">
        <v>119</v>
      </c>
      <c r="C165" s="15" t="s">
        <v>71</v>
      </c>
      <c r="D165" s="15" t="s">
        <v>64</v>
      </c>
      <c r="E165" s="37">
        <v>10</v>
      </c>
      <c r="F165" s="38">
        <v>52.563494754620386</v>
      </c>
      <c r="G165" s="38">
        <v>6.0072545798999526</v>
      </c>
      <c r="H165" s="39">
        <v>23.5</v>
      </c>
      <c r="I165" s="40">
        <v>0.85106382978723405</v>
      </c>
      <c r="J165" s="39">
        <v>6.5704368443275483</v>
      </c>
      <c r="K165" s="39">
        <v>26.570436844327549</v>
      </c>
      <c r="L165" s="39">
        <v>3.5</v>
      </c>
      <c r="M165" s="39">
        <v>30.070436844327549</v>
      </c>
      <c r="N165" s="39">
        <v>33.424043217538305</v>
      </c>
      <c r="O165" s="41">
        <v>0.82</v>
      </c>
      <c r="P165" s="41">
        <v>1.0606521709944663</v>
      </c>
      <c r="Q165" s="261">
        <f t="shared" si="183"/>
        <v>1.0606521709944663</v>
      </c>
      <c r="R165" s="262">
        <f t="shared" si="184"/>
        <v>0</v>
      </c>
      <c r="S165" s="262">
        <f t="shared" si="185"/>
        <v>12.670693628811977</v>
      </c>
      <c r="T165" s="261">
        <f t="shared" si="186"/>
        <v>1.4627339484125057</v>
      </c>
      <c r="U165" s="267">
        <f t="shared" si="187"/>
        <v>0.37908919475557001</v>
      </c>
      <c r="V165" s="42" t="s">
        <v>72</v>
      </c>
      <c r="W165" s="199">
        <f>0.027*W3</f>
        <v>3.4020000000000002E-2</v>
      </c>
      <c r="X165" s="199"/>
      <c r="Y165" s="333">
        <v>0</v>
      </c>
      <c r="Z165" s="334">
        <f t="shared" si="216"/>
        <v>1.7882100915521857</v>
      </c>
      <c r="AA165" s="309">
        <f t="shared" si="217"/>
        <v>8.9410504577609295E-2</v>
      </c>
      <c r="AB165" s="309">
        <f t="shared" si="218"/>
        <v>5.1858092655013385E-2</v>
      </c>
      <c r="AC165" s="309">
        <f t="shared" si="219"/>
        <v>7.1528403662087427E-3</v>
      </c>
      <c r="AD165" s="309">
        <f t="shared" si="220"/>
        <v>0</v>
      </c>
      <c r="AE165" s="309">
        <f t="shared" si="221"/>
        <v>0.13053933668330955</v>
      </c>
      <c r="AF165" s="309">
        <f t="shared" si="222"/>
        <v>1.3179108374739608</v>
      </c>
      <c r="AG165" s="309" t="s">
        <v>38</v>
      </c>
      <c r="AH165" s="309">
        <f t="shared" si="223"/>
        <v>0</v>
      </c>
      <c r="AI165" s="309">
        <f t="shared" si="224"/>
        <v>0.14842143759883142</v>
      </c>
      <c r="AJ165" s="309">
        <f t="shared" si="225"/>
        <v>4.1128832105700272E-2</v>
      </c>
      <c r="AK165" s="309">
        <f t="shared" si="194"/>
        <v>1.7864218814606334</v>
      </c>
      <c r="AL165" s="246" t="s">
        <v>456</v>
      </c>
      <c r="AM165" s="234" t="s">
        <v>331</v>
      </c>
      <c r="AN165" s="102" t="s">
        <v>72</v>
      </c>
      <c r="AO165" s="246"/>
      <c r="AP165" s="43" t="s">
        <v>119</v>
      </c>
      <c r="AQ165" s="44">
        <v>4.3965708042320921</v>
      </c>
      <c r="AR165" s="45">
        <v>38.470007111038662</v>
      </c>
      <c r="AS165" s="46">
        <v>4.3965708042320921</v>
      </c>
      <c r="AT165" s="45">
        <v>38.470007111038662</v>
      </c>
      <c r="AU165" s="393">
        <v>24462.284828299726</v>
      </c>
      <c r="AV165" s="295">
        <f t="shared" si="195"/>
        <v>9273.3878574415467</v>
      </c>
      <c r="AW165" s="295">
        <f t="shared" si="168"/>
        <v>33735.672685741272</v>
      </c>
      <c r="AX165" s="39">
        <v>23063.437286291424</v>
      </c>
      <c r="AY165" s="41">
        <v>892.53279366886068</v>
      </c>
      <c r="AZ165" s="39">
        <v>1398.8475420083014</v>
      </c>
      <c r="BA165" s="47">
        <v>1.0606521709944665</v>
      </c>
      <c r="BB165" s="41">
        <f t="shared" si="196"/>
        <v>1.4627339484125061</v>
      </c>
      <c r="BC165" s="39">
        <v>23714.986225669694</v>
      </c>
      <c r="BD165" s="47">
        <v>1.0315116608341579</v>
      </c>
      <c r="BE165" s="46">
        <v>4.3487019396129538</v>
      </c>
      <c r="BF165" s="45">
        <v>38.051154408718254</v>
      </c>
      <c r="BG165" s="46">
        <v>8.7452727438450459</v>
      </c>
      <c r="BH165" s="45">
        <v>76.521161519756916</v>
      </c>
      <c r="BI165" s="393">
        <v>25771.279282885582</v>
      </c>
      <c r="BJ165" s="295">
        <f t="shared" si="197"/>
        <v>9067.3935910970231</v>
      </c>
      <c r="BK165" s="295">
        <f t="shared" si="202"/>
        <v>34838.672873982607</v>
      </c>
      <c r="BL165" s="39">
        <v>22617.535677167711</v>
      </c>
      <c r="BM165" s="41">
        <v>872.70652943332493</v>
      </c>
      <c r="BN165" s="39">
        <v>3153.7436057178711</v>
      </c>
      <c r="BO165" s="47">
        <v>1.1394379852311478</v>
      </c>
      <c r="BP165" s="41">
        <f t="shared" si="171"/>
        <v>1.5403390259334075</v>
      </c>
      <c r="BQ165" s="39">
        <v>23254.611443654037</v>
      </c>
      <c r="BR165" s="47">
        <v>1.1082223130379725</v>
      </c>
      <c r="BS165" s="44">
        <v>2.3519829328897246</v>
      </c>
      <c r="BT165" s="45">
        <v>20.5798573893575</v>
      </c>
      <c r="BU165" s="46">
        <v>11.09725567673477</v>
      </c>
      <c r="BV165" s="45">
        <v>97.101018909114416</v>
      </c>
      <c r="BW165" s="393">
        <v>14916.211241649153</v>
      </c>
      <c r="BX165" s="295">
        <f t="shared" si="198"/>
        <v>8105.0487039277941</v>
      </c>
      <c r="BY165" s="295">
        <f t="shared" si="203"/>
        <v>23021.259945576945</v>
      </c>
      <c r="BZ165" s="39">
        <v>18169.392621823994</v>
      </c>
      <c r="CA165" s="41">
        <v>780.08402902438957</v>
      </c>
      <c r="CB165" s="39">
        <v>-3253.1813801748413</v>
      </c>
      <c r="CC165" s="47">
        <v>0.8209526621012464</v>
      </c>
      <c r="CD165" s="41">
        <f t="shared" si="199"/>
        <v>1.2670351962082198</v>
      </c>
      <c r="CE165" s="39">
        <v>18738.853963011799</v>
      </c>
      <c r="CF165" s="47">
        <v>0.79600445529336672</v>
      </c>
    </row>
    <row r="166" spans="1:101" s="22" customFormat="1" ht="15" customHeight="1">
      <c r="A166" s="324" t="str">
        <f t="shared" si="182"/>
        <v>BNI- Direct Installation; LED Lamps-End of Life-BES; COM-Lighting; Other Commercial</v>
      </c>
      <c r="B166" s="108" t="s">
        <v>119</v>
      </c>
      <c r="C166" s="15" t="s">
        <v>71</v>
      </c>
      <c r="D166" s="15" t="s">
        <v>54</v>
      </c>
      <c r="E166" s="37">
        <v>10</v>
      </c>
      <c r="F166" s="38">
        <v>87.724413981805441</v>
      </c>
      <c r="G166" s="38">
        <v>10.635251744246084</v>
      </c>
      <c r="H166" s="39">
        <v>23.5</v>
      </c>
      <c r="I166" s="40">
        <v>0.85106382978723405</v>
      </c>
      <c r="J166" s="39">
        <v>10.96555174772568</v>
      </c>
      <c r="K166" s="39">
        <v>30.96555174772568</v>
      </c>
      <c r="L166" s="39">
        <v>3.5</v>
      </c>
      <c r="M166" s="39">
        <v>34.465551747725684</v>
      </c>
      <c r="N166" s="39">
        <v>56.463496065386039</v>
      </c>
      <c r="O166" s="41">
        <v>0.82</v>
      </c>
      <c r="P166" s="41">
        <v>1.5313121176000779</v>
      </c>
      <c r="Q166" s="261">
        <f t="shared" si="183"/>
        <v>1.5313121176000779</v>
      </c>
      <c r="R166" s="262">
        <f t="shared" si="184"/>
        <v>0</v>
      </c>
      <c r="S166" s="262">
        <f t="shared" si="185"/>
        <v>21.146409281183157</v>
      </c>
      <c r="T166" s="261">
        <f t="shared" si="186"/>
        <v>2.1048110156935946</v>
      </c>
      <c r="U166" s="267">
        <f t="shared" si="187"/>
        <v>0.37451469984598751</v>
      </c>
      <c r="V166" s="42" t="s">
        <v>72</v>
      </c>
      <c r="W166" s="199">
        <f>0.027*W3</f>
        <v>3.4020000000000002E-2</v>
      </c>
      <c r="X166" s="199"/>
      <c r="Y166" s="333">
        <v>0</v>
      </c>
      <c r="Z166" s="334">
        <f t="shared" si="216"/>
        <v>2.9843845636610213</v>
      </c>
      <c r="AA166" s="309">
        <f t="shared" si="217"/>
        <v>0.14921922818305108</v>
      </c>
      <c r="AB166" s="309">
        <f t="shared" si="218"/>
        <v>8.6547152346169623E-2</v>
      </c>
      <c r="AC166" s="309">
        <f t="shared" si="219"/>
        <v>1.1937538254644086E-2</v>
      </c>
      <c r="AD166" s="309">
        <f t="shared" si="220"/>
        <v>0</v>
      </c>
      <c r="AE166" s="309">
        <f t="shared" si="221"/>
        <v>0.21786007314725456</v>
      </c>
      <c r="AF166" s="309">
        <f t="shared" si="222"/>
        <v>2.1994914234181726</v>
      </c>
      <c r="AG166" s="309" t="s">
        <v>38</v>
      </c>
      <c r="AH166" s="309">
        <f t="shared" si="223"/>
        <v>0</v>
      </c>
      <c r="AI166" s="309">
        <f t="shared" si="224"/>
        <v>0.24770391878386477</v>
      </c>
      <c r="AJ166" s="309">
        <f t="shared" si="225"/>
        <v>6.8640844964203487E-2</v>
      </c>
      <c r="AK166" s="309">
        <f t="shared" si="194"/>
        <v>2.9814001790973603</v>
      </c>
      <c r="AL166" s="246" t="s">
        <v>456</v>
      </c>
      <c r="AM166" s="234" t="s">
        <v>331</v>
      </c>
      <c r="AN166" s="102" t="s">
        <v>72</v>
      </c>
      <c r="AO166" s="246"/>
      <c r="AP166" s="43" t="s">
        <v>119</v>
      </c>
      <c r="AQ166" s="44">
        <v>10.498591447069874</v>
      </c>
      <c r="AR166" s="45">
        <v>86.597177431824534</v>
      </c>
      <c r="AS166" s="46">
        <v>10.498591447069874</v>
      </c>
      <c r="AT166" s="45">
        <v>86.597177431824534</v>
      </c>
      <c r="AU166" s="393">
        <v>55737.954410382161</v>
      </c>
      <c r="AV166" s="295">
        <f t="shared" si="195"/>
        <v>20874.683266033608</v>
      </c>
      <c r="AW166" s="295">
        <f t="shared" si="168"/>
        <v>76612.637676415761</v>
      </c>
      <c r="AX166" s="39">
        <v>36398.820181568517</v>
      </c>
      <c r="AY166" s="41">
        <v>1203.8417716093584</v>
      </c>
      <c r="AZ166" s="39">
        <v>19339.134228813644</v>
      </c>
      <c r="BA166" s="47">
        <v>1.5313121176000786</v>
      </c>
      <c r="BB166" s="41">
        <f t="shared" si="196"/>
        <v>2.1048110156935951</v>
      </c>
      <c r="BC166" s="39">
        <v>37277.624674843348</v>
      </c>
      <c r="BD166" s="47">
        <v>1.4952120714922239</v>
      </c>
      <c r="BE166" s="46">
        <v>10.388178618769013</v>
      </c>
      <c r="BF166" s="45">
        <v>85.686441993520774</v>
      </c>
      <c r="BG166" s="46">
        <v>20.886770065838885</v>
      </c>
      <c r="BH166" s="45">
        <v>172.28361942534531</v>
      </c>
      <c r="BI166" s="393">
        <v>58811.069612144078</v>
      </c>
      <c r="BJ166" s="295">
        <f t="shared" si="197"/>
        <v>20418.636623490773</v>
      </c>
      <c r="BK166" s="295">
        <f t="shared" si="202"/>
        <v>79229.706235634847</v>
      </c>
      <c r="BL166" s="39">
        <v>35753.18402595941</v>
      </c>
      <c r="BM166" s="41">
        <v>1177.5415882198174</v>
      </c>
      <c r="BN166" s="39">
        <v>23057.885586184668</v>
      </c>
      <c r="BO166" s="47">
        <v>1.6449183817990298</v>
      </c>
      <c r="BP166" s="41">
        <f t="shared" si="171"/>
        <v>2.2160181923408087</v>
      </c>
      <c r="BQ166" s="39">
        <v>36612.78938535988</v>
      </c>
      <c r="BR166" s="47">
        <v>1.6062985257184605</v>
      </c>
      <c r="BS166" s="44">
        <v>5.5238298452633261</v>
      </c>
      <c r="BT166" s="45">
        <v>45.563071543943323</v>
      </c>
      <c r="BU166" s="46">
        <v>26.410599911102214</v>
      </c>
      <c r="BV166" s="45">
        <v>217.84669096928863</v>
      </c>
      <c r="BW166" s="393">
        <v>33500.18627392756</v>
      </c>
      <c r="BX166" s="295">
        <f t="shared" si="198"/>
        <v>17944.289261944999</v>
      </c>
      <c r="BY166" s="295">
        <f t="shared" si="203"/>
        <v>51444.47553587256</v>
      </c>
      <c r="BZ166" s="39">
        <v>26887.074898738254</v>
      </c>
      <c r="CA166" s="41">
        <v>1034.8461195825971</v>
      </c>
      <c r="CB166" s="39">
        <v>6613.1113751893063</v>
      </c>
      <c r="CC166" s="47">
        <v>1.24595875155983</v>
      </c>
      <c r="CD166" s="41">
        <f t="shared" si="199"/>
        <v>1.9133533762829189</v>
      </c>
      <c r="CE166" s="39">
        <v>27642.512566033547</v>
      </c>
      <c r="CF166" s="47">
        <v>1.2119081503137954</v>
      </c>
    </row>
    <row r="167" spans="1:101" s="22" customFormat="1" ht="15" customHeight="1">
      <c r="A167" s="324" t="str">
        <f t="shared" si="182"/>
        <v>BNI- Direct Installation; LED Lamps-End of Life-BES; COM-Lighting; Retail</v>
      </c>
      <c r="B167" s="108" t="s">
        <v>119</v>
      </c>
      <c r="C167" s="15" t="s">
        <v>71</v>
      </c>
      <c r="D167" s="15" t="s">
        <v>28</v>
      </c>
      <c r="E167" s="37">
        <v>10</v>
      </c>
      <c r="F167" s="38">
        <v>82.160734254203248</v>
      </c>
      <c r="G167" s="38">
        <v>11.078160206543904</v>
      </c>
      <c r="H167" s="39">
        <v>23.5</v>
      </c>
      <c r="I167" s="40">
        <v>0.85106382978723405</v>
      </c>
      <c r="J167" s="39">
        <v>10.270091781775406</v>
      </c>
      <c r="K167" s="39">
        <v>30.270091781775406</v>
      </c>
      <c r="L167" s="39">
        <v>3.5</v>
      </c>
      <c r="M167" s="39">
        <v>33.770091781775406</v>
      </c>
      <c r="N167" s="39">
        <v>54.131376682411421</v>
      </c>
      <c r="O167" s="41">
        <v>0.82</v>
      </c>
      <c r="P167" s="41">
        <v>1.5026266406850544</v>
      </c>
      <c r="Q167" s="261">
        <f t="shared" si="183"/>
        <v>1.5026266406850544</v>
      </c>
      <c r="R167" s="262">
        <f t="shared" si="184"/>
        <v>0</v>
      </c>
      <c r="S167" s="262">
        <f t="shared" si="185"/>
        <v>19.805256422029267</v>
      </c>
      <c r="T167" s="261">
        <f t="shared" si="186"/>
        <v>2.052398468952811</v>
      </c>
      <c r="U167" s="267">
        <f t="shared" si="187"/>
        <v>0.36587387271206179</v>
      </c>
      <c r="V167" s="42" t="s">
        <v>72</v>
      </c>
      <c r="W167" s="199">
        <f>0.027*W3</f>
        <v>3.4020000000000002E-2</v>
      </c>
      <c r="X167" s="199"/>
      <c r="Y167" s="333">
        <v>0</v>
      </c>
      <c r="Z167" s="334">
        <f t="shared" si="216"/>
        <v>2.7951081793279946</v>
      </c>
      <c r="AA167" s="309">
        <f t="shared" si="217"/>
        <v>0.13975540896639974</v>
      </c>
      <c r="AB167" s="309">
        <f t="shared" si="218"/>
        <v>8.1058137200511846E-2</v>
      </c>
      <c r="AC167" s="309">
        <f t="shared" si="219"/>
        <v>1.1180432717311979E-2</v>
      </c>
      <c r="AD167" s="309">
        <f t="shared" si="220"/>
        <v>0</v>
      </c>
      <c r="AE167" s="309">
        <f t="shared" si="221"/>
        <v>0.20404289709094359</v>
      </c>
      <c r="AF167" s="309">
        <f t="shared" si="222"/>
        <v>2.0599947281647322</v>
      </c>
      <c r="AG167" s="309" t="s">
        <v>38</v>
      </c>
      <c r="AH167" s="309">
        <f t="shared" si="223"/>
        <v>0</v>
      </c>
      <c r="AI167" s="309">
        <f t="shared" si="224"/>
        <v>0.23199397888422357</v>
      </c>
      <c r="AJ167" s="309">
        <f t="shared" si="225"/>
        <v>6.4287488124543879E-2</v>
      </c>
      <c r="AK167" s="309">
        <f t="shared" si="194"/>
        <v>2.7923130711486666</v>
      </c>
      <c r="AL167" s="246" t="s">
        <v>456</v>
      </c>
      <c r="AM167" s="234" t="s">
        <v>331</v>
      </c>
      <c r="AN167" s="102" t="s">
        <v>72</v>
      </c>
      <c r="AO167" s="246"/>
      <c r="AP167" s="43" t="s">
        <v>119</v>
      </c>
      <c r="AQ167" s="44">
        <v>15.650172686605396</v>
      </c>
      <c r="AR167" s="45">
        <v>116.06888284365417</v>
      </c>
      <c r="AS167" s="46">
        <v>15.650172686605396</v>
      </c>
      <c r="AT167" s="45">
        <v>116.06888284365417</v>
      </c>
      <c r="AU167" s="393">
        <v>76471.668313931805</v>
      </c>
      <c r="AV167" s="295">
        <f t="shared" si="195"/>
        <v>27978.985438770487</v>
      </c>
      <c r="AW167" s="295">
        <f t="shared" si="168"/>
        <v>104450.65375270229</v>
      </c>
      <c r="AX167" s="39">
        <v>50891.99555191434</v>
      </c>
      <c r="AY167" s="41">
        <v>1722.8110165626458</v>
      </c>
      <c r="AZ167" s="39">
        <v>25579.672762017464</v>
      </c>
      <c r="BA167" s="47">
        <v>1.502626640685055</v>
      </c>
      <c r="BB167" s="41">
        <f t="shared" si="196"/>
        <v>2.0523984689528114</v>
      </c>
      <c r="BC167" s="39">
        <v>52149.647594005073</v>
      </c>
      <c r="BD167" s="47">
        <v>1.4663889756126118</v>
      </c>
      <c r="BE167" s="46">
        <v>15.484723102559128</v>
      </c>
      <c r="BF167" s="45">
        <v>114.84183258857082</v>
      </c>
      <c r="BG167" s="46">
        <v>31.134895789164524</v>
      </c>
      <c r="BH167" s="45">
        <v>230.910715432225</v>
      </c>
      <c r="BI167" s="393">
        <v>80861.03316520626</v>
      </c>
      <c r="BJ167" s="295">
        <f t="shared" si="197"/>
        <v>27366.215637464556</v>
      </c>
      <c r="BK167" s="295">
        <f t="shared" si="202"/>
        <v>108227.24880267082</v>
      </c>
      <c r="BL167" s="39">
        <v>49977.860942043772</v>
      </c>
      <c r="BM167" s="41">
        <v>1685.0796068009504</v>
      </c>
      <c r="BN167" s="39">
        <v>30883.172223162488</v>
      </c>
      <c r="BO167" s="47">
        <v>1.6179370553488832</v>
      </c>
      <c r="BP167" s="41">
        <f t="shared" si="171"/>
        <v>2.1655038203450774</v>
      </c>
      <c r="BQ167" s="39">
        <v>51207.969055008463</v>
      </c>
      <c r="BR167" s="47">
        <v>1.579071278502453</v>
      </c>
      <c r="BS167" s="44">
        <v>8.2462724280313715</v>
      </c>
      <c r="BT167" s="45">
        <v>61.15815125575056</v>
      </c>
      <c r="BU167" s="46">
        <v>39.381168217195899</v>
      </c>
      <c r="BV167" s="45">
        <v>292.06886668797557</v>
      </c>
      <c r="BW167" s="393">
        <v>46217.502144330814</v>
      </c>
      <c r="BX167" s="295">
        <f t="shared" si="198"/>
        <v>24086.162755742807</v>
      </c>
      <c r="BY167" s="295">
        <f t="shared" si="203"/>
        <v>70303.664900073622</v>
      </c>
      <c r="BZ167" s="39">
        <v>37902.414098522131</v>
      </c>
      <c r="CA167" s="41">
        <v>1483.1097658320989</v>
      </c>
      <c r="CB167" s="39">
        <v>8315.0880458086831</v>
      </c>
      <c r="CC167" s="47">
        <v>1.2193814891102912</v>
      </c>
      <c r="CD167" s="41">
        <f t="shared" si="199"/>
        <v>1.8548598175654163</v>
      </c>
      <c r="CE167" s="39">
        <v>38985.084227579559</v>
      </c>
      <c r="CF167" s="47">
        <v>1.1855175655009811</v>
      </c>
    </row>
    <row r="168" spans="1:101" ht="15" customHeight="1">
      <c r="A168" s="325" t="str">
        <f t="shared" si="182"/>
        <v>BNI- Direct Installation; High-Efficiency Air Source Heat Pumps: Air Source Heat Pumps (1-11) Tons, Baseline; COM-HVAC; Office</v>
      </c>
      <c r="B168" s="36" t="s">
        <v>479</v>
      </c>
      <c r="C168" s="15" t="s">
        <v>93</v>
      </c>
      <c r="D168" s="15" t="s">
        <v>64</v>
      </c>
      <c r="E168" s="37">
        <v>15</v>
      </c>
      <c r="F168" s="38">
        <v>5953.9599385737365</v>
      </c>
      <c r="G168" s="38">
        <v>811.26034286562208</v>
      </c>
      <c r="H168" s="39">
        <v>387.5</v>
      </c>
      <c r="I168" s="40">
        <v>0.5161290322580645</v>
      </c>
      <c r="J168" s="39">
        <v>744.24499232171706</v>
      </c>
      <c r="K168" s="39">
        <v>944.24499232171706</v>
      </c>
      <c r="L168" s="39">
        <v>187.5</v>
      </c>
      <c r="M168" s="39">
        <v>1131.7449923217171</v>
      </c>
      <c r="N168" s="39">
        <v>5617.3260337436404</v>
      </c>
      <c r="O168" s="41">
        <v>0.82</v>
      </c>
      <c r="P168" s="41">
        <v>4.337315506168034</v>
      </c>
      <c r="Q168" s="41">
        <f t="shared" si="183"/>
        <v>4.337315506168034</v>
      </c>
      <c r="R168" s="39">
        <f t="shared" si="184"/>
        <v>0</v>
      </c>
      <c r="S168" s="39">
        <f t="shared" si="185"/>
        <v>5417.7880192866714</v>
      </c>
      <c r="T168" s="41">
        <f t="shared" si="186"/>
        <v>8.5205613857957303</v>
      </c>
      <c r="U168" s="40">
        <f t="shared" si="187"/>
        <v>0.9644781140958647</v>
      </c>
      <c r="V168" s="42" t="s">
        <v>297</v>
      </c>
      <c r="W168" s="52">
        <f>0.0966*W3</f>
        <v>0.121716</v>
      </c>
      <c r="X168" s="42"/>
      <c r="Y168" s="449">
        <v>0</v>
      </c>
      <c r="Z168" s="450">
        <f>W168*F168-CW168</f>
        <v>587.7253643734706</v>
      </c>
      <c r="AA168" s="276">
        <f>CV168*0.082</f>
        <v>59.424759406442163</v>
      </c>
      <c r="AB168" s="276">
        <f t="shared" ref="AB168:AB191" si="226">Z168*0</f>
        <v>0</v>
      </c>
      <c r="AC168" s="276">
        <f t="shared" ref="AC168:AC183" si="227">Z168*0</f>
        <v>0</v>
      </c>
      <c r="AD168" s="276">
        <f>CV168*0.034</f>
        <v>24.639534388036996</v>
      </c>
      <c r="AE168" s="276">
        <f>CV168*-0.003</f>
        <v>-2.1740765636503228</v>
      </c>
      <c r="AF168" s="276">
        <f>CV168*0.698</f>
        <v>505.83514714264174</v>
      </c>
      <c r="AG168" s="276" t="s">
        <v>38</v>
      </c>
      <c r="AH168" s="276">
        <v>0</v>
      </c>
      <c r="AI168" s="276">
        <f t="shared" ref="AI168:AI183" si="228">Z168*0</f>
        <v>0</v>
      </c>
      <c r="AJ168" s="276">
        <f t="shared" ref="AJ168:AJ183" si="229">Z168*0</f>
        <v>0</v>
      </c>
      <c r="AK168" s="276">
        <f t="shared" si="194"/>
        <v>587.7253643734706</v>
      </c>
      <c r="AL168" s="276" t="s">
        <v>462</v>
      </c>
      <c r="AM168" s="181" t="s">
        <v>366</v>
      </c>
      <c r="AN168" s="42" t="s">
        <v>38</v>
      </c>
      <c r="AO168" s="276" t="s">
        <v>429</v>
      </c>
      <c r="AP168" s="48" t="s">
        <v>120</v>
      </c>
      <c r="AQ168" s="44">
        <v>3.5649996096333925</v>
      </c>
      <c r="AR168" s="45">
        <v>26.164060703142372</v>
      </c>
      <c r="AS168" s="46">
        <v>3.5649996096333925</v>
      </c>
      <c r="AT168" s="45">
        <v>26.164060703142372</v>
      </c>
      <c r="AU168" s="393">
        <v>24684.757850657887</v>
      </c>
      <c r="AV168" s="39">
        <f t="shared" si="195"/>
        <v>23807.908698715615</v>
      </c>
      <c r="AW168" s="39">
        <f t="shared" si="168"/>
        <v>48492.666549373505</v>
      </c>
      <c r="AX168" s="39">
        <v>5691.2525306388361</v>
      </c>
      <c r="AY168" s="41">
        <v>5.3590201194797613</v>
      </c>
      <c r="AZ168" s="39">
        <v>18993.505320019052</v>
      </c>
      <c r="BA168" s="47">
        <v>4.337315506168034</v>
      </c>
      <c r="BB168" s="41">
        <f t="shared" si="196"/>
        <v>8.5205613857957321</v>
      </c>
      <c r="BC168" s="39">
        <v>5060.2279115700949</v>
      </c>
      <c r="BD168" s="47">
        <v>4.8781909198628695</v>
      </c>
      <c r="BE168" s="46">
        <v>4.7911728260736552</v>
      </c>
      <c r="BF168" s="45">
        <v>35.163127738330488</v>
      </c>
      <c r="BG168" s="46">
        <v>8.3561724357070482</v>
      </c>
      <c r="BH168" s="45">
        <v>61.327188441472856</v>
      </c>
      <c r="BI168" s="393">
        <v>35132.805043257038</v>
      </c>
      <c r="BJ168" s="39">
        <f t="shared" si="197"/>
        <v>31996.582803177087</v>
      </c>
      <c r="BK168" s="39">
        <f t="shared" si="202"/>
        <v>67129.387846434125</v>
      </c>
      <c r="BL168" s="39">
        <v>7648.7454297151526</v>
      </c>
      <c r="BM168" s="41">
        <v>7.2022424634918316</v>
      </c>
      <c r="BN168" s="39">
        <v>27484.059613541885</v>
      </c>
      <c r="BO168" s="47">
        <v>4.5932768146220573</v>
      </c>
      <c r="BP168" s="41">
        <f t="shared" si="171"/>
        <v>8.7765226942497545</v>
      </c>
      <c r="BQ168" s="39">
        <v>6800.6813796389888</v>
      </c>
      <c r="BR168" s="47">
        <v>5.16607132168307</v>
      </c>
      <c r="BS168" s="44">
        <v>5.2398358670679297</v>
      </c>
      <c r="BT168" s="45">
        <v>38.455932317638087</v>
      </c>
      <c r="BU168" s="46">
        <v>13.596008302774978</v>
      </c>
      <c r="BV168" s="45">
        <v>99.783120759110943</v>
      </c>
      <c r="BW168" s="393">
        <v>40863.796144808628</v>
      </c>
      <c r="BX168" s="39">
        <f t="shared" si="198"/>
        <v>37830.119428210557</v>
      </c>
      <c r="BY168" s="39">
        <f t="shared" si="203"/>
        <v>78693.915573019185</v>
      </c>
      <c r="BZ168" s="39">
        <v>8567.9332070480959</v>
      </c>
      <c r="CA168" s="41">
        <v>8.5153372227540327</v>
      </c>
      <c r="CB168" s="39">
        <v>32295.862937760532</v>
      </c>
      <c r="CC168" s="47">
        <v>4.7693878041898747</v>
      </c>
      <c r="CD168" s="41">
        <f t="shared" si="199"/>
        <v>9.1847022696540765</v>
      </c>
      <c r="CE168" s="39">
        <v>7565.2522490688079</v>
      </c>
      <c r="CF168" s="47">
        <v>5.4015113838191544</v>
      </c>
      <c r="CV168" s="497">
        <f>W168*F168</f>
        <v>724.69218788344097</v>
      </c>
      <c r="CW168" s="193">
        <v>136.96682350997034</v>
      </c>
    </row>
    <row r="169" spans="1:101" ht="15" customHeight="1">
      <c r="A169" s="325" t="str">
        <f t="shared" si="182"/>
        <v>BNI- Direct Installation; High-Efficiency Air Source Heat Pumps: Air Source Heat Pumps (1-11) Tons, Baseline; COM-HVAC; Other Commercial</v>
      </c>
      <c r="B169" s="36" t="s">
        <v>479</v>
      </c>
      <c r="C169" s="15" t="s">
        <v>93</v>
      </c>
      <c r="D169" s="15" t="s">
        <v>54</v>
      </c>
      <c r="E169" s="37">
        <v>15</v>
      </c>
      <c r="F169" s="38">
        <v>4948.2986806238441</v>
      </c>
      <c r="G169" s="38">
        <v>650.58008731797622</v>
      </c>
      <c r="H169" s="39">
        <v>387.5</v>
      </c>
      <c r="I169" s="40">
        <v>0.5161290322580645</v>
      </c>
      <c r="J169" s="39">
        <v>618.53733507798052</v>
      </c>
      <c r="K169" s="39">
        <v>818.53733507798052</v>
      </c>
      <c r="L169" s="39">
        <v>187.5</v>
      </c>
      <c r="M169" s="39">
        <v>1006.0373350779805</v>
      </c>
      <c r="N169" s="39">
        <v>4631.473153623434</v>
      </c>
      <c r="O169" s="41">
        <v>0.82</v>
      </c>
      <c r="P169" s="41">
        <v>4.0562419715470224</v>
      </c>
      <c r="Q169" s="41">
        <f t="shared" si="183"/>
        <v>4.0562419715470224</v>
      </c>
      <c r="R169" s="39">
        <f t="shared" si="184"/>
        <v>0</v>
      </c>
      <c r="S169" s="39">
        <f t="shared" si="185"/>
        <v>4502.6895686768639</v>
      </c>
      <c r="T169" s="41">
        <f t="shared" si="186"/>
        <v>7.999695341027361</v>
      </c>
      <c r="U169" s="40">
        <f t="shared" si="187"/>
        <v>0.97219381810605665</v>
      </c>
      <c r="V169" s="42" t="s">
        <v>297</v>
      </c>
      <c r="W169" s="52">
        <f>0.0966*W3</f>
        <v>0.121716</v>
      </c>
      <c r="X169" s="42"/>
      <c r="Y169" s="449">
        <v>0</v>
      </c>
      <c r="Z169" s="450">
        <f t="shared" ref="Z169:Z183" si="230">W169*F169-CW169</f>
        <v>488.4548561129684</v>
      </c>
      <c r="AA169" s="276">
        <f t="shared" ref="AA169:AA183" si="231">CV169*0.082</f>
        <v>49.387544021286573</v>
      </c>
      <c r="AB169" s="276">
        <f t="shared" si="226"/>
        <v>0</v>
      </c>
      <c r="AC169" s="276">
        <f t="shared" si="227"/>
        <v>0</v>
      </c>
      <c r="AD169" s="276">
        <f t="shared" ref="AD169:AD183" si="232">CV169*0.034</f>
        <v>20.477762155167603</v>
      </c>
      <c r="AE169" s="276">
        <f t="shared" ref="AE169:AE183" si="233">CV169*-0.003</f>
        <v>-1.8068613666324356</v>
      </c>
      <c r="AF169" s="276">
        <f t="shared" ref="AF169:AF183" si="234">CV169*0.698</f>
        <v>420.39641130314664</v>
      </c>
      <c r="AG169" s="276" t="s">
        <v>38</v>
      </c>
      <c r="AH169" s="276">
        <v>0</v>
      </c>
      <c r="AI169" s="276">
        <f t="shared" si="228"/>
        <v>0</v>
      </c>
      <c r="AJ169" s="276">
        <f t="shared" si="229"/>
        <v>0</v>
      </c>
      <c r="AK169" s="276">
        <f t="shared" si="194"/>
        <v>488.4548561129684</v>
      </c>
      <c r="AL169" s="276" t="s">
        <v>462</v>
      </c>
      <c r="AM169" s="181" t="s">
        <v>366</v>
      </c>
      <c r="AN169" s="42" t="s">
        <v>38</v>
      </c>
      <c r="AO169" s="276" t="s">
        <v>429</v>
      </c>
      <c r="AP169" s="48" t="s">
        <v>120</v>
      </c>
      <c r="AQ169" s="44">
        <v>3.8992644755309733</v>
      </c>
      <c r="AR169" s="45">
        <v>29.657724907038062</v>
      </c>
      <c r="AS169" s="46">
        <v>3.8992644755309733</v>
      </c>
      <c r="AT169" s="45">
        <v>29.657724907038062</v>
      </c>
      <c r="AU169" s="393">
        <v>27758.824915390644</v>
      </c>
      <c r="AV169" s="39">
        <f t="shared" si="195"/>
        <v>26986.957980631163</v>
      </c>
      <c r="AW169" s="39">
        <f t="shared" si="168"/>
        <v>54745.782896021803</v>
      </c>
      <c r="AX169" s="39">
        <v>6843.4834780834408</v>
      </c>
      <c r="AY169" s="41">
        <v>7.309170189206359</v>
      </c>
      <c r="AZ169" s="39">
        <v>20915.341437307201</v>
      </c>
      <c r="BA169" s="47">
        <v>4.0562419715470215</v>
      </c>
      <c r="BB169" s="41">
        <f t="shared" si="196"/>
        <v>7.9996953410273584</v>
      </c>
      <c r="BC169" s="39">
        <v>5982.8286883043911</v>
      </c>
      <c r="BD169" s="47">
        <v>4.6397492493233736</v>
      </c>
      <c r="BE169" s="46">
        <v>5.2661809999706257</v>
      </c>
      <c r="BF169" s="45">
        <v>40.054463704089116</v>
      </c>
      <c r="BG169" s="46">
        <v>9.165445475501599</v>
      </c>
      <c r="BH169" s="45">
        <v>69.712188611127175</v>
      </c>
      <c r="BI169" s="393">
        <v>39685.173573217588</v>
      </c>
      <c r="BJ169" s="39">
        <f t="shared" si="197"/>
        <v>36447.439320015052</v>
      </c>
      <c r="BK169" s="39">
        <f t="shared" si="202"/>
        <v>76132.612893232639</v>
      </c>
      <c r="BL169" s="39">
        <v>9242.5181446530059</v>
      </c>
      <c r="BM169" s="41">
        <v>9.8714548391100738</v>
      </c>
      <c r="BN169" s="39">
        <v>30442.655428564583</v>
      </c>
      <c r="BO169" s="47">
        <v>4.2937620410489874</v>
      </c>
      <c r="BP169" s="41">
        <f t="shared" si="171"/>
        <v>8.2372154105293252</v>
      </c>
      <c r="BQ169" s="39">
        <v>8080.1543373477953</v>
      </c>
      <c r="BR169" s="47">
        <v>4.9114375686843283</v>
      </c>
      <c r="BS169" s="44">
        <v>5.7604998788934889</v>
      </c>
      <c r="BT169" s="45">
        <v>43.81424286742822</v>
      </c>
      <c r="BU169" s="46">
        <v>14.925945354395088</v>
      </c>
      <c r="BV169" s="45">
        <v>113.52643147855539</v>
      </c>
      <c r="BW169" s="393">
        <v>46150.855337728928</v>
      </c>
      <c r="BX169" s="39">
        <f t="shared" si="198"/>
        <v>43101.23147297118</v>
      </c>
      <c r="BY169" s="39">
        <f t="shared" si="203"/>
        <v>89252.086810700101</v>
      </c>
      <c r="BZ169" s="39">
        <v>10388.278401096984</v>
      </c>
      <c r="CA169" s="41">
        <v>11.673573450791578</v>
      </c>
      <c r="CB169" s="39">
        <v>35762.576936631944</v>
      </c>
      <c r="CC169" s="47">
        <v>4.4425893835166637</v>
      </c>
      <c r="CD169" s="41">
        <f t="shared" si="199"/>
        <v>8.5916148340109206</v>
      </c>
      <c r="CE169" s="39">
        <v>9013.7151272662759</v>
      </c>
      <c r="CF169" s="47">
        <v>5.1200703246238257</v>
      </c>
      <c r="CV169" s="497">
        <f t="shared" ref="CV169:CV183" si="235">W169*F169</f>
        <v>602.28712221081184</v>
      </c>
      <c r="CW169" s="193">
        <v>113.83226609784344</v>
      </c>
    </row>
    <row r="170" spans="1:101" ht="15" customHeight="1">
      <c r="A170" s="325" t="str">
        <f t="shared" si="182"/>
        <v>BNI- Direct Installation; High-Efficiency Air Source Heat Pumps: Air Source Heat Pumps (1-11) Tons, Baseline; COM-HVAC; Retail</v>
      </c>
      <c r="B170" s="36" t="s">
        <v>479</v>
      </c>
      <c r="C170" s="15" t="s">
        <v>93</v>
      </c>
      <c r="D170" s="15" t="s">
        <v>28</v>
      </c>
      <c r="E170" s="37">
        <v>15</v>
      </c>
      <c r="F170" s="38">
        <v>5802.4556341401294</v>
      </c>
      <c r="G170" s="38">
        <v>703.08148685776348</v>
      </c>
      <c r="H170" s="39">
        <v>387.5</v>
      </c>
      <c r="I170" s="40">
        <v>0.5161290322580645</v>
      </c>
      <c r="J170" s="39">
        <v>725.30695426751618</v>
      </c>
      <c r="K170" s="39">
        <v>925.30695426751618</v>
      </c>
      <c r="L170" s="39">
        <v>187.5</v>
      </c>
      <c r="M170" s="39">
        <v>1112.8069542675162</v>
      </c>
      <c r="N170" s="39">
        <v>5337.2694349253516</v>
      </c>
      <c r="O170" s="41">
        <v>0.82</v>
      </c>
      <c r="P170" s="41">
        <v>4.1958983339622291</v>
      </c>
      <c r="Q170" s="41">
        <f t="shared" si="183"/>
        <v>4.1958983339622291</v>
      </c>
      <c r="R170" s="39">
        <f t="shared" si="184"/>
        <v>0</v>
      </c>
      <c r="S170" s="39">
        <f t="shared" si="185"/>
        <v>5279.927131088054</v>
      </c>
      <c r="T170" s="41">
        <f t="shared" si="186"/>
        <v>8.346716973134825</v>
      </c>
      <c r="U170" s="40">
        <f t="shared" si="187"/>
        <v>0.989256247124781</v>
      </c>
      <c r="V170" s="42" t="s">
        <v>297</v>
      </c>
      <c r="W170" s="52">
        <f>0.0966*W3</f>
        <v>0.121716</v>
      </c>
      <c r="X170" s="42"/>
      <c r="Y170" s="449">
        <v>0</v>
      </c>
      <c r="Z170" s="450">
        <f t="shared" si="230"/>
        <v>572.77012056161493</v>
      </c>
      <c r="AA170" s="276">
        <f t="shared" si="231"/>
        <v>57.912638577129997</v>
      </c>
      <c r="AB170" s="276">
        <f t="shared" si="226"/>
        <v>0</v>
      </c>
      <c r="AC170" s="276">
        <f t="shared" si="227"/>
        <v>0</v>
      </c>
      <c r="AD170" s="276">
        <f t="shared" si="232"/>
        <v>24.012557458810001</v>
      </c>
      <c r="AE170" s="276">
        <f t="shared" si="233"/>
        <v>-2.1187550698949997</v>
      </c>
      <c r="AF170" s="276">
        <f t="shared" si="234"/>
        <v>492.96367959556994</v>
      </c>
      <c r="AG170" s="276" t="s">
        <v>38</v>
      </c>
      <c r="AH170" s="276">
        <v>0</v>
      </c>
      <c r="AI170" s="276">
        <f t="shared" si="228"/>
        <v>0</v>
      </c>
      <c r="AJ170" s="276">
        <f t="shared" si="229"/>
        <v>0</v>
      </c>
      <c r="AK170" s="276">
        <f t="shared" si="194"/>
        <v>572.77012056161493</v>
      </c>
      <c r="AL170" s="276" t="s">
        <v>462</v>
      </c>
      <c r="AM170" s="181" t="s">
        <v>366</v>
      </c>
      <c r="AN170" s="42" t="s">
        <v>38</v>
      </c>
      <c r="AO170" s="276" t="s">
        <v>429</v>
      </c>
      <c r="AP170" s="48" t="s">
        <v>120</v>
      </c>
      <c r="AQ170" s="44">
        <v>6.000918298993775</v>
      </c>
      <c r="AR170" s="45">
        <v>49.524931099565826</v>
      </c>
      <c r="AS170" s="46">
        <v>6.000918298993775</v>
      </c>
      <c r="AT170" s="45">
        <v>49.524931099565826</v>
      </c>
      <c r="AU170" s="393">
        <v>45554.488942450589</v>
      </c>
      <c r="AV170" s="39">
        <f t="shared" si="195"/>
        <v>45065.062770896009</v>
      </c>
      <c r="AW170" s="39">
        <f t="shared" si="168"/>
        <v>90619.551713346591</v>
      </c>
      <c r="AX170" s="39">
        <v>10856.909609493094</v>
      </c>
      <c r="AY170" s="41">
        <v>10.408740927399625</v>
      </c>
      <c r="AZ170" s="39">
        <v>34697.579332957495</v>
      </c>
      <c r="BA170" s="47">
        <v>4.1958983339622291</v>
      </c>
      <c r="BB170" s="41">
        <f t="shared" si="196"/>
        <v>8.346716973134825</v>
      </c>
      <c r="BC170" s="39">
        <v>9631.2803652917901</v>
      </c>
      <c r="BD170" s="47">
        <v>4.7298476645550815</v>
      </c>
      <c r="BE170" s="46">
        <v>8.0702987812178648</v>
      </c>
      <c r="BF170" s="45">
        <v>66.60330489081025</v>
      </c>
      <c r="BG170" s="46">
        <v>14.071217080211641</v>
      </c>
      <c r="BH170" s="45">
        <v>116.12823599037608</v>
      </c>
      <c r="BI170" s="393">
        <v>64789.153093524896</v>
      </c>
      <c r="BJ170" s="39">
        <f t="shared" si="197"/>
        <v>60605.477867687572</v>
      </c>
      <c r="BK170" s="39">
        <f t="shared" si="202"/>
        <v>125394.63096121248</v>
      </c>
      <c r="BL170" s="39">
        <v>14600.849407327607</v>
      </c>
      <c r="BM170" s="41">
        <v>13.998132458242427</v>
      </c>
      <c r="BN170" s="39">
        <v>50188.303686197287</v>
      </c>
      <c r="BO170" s="47">
        <v>4.4373550665490527</v>
      </c>
      <c r="BP170" s="41">
        <f t="shared" si="171"/>
        <v>8.5881737057216494</v>
      </c>
      <c r="BQ170" s="39">
        <v>12952.569310369561</v>
      </c>
      <c r="BR170" s="47">
        <v>5.0020309902264746</v>
      </c>
      <c r="BS170" s="44">
        <v>8.8263229892855808</v>
      </c>
      <c r="BT170" s="45">
        <v>72.842691089491822</v>
      </c>
      <c r="BU170" s="46">
        <v>22.897540069497225</v>
      </c>
      <c r="BV170" s="45">
        <v>188.97092707986792</v>
      </c>
      <c r="BW170" s="393">
        <v>75269.409190264661</v>
      </c>
      <c r="BX170" s="39">
        <f t="shared" si="198"/>
        <v>71657.285035417721</v>
      </c>
      <c r="BY170" s="39">
        <f t="shared" si="203"/>
        <v>146926.69422568238</v>
      </c>
      <c r="BZ170" s="39">
        <v>16363.080348808051</v>
      </c>
      <c r="CA170" s="41">
        <v>16.550783902961456</v>
      </c>
      <c r="CB170" s="39">
        <v>58906.328841456612</v>
      </c>
      <c r="CC170" s="47">
        <v>4.5999535286610982</v>
      </c>
      <c r="CD170" s="41">
        <f t="shared" si="199"/>
        <v>8.9791586360073747</v>
      </c>
      <c r="CE170" s="39">
        <v>14414.225544234339</v>
      </c>
      <c r="CF170" s="47">
        <v>5.2218836842311154</v>
      </c>
      <c r="CV170" s="497">
        <f t="shared" si="235"/>
        <v>706.25168996499997</v>
      </c>
      <c r="CW170" s="193">
        <v>133.48156940338498</v>
      </c>
    </row>
    <row r="171" spans="1:101" ht="15" customHeight="1">
      <c r="A171" s="325" t="str">
        <f t="shared" si="182"/>
        <v>BNI- Direct Installation; High-Efficiency Air Source Heat Pumps: Air Source Heat Pumps (1-11) Tons, Baseline; COM-HVAC; School</v>
      </c>
      <c r="B171" s="36" t="s">
        <v>479</v>
      </c>
      <c r="C171" s="15" t="s">
        <v>93</v>
      </c>
      <c r="D171" s="15" t="s">
        <v>57</v>
      </c>
      <c r="E171" s="37">
        <v>15</v>
      </c>
      <c r="F171" s="38">
        <v>5837.8542120906786</v>
      </c>
      <c r="G171" s="38">
        <v>692.75344335435273</v>
      </c>
      <c r="H171" s="39">
        <v>387.5</v>
      </c>
      <c r="I171" s="40">
        <v>0.5161290322580645</v>
      </c>
      <c r="J171" s="39">
        <v>729.73177651133483</v>
      </c>
      <c r="K171" s="39">
        <v>929.73177651133483</v>
      </c>
      <c r="L171" s="39">
        <v>187.5</v>
      </c>
      <c r="M171" s="39">
        <v>1117.2317765113348</v>
      </c>
      <c r="N171" s="39">
        <v>5346.9331538755405</v>
      </c>
      <c r="O171" s="41">
        <v>0.82</v>
      </c>
      <c r="P171" s="41">
        <v>4.18573886868045</v>
      </c>
      <c r="Q171" s="41">
        <f t="shared" si="183"/>
        <v>4.18573886868045</v>
      </c>
      <c r="R171" s="39">
        <f t="shared" si="184"/>
        <v>0</v>
      </c>
      <c r="S171" s="39">
        <f t="shared" si="185"/>
        <v>5312.1379611068769</v>
      </c>
      <c r="T171" s="41">
        <f t="shared" si="186"/>
        <v>8.3442390218909939</v>
      </c>
      <c r="U171" s="40">
        <f t="shared" si="187"/>
        <v>0.99349249527396033</v>
      </c>
      <c r="V171" s="42" t="s">
        <v>297</v>
      </c>
      <c r="W171" s="52">
        <f>0.0966*W3</f>
        <v>0.121716</v>
      </c>
      <c r="X171" s="42"/>
      <c r="Y171" s="449">
        <v>0</v>
      </c>
      <c r="Z171" s="450">
        <f t="shared" si="230"/>
        <v>576.26437351913046</v>
      </c>
      <c r="AA171" s="276">
        <f t="shared" si="231"/>
        <v>58.265941588863988</v>
      </c>
      <c r="AB171" s="276">
        <f t="shared" si="226"/>
        <v>0</v>
      </c>
      <c r="AC171" s="276">
        <f t="shared" si="227"/>
        <v>0</v>
      </c>
      <c r="AD171" s="276">
        <f t="shared" si="232"/>
        <v>24.159048951480191</v>
      </c>
      <c r="AE171" s="276">
        <f t="shared" si="233"/>
        <v>-2.1316807898364871</v>
      </c>
      <c r="AF171" s="276">
        <f t="shared" si="234"/>
        <v>495.97106376862268</v>
      </c>
      <c r="AG171" s="276" t="s">
        <v>38</v>
      </c>
      <c r="AH171" s="276">
        <v>0</v>
      </c>
      <c r="AI171" s="276">
        <f t="shared" si="228"/>
        <v>0</v>
      </c>
      <c r="AJ171" s="276">
        <f t="shared" si="229"/>
        <v>0</v>
      </c>
      <c r="AK171" s="276">
        <f t="shared" si="194"/>
        <v>576.26437351913034</v>
      </c>
      <c r="AL171" s="276" t="s">
        <v>462</v>
      </c>
      <c r="AM171" s="181" t="s">
        <v>366</v>
      </c>
      <c r="AN171" s="42" t="s">
        <v>38</v>
      </c>
      <c r="AO171" s="276" t="s">
        <v>429</v>
      </c>
      <c r="AP171" s="48" t="s">
        <v>120</v>
      </c>
      <c r="AQ171" s="44">
        <v>5.8924166386144776</v>
      </c>
      <c r="AR171" s="45">
        <v>49.655573166935731</v>
      </c>
      <c r="AS171" s="46">
        <v>5.8924166386144776</v>
      </c>
      <c r="AT171" s="45">
        <v>49.655573166935731</v>
      </c>
      <c r="AU171" s="393">
        <v>45479.900798327319</v>
      </c>
      <c r="AV171" s="39">
        <f t="shared" si="195"/>
        <v>45183.940128942384</v>
      </c>
      <c r="AW171" s="39">
        <f t="shared" si="168"/>
        <v>90663.840927269703</v>
      </c>
      <c r="AX171" s="39">
        <v>10865.441496751757</v>
      </c>
      <c r="AY171" s="41">
        <v>10.372916971347598</v>
      </c>
      <c r="AZ171" s="39">
        <v>34614.45930157556</v>
      </c>
      <c r="BA171" s="47">
        <v>4.18573886868045</v>
      </c>
      <c r="BB171" s="41">
        <f t="shared" si="196"/>
        <v>8.3442390218909939</v>
      </c>
      <c r="BC171" s="39">
        <v>9644.0305233755771</v>
      </c>
      <c r="BD171" s="47">
        <v>4.7158603125624046</v>
      </c>
      <c r="BE171" s="46">
        <v>7.923130143637696</v>
      </c>
      <c r="BF171" s="45">
        <v>66.768457271050139</v>
      </c>
      <c r="BG171" s="46">
        <v>13.815546782252174</v>
      </c>
      <c r="BH171" s="45">
        <v>116.42403043798586</v>
      </c>
      <c r="BI171" s="393">
        <v>64657.514350963851</v>
      </c>
      <c r="BJ171" s="39">
        <f t="shared" si="197"/>
        <v>60755.757781602282</v>
      </c>
      <c r="BK171" s="39">
        <f t="shared" si="202"/>
        <v>125413.27213256614</v>
      </c>
      <c r="BL171" s="39">
        <v>14610.016963615159</v>
      </c>
      <c r="BM171" s="41">
        <v>13.94775287859823</v>
      </c>
      <c r="BN171" s="39">
        <v>50047.497387348689</v>
      </c>
      <c r="BO171" s="47">
        <v>4.4255605254933768</v>
      </c>
      <c r="BP171" s="41">
        <f t="shared" si="171"/>
        <v>8.5840606787039206</v>
      </c>
      <c r="BQ171" s="39">
        <v>12967.669062160217</v>
      </c>
      <c r="BR171" s="47">
        <v>4.9860552456289229</v>
      </c>
      <c r="BS171" s="44">
        <v>8.6653011059362548</v>
      </c>
      <c r="BT171" s="45">
        <v>73.022754409389734</v>
      </c>
      <c r="BU171" s="46">
        <v>22.480847888188428</v>
      </c>
      <c r="BV171" s="45">
        <v>189.4467848473756</v>
      </c>
      <c r="BW171" s="393">
        <v>75100.369468397344</v>
      </c>
      <c r="BX171" s="39">
        <f t="shared" si="198"/>
        <v>71834.418093592336</v>
      </c>
      <c r="BY171" s="39">
        <f t="shared" si="203"/>
        <v>146934.78756198968</v>
      </c>
      <c r="BZ171" s="39">
        <v>16371.561508412706</v>
      </c>
      <c r="CA171" s="41">
        <v>16.491090693806303</v>
      </c>
      <c r="CB171" s="39">
        <v>58728.807959984639</v>
      </c>
      <c r="CC171" s="47">
        <v>4.5872453540736595</v>
      </c>
      <c r="CD171" s="41">
        <f t="shared" si="199"/>
        <v>8.975001406340235</v>
      </c>
      <c r="CE171" s="39">
        <v>14429.735579217013</v>
      </c>
      <c r="CF171" s="47">
        <v>5.2045561788785353</v>
      </c>
      <c r="CV171" s="497">
        <f t="shared" si="235"/>
        <v>710.5602632788291</v>
      </c>
      <c r="CW171" s="193">
        <v>134.2958897596987</v>
      </c>
    </row>
    <row r="172" spans="1:101" ht="15" customHeight="1">
      <c r="A172" s="325" t="str">
        <f t="shared" si="182"/>
        <v>BNI- Direct Installation; High-Efficiency Air Source Heat Pumps: Electric Baseboards; COM-HVAC; Office</v>
      </c>
      <c r="B172" s="108" t="s">
        <v>480</v>
      </c>
      <c r="C172" s="15" t="s">
        <v>93</v>
      </c>
      <c r="D172" s="15" t="s">
        <v>64</v>
      </c>
      <c r="E172" s="37">
        <v>15</v>
      </c>
      <c r="F172" s="38">
        <v>6173.9643815060508</v>
      </c>
      <c r="G172" s="38">
        <v>841.23717872723262</v>
      </c>
      <c r="H172" s="39">
        <v>3500</v>
      </c>
      <c r="I172" s="40">
        <v>0.5714285714285714</v>
      </c>
      <c r="J172" s="39">
        <v>771.74554768825635</v>
      </c>
      <c r="K172" s="39">
        <v>2771.7455476882565</v>
      </c>
      <c r="L172" s="39">
        <v>1500</v>
      </c>
      <c r="M172" s="39">
        <v>4271.7455476882569</v>
      </c>
      <c r="N172" s="39">
        <v>5824.8915359594648</v>
      </c>
      <c r="O172" s="41">
        <v>0.82</v>
      </c>
      <c r="P172" s="41">
        <v>1.3115718813794606</v>
      </c>
      <c r="Q172" s="41">
        <f t="shared" si="183"/>
        <v>1.3115718813794606</v>
      </c>
      <c r="R172" s="39">
        <f t="shared" si="184"/>
        <v>0</v>
      </c>
      <c r="S172" s="39">
        <f t="shared" si="185"/>
        <v>5617.9804034151512</v>
      </c>
      <c r="T172" s="41">
        <f t="shared" si="186"/>
        <v>2.5765542560334884</v>
      </c>
      <c r="U172" s="40">
        <f t="shared" si="187"/>
        <v>0.96447811409586515</v>
      </c>
      <c r="V172" s="42" t="s">
        <v>297</v>
      </c>
      <c r="W172" s="52">
        <f>0.0966*W3</f>
        <v>0.121716</v>
      </c>
      <c r="X172" s="42"/>
      <c r="Y172" s="449">
        <v>0</v>
      </c>
      <c r="Z172" s="450">
        <f t="shared" si="230"/>
        <v>609.44237166276571</v>
      </c>
      <c r="AA172" s="276">
        <f t="shared" si="231"/>
        <v>61.620560390070025</v>
      </c>
      <c r="AB172" s="276">
        <f t="shared" si="226"/>
        <v>0</v>
      </c>
      <c r="AC172" s="276">
        <f t="shared" si="227"/>
        <v>0</v>
      </c>
      <c r="AD172" s="276">
        <f t="shared" si="232"/>
        <v>25.549988454419282</v>
      </c>
      <c r="AE172" s="276">
        <f t="shared" si="233"/>
        <v>-2.2544107459781717</v>
      </c>
      <c r="AF172" s="276">
        <f t="shared" si="234"/>
        <v>524.52623356425454</v>
      </c>
      <c r="AG172" s="276" t="s">
        <v>38</v>
      </c>
      <c r="AH172" s="276">
        <v>0</v>
      </c>
      <c r="AI172" s="276">
        <f t="shared" si="228"/>
        <v>0</v>
      </c>
      <c r="AJ172" s="276">
        <f t="shared" si="229"/>
        <v>0</v>
      </c>
      <c r="AK172" s="276">
        <f t="shared" si="194"/>
        <v>609.44237166276571</v>
      </c>
      <c r="AL172" s="276" t="s">
        <v>462</v>
      </c>
      <c r="AM172" s="181" t="s">
        <v>366</v>
      </c>
      <c r="AN172" s="42" t="s">
        <v>38</v>
      </c>
      <c r="AO172" s="276" t="s">
        <v>429</v>
      </c>
      <c r="AP172" s="48" t="s">
        <v>120</v>
      </c>
      <c r="AQ172" s="44">
        <v>46.390002538413995</v>
      </c>
      <c r="AR172" s="45">
        <v>340.46310668707446</v>
      </c>
      <c r="AS172" s="46">
        <v>46.390002538413995</v>
      </c>
      <c r="AT172" s="45">
        <v>340.46310668707446</v>
      </c>
      <c r="AU172" s="393">
        <v>321213.49361659912</v>
      </c>
      <c r="AV172" s="39">
        <f t="shared" si="195"/>
        <v>309573.19214978849</v>
      </c>
      <c r="AW172" s="39">
        <f t="shared" si="168"/>
        <v>630786.68576638761</v>
      </c>
      <c r="AX172" s="39">
        <v>244907.27361336778</v>
      </c>
      <c r="AY172" s="41">
        <v>67.2</v>
      </c>
      <c r="AZ172" s="39">
        <v>76306.220003231341</v>
      </c>
      <c r="BA172" s="47">
        <v>1.3115718813794606</v>
      </c>
      <c r="BB172" s="41">
        <f t="shared" si="196"/>
        <v>2.5756143394997859</v>
      </c>
      <c r="BC172" s="39">
        <v>186399.80095952348</v>
      </c>
      <c r="BD172" s="47">
        <v>1.7232501964224216</v>
      </c>
      <c r="BE172" s="46">
        <v>47.225801703789003</v>
      </c>
      <c r="BF172" s="45">
        <v>346.59716068231631</v>
      </c>
      <c r="BG172" s="46">
        <v>93.615804242202998</v>
      </c>
      <c r="BH172" s="45">
        <v>687.06026736939077</v>
      </c>
      <c r="BI172" s="393">
        <v>346298.27486945852</v>
      </c>
      <c r="BJ172" s="39">
        <f t="shared" si="197"/>
        <v>315561.95925982908</v>
      </c>
      <c r="BK172" s="39">
        <f t="shared" si="202"/>
        <v>661860.23412928754</v>
      </c>
      <c r="BL172" s="39">
        <v>249319.71775390909</v>
      </c>
      <c r="BM172" s="41">
        <v>68.5</v>
      </c>
      <c r="BN172" s="39">
        <v>96978.557115549425</v>
      </c>
      <c r="BO172" s="47">
        <v>1.3889726732775787</v>
      </c>
      <c r="BP172" s="41">
        <f t="shared" si="171"/>
        <v>2.6546646213621035</v>
      </c>
      <c r="BQ172" s="39">
        <v>189758.12795980828</v>
      </c>
      <c r="BR172" s="47">
        <v>1.8249456747528952</v>
      </c>
      <c r="BS172" s="44">
        <v>43.803789517521082</v>
      </c>
      <c r="BT172" s="45">
        <v>321.48250587941885</v>
      </c>
      <c r="BU172" s="46">
        <v>137.41959375972408</v>
      </c>
      <c r="BV172" s="45">
        <v>1008.5427732488097</v>
      </c>
      <c r="BW172" s="393">
        <v>341611.67842375877</v>
      </c>
      <c r="BX172" s="39">
        <f t="shared" si="198"/>
        <v>316022.63365290908</v>
      </c>
      <c r="BY172" s="39">
        <f t="shared" si="203"/>
        <v>657634.31207666779</v>
      </c>
      <c r="BZ172" s="39">
        <v>246030.66326412139</v>
      </c>
      <c r="CA172" s="41">
        <v>68.599999999999994</v>
      </c>
      <c r="CB172" s="39">
        <v>95581.015159637376</v>
      </c>
      <c r="CC172" s="47">
        <v>1.3884922874716159</v>
      </c>
      <c r="CD172" s="41">
        <f t="shared" si="199"/>
        <v>2.6729770320160351</v>
      </c>
      <c r="CE172" s="39">
        <v>186305.56227906258</v>
      </c>
      <c r="CF172" s="47">
        <v>1.8336096584817307</v>
      </c>
      <c r="CV172" s="497">
        <f t="shared" si="235"/>
        <v>751.47024865939056</v>
      </c>
      <c r="CW172" s="193">
        <v>142.02787699662483</v>
      </c>
    </row>
    <row r="173" spans="1:101" ht="15" customHeight="1">
      <c r="A173" s="325" t="str">
        <f t="shared" si="182"/>
        <v>BNI- Direct Installation; High-Efficiency Air Source Heat Pumps: Electric Baseboards; COM-HVAC; Other Commercial</v>
      </c>
      <c r="B173" s="108" t="s">
        <v>480</v>
      </c>
      <c r="C173" s="15" t="s">
        <v>93</v>
      </c>
      <c r="D173" s="15" t="s">
        <v>54</v>
      </c>
      <c r="E173" s="37">
        <v>15</v>
      </c>
      <c r="F173" s="38">
        <v>6173.9643815060508</v>
      </c>
      <c r="G173" s="38">
        <v>811.7251091059627</v>
      </c>
      <c r="H173" s="39">
        <v>3500</v>
      </c>
      <c r="I173" s="40">
        <v>0.5714285714285714</v>
      </c>
      <c r="J173" s="39">
        <v>771.74554768825635</v>
      </c>
      <c r="K173" s="39">
        <v>2771.7455476882565</v>
      </c>
      <c r="L173" s="39">
        <v>1500</v>
      </c>
      <c r="M173" s="39">
        <v>4271.7455476882569</v>
      </c>
      <c r="N173" s="39">
        <v>5778.6629566927431</v>
      </c>
      <c r="O173" s="41">
        <v>0.82</v>
      </c>
      <c r="P173" s="41">
        <v>1.3011627425469097</v>
      </c>
      <c r="Q173" s="41">
        <f t="shared" si="183"/>
        <v>1.3011627425469097</v>
      </c>
      <c r="R173" s="39">
        <f t="shared" si="184"/>
        <v>0</v>
      </c>
      <c r="S173" s="39">
        <f t="shared" si="185"/>
        <v>5617.9804034151512</v>
      </c>
      <c r="T173" s="41">
        <f t="shared" si="186"/>
        <v>2.5661451172009371</v>
      </c>
      <c r="U173" s="40">
        <f t="shared" si="187"/>
        <v>0.9721938181060561</v>
      </c>
      <c r="V173" s="42" t="s">
        <v>297</v>
      </c>
      <c r="W173" s="52">
        <f>0.0966*W3</f>
        <v>0.121716</v>
      </c>
      <c r="X173" s="42"/>
      <c r="Y173" s="449">
        <v>0</v>
      </c>
      <c r="Z173" s="450">
        <f t="shared" si="230"/>
        <v>609.44237166276571</v>
      </c>
      <c r="AA173" s="276">
        <f t="shared" si="231"/>
        <v>61.620560390070025</v>
      </c>
      <c r="AB173" s="276">
        <f t="shared" si="226"/>
        <v>0</v>
      </c>
      <c r="AC173" s="276">
        <f t="shared" si="227"/>
        <v>0</v>
      </c>
      <c r="AD173" s="276">
        <f t="shared" si="232"/>
        <v>25.549988454419282</v>
      </c>
      <c r="AE173" s="276">
        <f t="shared" si="233"/>
        <v>-2.2544107459781717</v>
      </c>
      <c r="AF173" s="276">
        <f t="shared" si="234"/>
        <v>524.52623356425454</v>
      </c>
      <c r="AG173" s="276" t="s">
        <v>38</v>
      </c>
      <c r="AH173" s="276">
        <v>0</v>
      </c>
      <c r="AI173" s="276">
        <f t="shared" si="228"/>
        <v>0</v>
      </c>
      <c r="AJ173" s="276">
        <f t="shared" si="229"/>
        <v>0</v>
      </c>
      <c r="AK173" s="276">
        <f t="shared" si="194"/>
        <v>609.44237166276571</v>
      </c>
      <c r="AL173" s="276" t="s">
        <v>462</v>
      </c>
      <c r="AM173" s="181" t="s">
        <v>366</v>
      </c>
      <c r="AN173" s="42" t="s">
        <v>38</v>
      </c>
      <c r="AO173" s="276" t="s">
        <v>429</v>
      </c>
      <c r="AP173" s="48" t="s">
        <v>120</v>
      </c>
      <c r="AQ173" s="44">
        <v>60.722064961621527</v>
      </c>
      <c r="AR173" s="45">
        <v>461.85076947719369</v>
      </c>
      <c r="AS173" s="46">
        <v>60.722064961621527</v>
      </c>
      <c r="AT173" s="45">
        <v>461.85076947719369</v>
      </c>
      <c r="AU173" s="393">
        <v>432279.7749032143</v>
      </c>
      <c r="AV173" s="39">
        <f t="shared" si="195"/>
        <v>420135.04648899869</v>
      </c>
      <c r="AW173" s="39">
        <f t="shared" si="168"/>
        <v>852414.82139221299</v>
      </c>
      <c r="AX173" s="39">
        <v>332225.75529411901</v>
      </c>
      <c r="AY173" s="41">
        <v>91.2</v>
      </c>
      <c r="AZ173" s="39">
        <v>100054.0196090953</v>
      </c>
      <c r="BA173" s="47">
        <v>1.3011627425469094</v>
      </c>
      <c r="BB173" s="41">
        <f t="shared" si="196"/>
        <v>2.5657698351458973</v>
      </c>
      <c r="BC173" s="39">
        <v>252858.20934095353</v>
      </c>
      <c r="BD173" s="47">
        <v>1.7095738201654709</v>
      </c>
      <c r="BE173" s="46">
        <v>61.816081957476278</v>
      </c>
      <c r="BF173" s="45">
        <v>470.17184010738379</v>
      </c>
      <c r="BG173" s="46">
        <v>122.53814691909781</v>
      </c>
      <c r="BH173" s="45">
        <v>932.02260958457748</v>
      </c>
      <c r="BI173" s="393">
        <v>465836.99688870815</v>
      </c>
      <c r="BJ173" s="39">
        <f t="shared" si="197"/>
        <v>427966.51117135945</v>
      </c>
      <c r="BK173" s="39">
        <f t="shared" si="202"/>
        <v>893803.50806006766</v>
      </c>
      <c r="BL173" s="39">
        <v>338211.39861804363</v>
      </c>
      <c r="BM173" s="41">
        <v>92.9</v>
      </c>
      <c r="BN173" s="39">
        <v>127625.59827066452</v>
      </c>
      <c r="BO173" s="47">
        <v>1.3773545149340087</v>
      </c>
      <c r="BP173" s="41">
        <f t="shared" si="171"/>
        <v>2.6427362049659289</v>
      </c>
      <c r="BQ173" s="39">
        <v>257413.90386048675</v>
      </c>
      <c r="BR173" s="47">
        <v>1.809680789974665</v>
      </c>
      <c r="BS173" s="44">
        <v>57.336848611844204</v>
      </c>
      <c r="BT173" s="45">
        <v>436.10288397660014</v>
      </c>
      <c r="BU173" s="46">
        <v>179.87499553094202</v>
      </c>
      <c r="BV173" s="45">
        <v>1368.1254935611776</v>
      </c>
      <c r="BW173" s="393">
        <v>459360.23981216934</v>
      </c>
      <c r="BX173" s="39">
        <f t="shared" si="198"/>
        <v>428887.85995751945</v>
      </c>
      <c r="BY173" s="39">
        <f t="shared" si="203"/>
        <v>888248.09976968879</v>
      </c>
      <c r="BZ173" s="39">
        <v>333749.67481559637</v>
      </c>
      <c r="CA173" s="41">
        <v>93.1</v>
      </c>
      <c r="CB173" s="39">
        <v>125610.56499657297</v>
      </c>
      <c r="CC173" s="47">
        <v>1.3763616101378238</v>
      </c>
      <c r="CD173" s="41">
        <f t="shared" si="199"/>
        <v>2.6614201205153662</v>
      </c>
      <c r="CE173" s="39">
        <v>252730.37109290107</v>
      </c>
      <c r="CF173" s="47">
        <v>1.8175901765415969</v>
      </c>
      <c r="CV173" s="497">
        <f t="shared" si="235"/>
        <v>751.47024865939056</v>
      </c>
      <c r="CW173" s="193">
        <v>142.02787699662483</v>
      </c>
    </row>
    <row r="174" spans="1:101" ht="15" customHeight="1">
      <c r="A174" s="325" t="str">
        <f t="shared" si="182"/>
        <v>BNI- Direct Installation; High-Efficiency Air Source Heat Pumps: Electric Baseboards; COM-HVAC; Retail</v>
      </c>
      <c r="B174" s="108" t="s">
        <v>480</v>
      </c>
      <c r="C174" s="15" t="s">
        <v>93</v>
      </c>
      <c r="D174" s="15" t="s">
        <v>28</v>
      </c>
      <c r="E174" s="37">
        <v>15</v>
      </c>
      <c r="F174" s="38">
        <v>6173.9643815060508</v>
      </c>
      <c r="G174" s="38">
        <v>748.09706973303093</v>
      </c>
      <c r="H174" s="39">
        <v>3500</v>
      </c>
      <c r="I174" s="40">
        <v>0.5714285714285714</v>
      </c>
      <c r="J174" s="39">
        <v>771.74554768825635</v>
      </c>
      <c r="K174" s="39">
        <v>2771.7455476882565</v>
      </c>
      <c r="L174" s="39">
        <v>1500</v>
      </c>
      <c r="M174" s="39">
        <v>4271.7455476882569</v>
      </c>
      <c r="N174" s="39">
        <v>5678.9941127422771</v>
      </c>
      <c r="O174" s="41">
        <v>0.82</v>
      </c>
      <c r="P174" s="41">
        <v>1.2787206331328507</v>
      </c>
      <c r="Q174" s="41">
        <f t="shared" si="183"/>
        <v>1.2787206331328507</v>
      </c>
      <c r="R174" s="39">
        <f t="shared" si="184"/>
        <v>0</v>
      </c>
      <c r="S174" s="39">
        <f t="shared" si="185"/>
        <v>5617.9804034151512</v>
      </c>
      <c r="T174" s="41">
        <f t="shared" si="186"/>
        <v>2.5437030077868785</v>
      </c>
      <c r="U174" s="40">
        <f t="shared" si="187"/>
        <v>0.98925624712478111</v>
      </c>
      <c r="V174" s="42" t="s">
        <v>297</v>
      </c>
      <c r="W174" s="52">
        <f>0.0966*W3</f>
        <v>0.121716</v>
      </c>
      <c r="X174" s="42"/>
      <c r="Y174" s="449">
        <v>0</v>
      </c>
      <c r="Z174" s="450">
        <f t="shared" si="230"/>
        <v>609.44237166276571</v>
      </c>
      <c r="AA174" s="276">
        <f t="shared" si="231"/>
        <v>61.620560390070025</v>
      </c>
      <c r="AB174" s="276">
        <f t="shared" si="226"/>
        <v>0</v>
      </c>
      <c r="AC174" s="276">
        <f t="shared" si="227"/>
        <v>0</v>
      </c>
      <c r="AD174" s="276">
        <f t="shared" si="232"/>
        <v>25.549988454419282</v>
      </c>
      <c r="AE174" s="276">
        <f t="shared" si="233"/>
        <v>-2.2544107459781717</v>
      </c>
      <c r="AF174" s="276">
        <f t="shared" si="234"/>
        <v>524.52623356425454</v>
      </c>
      <c r="AG174" s="276" t="s">
        <v>38</v>
      </c>
      <c r="AH174" s="276">
        <v>0</v>
      </c>
      <c r="AI174" s="276">
        <f t="shared" si="228"/>
        <v>0</v>
      </c>
      <c r="AJ174" s="276">
        <f t="shared" si="229"/>
        <v>0</v>
      </c>
      <c r="AK174" s="276">
        <f t="shared" si="194"/>
        <v>609.44237166276571</v>
      </c>
      <c r="AL174" s="276" t="s">
        <v>462</v>
      </c>
      <c r="AM174" s="181" t="s">
        <v>366</v>
      </c>
      <c r="AN174" s="42" t="s">
        <v>38</v>
      </c>
      <c r="AO174" s="276" t="s">
        <v>429</v>
      </c>
      <c r="AP174" s="48" t="s">
        <v>120</v>
      </c>
      <c r="AQ174" s="44">
        <v>80.084426423304862</v>
      </c>
      <c r="AR174" s="45">
        <v>660.9281285211739</v>
      </c>
      <c r="AS174" s="46">
        <v>80.084426423304862</v>
      </c>
      <c r="AT174" s="45">
        <v>660.9281285211739</v>
      </c>
      <c r="AU174" s="393">
        <v>607941.14103747497</v>
      </c>
      <c r="AV174" s="39">
        <f t="shared" si="195"/>
        <v>601180.0829694554</v>
      </c>
      <c r="AW174" s="39">
        <f t="shared" si="168"/>
        <v>1209121.2240069304</v>
      </c>
      <c r="AX174" s="39">
        <v>475429.21048206312</v>
      </c>
      <c r="AY174" s="41">
        <v>130.5</v>
      </c>
      <c r="AZ174" s="39">
        <v>132511.93055541185</v>
      </c>
      <c r="BA174" s="47">
        <v>1.2787206331328504</v>
      </c>
      <c r="BB174" s="41">
        <f t="shared" si="196"/>
        <v>2.5432203098773374</v>
      </c>
      <c r="BC174" s="39">
        <v>361850.87072629441</v>
      </c>
      <c r="BD174" s="47">
        <v>1.6800875449525292</v>
      </c>
      <c r="BE174" s="46">
        <v>81.525375168940627</v>
      </c>
      <c r="BF174" s="45">
        <v>672.8201230110144</v>
      </c>
      <c r="BG174" s="46">
        <v>161.60980159224547</v>
      </c>
      <c r="BH174" s="45">
        <v>1333.7482515321883</v>
      </c>
      <c r="BI174" s="393">
        <v>654493.7375949868</v>
      </c>
      <c r="BJ174" s="39">
        <f t="shared" si="197"/>
        <v>612236.26840337634</v>
      </c>
      <c r="BK174" s="39">
        <f t="shared" si="202"/>
        <v>1266730.0059983633</v>
      </c>
      <c r="BL174" s="39">
        <v>483983.54688776622</v>
      </c>
      <c r="BM174" s="41">
        <v>132.9</v>
      </c>
      <c r="BN174" s="39">
        <v>170510.19070722058</v>
      </c>
      <c r="BO174" s="47">
        <v>1.3523057587467147</v>
      </c>
      <c r="BP174" s="41">
        <f t="shared" si="171"/>
        <v>2.6172997287697317</v>
      </c>
      <c r="BQ174" s="39">
        <v>368361.60672787647</v>
      </c>
      <c r="BR174" s="47">
        <v>1.7767696894603016</v>
      </c>
      <c r="BS174" s="44">
        <v>75.617618794109632</v>
      </c>
      <c r="BT174" s="45">
        <v>624.06404721748368</v>
      </c>
      <c r="BU174" s="46">
        <v>237.22742038635511</v>
      </c>
      <c r="BV174" s="45">
        <v>1957.812298749672</v>
      </c>
      <c r="BW174" s="393">
        <v>644854.43121858605</v>
      </c>
      <c r="BX174" s="39">
        <f t="shared" si="198"/>
        <v>614078.96597569657</v>
      </c>
      <c r="BY174" s="39">
        <f t="shared" si="203"/>
        <v>1258933.3971942826</v>
      </c>
      <c r="BZ174" s="39">
        <v>477596.41239638272</v>
      </c>
      <c r="CA174" s="41">
        <v>133.30000000000001</v>
      </c>
      <c r="CB174" s="39">
        <v>167258.01882220333</v>
      </c>
      <c r="CC174" s="47">
        <v>1.3502078627077019</v>
      </c>
      <c r="CD174" s="41">
        <f t="shared" si="199"/>
        <v>2.6359775000768364</v>
      </c>
      <c r="CE174" s="39">
        <v>361657.63638351701</v>
      </c>
      <c r="CF174" s="47">
        <v>1.7830521641046042</v>
      </c>
      <c r="CV174" s="497">
        <f t="shared" si="235"/>
        <v>751.47024865939056</v>
      </c>
      <c r="CW174" s="193">
        <v>142.02787699662483</v>
      </c>
    </row>
    <row r="175" spans="1:101" ht="15" customHeight="1">
      <c r="A175" s="325" t="str">
        <f t="shared" si="182"/>
        <v>BNI- Direct Installation; High-Efficiency Air Source Heat Pumps: Electric Baseboards; COM-HVAC; School</v>
      </c>
      <c r="B175" s="108" t="s">
        <v>480</v>
      </c>
      <c r="C175" s="15" t="s">
        <v>93</v>
      </c>
      <c r="D175" s="15" t="s">
        <v>57</v>
      </c>
      <c r="E175" s="37">
        <v>15</v>
      </c>
      <c r="F175" s="38">
        <v>6173.9643815060508</v>
      </c>
      <c r="G175" s="38">
        <v>732.63821415364396</v>
      </c>
      <c r="H175" s="39">
        <v>3500</v>
      </c>
      <c r="I175" s="40">
        <v>0.5714285714285714</v>
      </c>
      <c r="J175" s="39">
        <v>771.74554768825635</v>
      </c>
      <c r="K175" s="39">
        <v>2771.7455476882565</v>
      </c>
      <c r="L175" s="39">
        <v>1500</v>
      </c>
      <c r="M175" s="39">
        <v>4271.7455476882569</v>
      </c>
      <c r="N175" s="39">
        <v>5654.778903856708</v>
      </c>
      <c r="O175" s="41">
        <v>0.82</v>
      </c>
      <c r="P175" s="41">
        <v>1.2732681733093543</v>
      </c>
      <c r="Q175" s="41">
        <f t="shared" si="183"/>
        <v>1.2732681733093543</v>
      </c>
      <c r="R175" s="39">
        <f t="shared" si="184"/>
        <v>0</v>
      </c>
      <c r="S175" s="39">
        <f t="shared" si="185"/>
        <v>5617.9804034151512</v>
      </c>
      <c r="T175" s="41">
        <f t="shared" si="186"/>
        <v>2.5382505479633819</v>
      </c>
      <c r="U175" s="40">
        <f t="shared" si="187"/>
        <v>0.99349249527396022</v>
      </c>
      <c r="V175" s="42" t="s">
        <v>297</v>
      </c>
      <c r="W175" s="52">
        <f>0.0966*W3</f>
        <v>0.121716</v>
      </c>
      <c r="X175" s="42"/>
      <c r="Y175" s="449">
        <v>0</v>
      </c>
      <c r="Z175" s="450">
        <f t="shared" si="230"/>
        <v>609.44237166276571</v>
      </c>
      <c r="AA175" s="276">
        <f t="shared" si="231"/>
        <v>61.620560390070025</v>
      </c>
      <c r="AB175" s="276">
        <f t="shared" si="226"/>
        <v>0</v>
      </c>
      <c r="AC175" s="276">
        <f t="shared" si="227"/>
        <v>0</v>
      </c>
      <c r="AD175" s="276">
        <f t="shared" si="232"/>
        <v>25.549988454419282</v>
      </c>
      <c r="AE175" s="276">
        <f t="shared" si="233"/>
        <v>-2.2544107459781717</v>
      </c>
      <c r="AF175" s="276">
        <f t="shared" si="234"/>
        <v>524.52623356425454</v>
      </c>
      <c r="AG175" s="276" t="s">
        <v>38</v>
      </c>
      <c r="AH175" s="276">
        <v>0</v>
      </c>
      <c r="AI175" s="276">
        <f t="shared" si="228"/>
        <v>0</v>
      </c>
      <c r="AJ175" s="276">
        <f t="shared" si="229"/>
        <v>0</v>
      </c>
      <c r="AK175" s="276">
        <f t="shared" si="194"/>
        <v>609.44237166276571</v>
      </c>
      <c r="AL175" s="276" t="s">
        <v>462</v>
      </c>
      <c r="AM175" s="181" t="s">
        <v>366</v>
      </c>
      <c r="AN175" s="42" t="s">
        <v>38</v>
      </c>
      <c r="AO175" s="276" t="s">
        <v>429</v>
      </c>
      <c r="AP175" s="48" t="s">
        <v>120</v>
      </c>
      <c r="AQ175" s="44">
        <v>78.173237114045079</v>
      </c>
      <c r="AR175" s="45">
        <v>658.76823267633347</v>
      </c>
      <c r="AS175" s="46">
        <v>78.173237114045079</v>
      </c>
      <c r="AT175" s="45">
        <v>658.76823267633347</v>
      </c>
      <c r="AU175" s="393">
        <v>603370.61804693961</v>
      </c>
      <c r="AV175" s="39">
        <f t="shared" si="195"/>
        <v>599337.38539713516</v>
      </c>
      <c r="AW175" s="39">
        <f t="shared" si="168"/>
        <v>1202708.0034440747</v>
      </c>
      <c r="AX175" s="39">
        <v>473875.52025172964</v>
      </c>
      <c r="AY175" s="41">
        <v>130.1</v>
      </c>
      <c r="AZ175" s="39">
        <v>129495.09779520996</v>
      </c>
      <c r="BA175" s="47">
        <v>1.273268173309354</v>
      </c>
      <c r="BB175" s="41">
        <f t="shared" si="196"/>
        <v>2.5380251818139468</v>
      </c>
      <c r="BC175" s="39">
        <v>360668.35154091439</v>
      </c>
      <c r="BD175" s="47">
        <v>1.6729236581726883</v>
      </c>
      <c r="BE175" s="46">
        <v>79.579798077176207</v>
      </c>
      <c r="BF175" s="45">
        <v>670.62136443908275</v>
      </c>
      <c r="BG175" s="46">
        <v>157.75303519122127</v>
      </c>
      <c r="BH175" s="45">
        <v>1329.3895971154161</v>
      </c>
      <c r="BI175" s="393">
        <v>649419.08601029695</v>
      </c>
      <c r="BJ175" s="39">
        <f t="shared" si="197"/>
        <v>610393.57083105622</v>
      </c>
      <c r="BK175" s="39">
        <f t="shared" si="202"/>
        <v>1259812.656841353</v>
      </c>
      <c r="BL175" s="39">
        <v>482401.90130970156</v>
      </c>
      <c r="BM175" s="41">
        <v>132.5</v>
      </c>
      <c r="BN175" s="39">
        <v>167017.18470059539</v>
      </c>
      <c r="BO175" s="47">
        <v>1.3462199967436914</v>
      </c>
      <c r="BP175" s="41">
        <f t="shared" si="171"/>
        <v>2.6115416490296015</v>
      </c>
      <c r="BQ175" s="39">
        <v>367157.81062745844</v>
      </c>
      <c r="BR175" s="47">
        <v>1.7687737185829302</v>
      </c>
      <c r="BS175" s="44">
        <v>73.813028425102132</v>
      </c>
      <c r="BT175" s="45">
        <v>622.02462222657675</v>
      </c>
      <c r="BU175" s="46">
        <v>231.56606361632342</v>
      </c>
      <c r="BV175" s="45">
        <v>1951.414219341993</v>
      </c>
      <c r="BW175" s="393">
        <v>639722.22529104387</v>
      </c>
      <c r="BX175" s="39">
        <f t="shared" si="198"/>
        <v>611775.59401029639</v>
      </c>
      <c r="BY175" s="39">
        <f t="shared" si="203"/>
        <v>1251497.8193013403</v>
      </c>
      <c r="BZ175" s="39">
        <v>476035.63980685204</v>
      </c>
      <c r="CA175" s="41">
        <v>132.80000000000001</v>
      </c>
      <c r="CB175" s="39">
        <v>163686.58548419183</v>
      </c>
      <c r="CC175" s="47">
        <v>1.3438536357290527</v>
      </c>
      <c r="CD175" s="41">
        <f t="shared" si="199"/>
        <v>2.6290002568066675</v>
      </c>
      <c r="CE175" s="39">
        <v>360475.74868291727</v>
      </c>
      <c r="CF175" s="47">
        <v>1.7746609241493196</v>
      </c>
      <c r="CV175" s="497">
        <f t="shared" si="235"/>
        <v>751.47024865939056</v>
      </c>
      <c r="CW175" s="193">
        <v>142.02787699662483</v>
      </c>
    </row>
    <row r="176" spans="1:101" s="22" customFormat="1" ht="15" customHeight="1">
      <c r="A176" s="324" t="str">
        <f t="shared" si="182"/>
        <v>BNI- Direct Installation; Ground Source Heat Pump; COM-HVAC; Office</v>
      </c>
      <c r="B176" s="36" t="s">
        <v>121</v>
      </c>
      <c r="C176" s="15" t="s">
        <v>93</v>
      </c>
      <c r="D176" s="15" t="s">
        <v>64</v>
      </c>
      <c r="E176" s="37">
        <v>15</v>
      </c>
      <c r="F176" s="38">
        <v>16035.27</v>
      </c>
      <c r="G176" s="38">
        <v>2184.8952247500442</v>
      </c>
      <c r="H176" s="39">
        <v>18000</v>
      </c>
      <c r="I176" s="40">
        <v>0.28888888888888886</v>
      </c>
      <c r="J176" s="39">
        <v>2004.4087500000001</v>
      </c>
      <c r="K176" s="39">
        <v>7204.4087499999987</v>
      </c>
      <c r="L176" s="39">
        <v>12800</v>
      </c>
      <c r="M176" s="39">
        <v>20004.408749999999</v>
      </c>
      <c r="N176" s="39">
        <v>15128.643887161561</v>
      </c>
      <c r="O176" s="41">
        <v>0.82</v>
      </c>
      <c r="P176" s="41">
        <v>0.73998959178757084</v>
      </c>
      <c r="Q176" s="261">
        <f t="shared" si="183"/>
        <v>0.73998959178757084</v>
      </c>
      <c r="R176" s="262">
        <f t="shared" si="184"/>
        <v>0</v>
      </c>
      <c r="S176" s="262">
        <f t="shared" si="185"/>
        <v>14591.245925117519</v>
      </c>
      <c r="T176" s="261">
        <f t="shared" si="186"/>
        <v>1.4536933577254161</v>
      </c>
      <c r="U176" s="267">
        <f t="shared" si="187"/>
        <v>0.96447811409586492</v>
      </c>
      <c r="V176" s="42" t="s">
        <v>297</v>
      </c>
      <c r="W176" s="199">
        <f>0.0966*W3</f>
        <v>0.121716</v>
      </c>
      <c r="X176" s="198"/>
      <c r="Y176" s="333">
        <v>0</v>
      </c>
      <c r="Z176" s="334">
        <f>W176*F176-CW176</f>
        <v>1582.8683768125202</v>
      </c>
      <c r="AA176" s="313">
        <f t="shared" si="231"/>
        <v>160.04341171224002</v>
      </c>
      <c r="AB176" s="313">
        <f t="shared" si="226"/>
        <v>0</v>
      </c>
      <c r="AC176" s="313">
        <f t="shared" si="227"/>
        <v>0</v>
      </c>
      <c r="AD176" s="313">
        <f t="shared" si="232"/>
        <v>66.359463392880002</v>
      </c>
      <c r="AE176" s="313">
        <f t="shared" si="233"/>
        <v>-5.8552467699600008</v>
      </c>
      <c r="AF176" s="313">
        <f t="shared" si="234"/>
        <v>1362.32074847736</v>
      </c>
      <c r="AG176" s="313" t="s">
        <v>38</v>
      </c>
      <c r="AH176" s="313">
        <v>0</v>
      </c>
      <c r="AI176" s="313">
        <f t="shared" si="228"/>
        <v>0</v>
      </c>
      <c r="AJ176" s="313">
        <f t="shared" si="229"/>
        <v>0</v>
      </c>
      <c r="AK176" s="313">
        <f t="shared" si="194"/>
        <v>1582.86837681252</v>
      </c>
      <c r="AL176" s="246" t="s">
        <v>462</v>
      </c>
      <c r="AM176" s="181" t="s">
        <v>366</v>
      </c>
      <c r="AN176" s="102" t="s">
        <v>38</v>
      </c>
      <c r="AO176" s="246" t="s">
        <v>429</v>
      </c>
      <c r="AP176" s="43" t="s">
        <v>121</v>
      </c>
      <c r="AQ176" s="44">
        <v>84.393974234574614</v>
      </c>
      <c r="AR176" s="45">
        <v>619.37988966004764</v>
      </c>
      <c r="AS176" s="46">
        <v>84.393974234574614</v>
      </c>
      <c r="AT176" s="45">
        <v>619.37988966004764</v>
      </c>
      <c r="AU176" s="393">
        <v>584360.46175314044</v>
      </c>
      <c r="AV176" s="295">
        <f t="shared" si="195"/>
        <v>563602.87610385776</v>
      </c>
      <c r="AW176" s="295">
        <f t="shared" si="168"/>
        <v>1147963.3378569982</v>
      </c>
      <c r="AX176" s="39">
        <v>789687.40673976019</v>
      </c>
      <c r="AY176" s="41">
        <v>47.104995977848617</v>
      </c>
      <c r="AZ176" s="39">
        <v>-205326.94498661975</v>
      </c>
      <c r="BA176" s="47">
        <v>0.73998959178757073</v>
      </c>
      <c r="BB176" s="41">
        <f t="shared" si="196"/>
        <v>1.4536933577254159</v>
      </c>
      <c r="BC176" s="39">
        <v>339363.64519152738</v>
      </c>
      <c r="BD176" s="47">
        <v>1.7219300594892646</v>
      </c>
      <c r="BE176" s="46">
        <v>78.607696467225281</v>
      </c>
      <c r="BF176" s="45">
        <v>576.91353921751852</v>
      </c>
      <c r="BG176" s="46">
        <v>163.0016707017999</v>
      </c>
      <c r="BH176" s="45">
        <v>1196.2934288775662</v>
      </c>
      <c r="BI176" s="393">
        <v>576416.04156987986</v>
      </c>
      <c r="BJ176" s="295">
        <f t="shared" si="197"/>
        <v>524960.74766765651</v>
      </c>
      <c r="BK176" s="295">
        <f t="shared" si="202"/>
        <v>1101376.7892375365</v>
      </c>
      <c r="BL176" s="39">
        <v>735544.31505322061</v>
      </c>
      <c r="BM176" s="41">
        <v>43.87535081147557</v>
      </c>
      <c r="BN176" s="39">
        <v>-159128.27348334074</v>
      </c>
      <c r="BO176" s="47">
        <v>0.78365916202910635</v>
      </c>
      <c r="BP176" s="41">
        <f t="shared" si="171"/>
        <v>1.4973629279669518</v>
      </c>
      <c r="BQ176" s="39">
        <v>316095.96129551413</v>
      </c>
      <c r="BR176" s="47">
        <v>1.8235476315719066</v>
      </c>
      <c r="BS176" s="44">
        <v>80.713393343154067</v>
      </c>
      <c r="BT176" s="45">
        <v>592.36756079310112</v>
      </c>
      <c r="BU176" s="46">
        <v>243.71506404495398</v>
      </c>
      <c r="BV176" s="45">
        <v>1788.6609896706673</v>
      </c>
      <c r="BW176" s="393">
        <v>629457.81803200173</v>
      </c>
      <c r="BX176" s="295">
        <f t="shared" si="198"/>
        <v>539023.08832929796</v>
      </c>
      <c r="BY176" s="295">
        <f t="shared" si="203"/>
        <v>1168480.9063612996</v>
      </c>
      <c r="BZ176" s="39">
        <v>755247.64482781244</v>
      </c>
      <c r="CA176" s="41">
        <v>45.050657979680459</v>
      </c>
      <c r="CB176" s="39">
        <v>-125789.82679581072</v>
      </c>
      <c r="CC176" s="47">
        <v>0.83344558879824204</v>
      </c>
      <c r="CD176" s="41">
        <f t="shared" si="199"/>
        <v>1.5471493547360873</v>
      </c>
      <c r="CE176" s="39">
        <v>324563.35454206722</v>
      </c>
      <c r="CF176" s="47">
        <v>1.9393989161842256</v>
      </c>
      <c r="CV176" s="497">
        <f t="shared" si="235"/>
        <v>1951.7489233200001</v>
      </c>
      <c r="CW176" s="22">
        <v>368.88054650748001</v>
      </c>
    </row>
    <row r="177" spans="1:101" s="22" customFormat="1" ht="15" customHeight="1">
      <c r="A177" s="324" t="str">
        <f t="shared" si="182"/>
        <v>BNI- Direct Installation; Ground Source Heat Pump; COM-HVAC; Other Commercial</v>
      </c>
      <c r="B177" s="36" t="s">
        <v>121</v>
      </c>
      <c r="C177" s="15" t="s">
        <v>93</v>
      </c>
      <c r="D177" s="15" t="s">
        <v>54</v>
      </c>
      <c r="E177" s="37">
        <v>15</v>
      </c>
      <c r="F177" s="38">
        <v>16035.27</v>
      </c>
      <c r="G177" s="38">
        <v>2108.245283902731</v>
      </c>
      <c r="H177" s="39">
        <v>18000</v>
      </c>
      <c r="I177" s="40">
        <v>0.28888888888888886</v>
      </c>
      <c r="J177" s="39">
        <v>2004.4087500000001</v>
      </c>
      <c r="K177" s="39">
        <v>7204.4087499999987</v>
      </c>
      <c r="L177" s="39">
        <v>12800</v>
      </c>
      <c r="M177" s="39">
        <v>20004.408749999999</v>
      </c>
      <c r="N177" s="39">
        <v>15008.577151357451</v>
      </c>
      <c r="O177" s="41">
        <v>0.82</v>
      </c>
      <c r="P177" s="41">
        <v>0.7341167498145803</v>
      </c>
      <c r="Q177" s="261">
        <f t="shared" si="183"/>
        <v>0.7341167498145803</v>
      </c>
      <c r="R177" s="262">
        <f t="shared" si="184"/>
        <v>0</v>
      </c>
      <c r="S177" s="262">
        <f t="shared" si="185"/>
        <v>14591.245925117519</v>
      </c>
      <c r="T177" s="261">
        <f t="shared" si="186"/>
        <v>1.4478205157524255</v>
      </c>
      <c r="U177" s="267">
        <f t="shared" si="187"/>
        <v>0.97219381810605621</v>
      </c>
      <c r="V177" s="42" t="s">
        <v>297</v>
      </c>
      <c r="W177" s="199">
        <f>0.0966*W3</f>
        <v>0.121716</v>
      </c>
      <c r="X177" s="198"/>
      <c r="Y177" s="333">
        <v>0</v>
      </c>
      <c r="Z177" s="334">
        <f t="shared" si="230"/>
        <v>1582.8683768125202</v>
      </c>
      <c r="AA177" s="313">
        <f t="shared" si="231"/>
        <v>160.04341171224002</v>
      </c>
      <c r="AB177" s="313">
        <f t="shared" si="226"/>
        <v>0</v>
      </c>
      <c r="AC177" s="313">
        <f t="shared" si="227"/>
        <v>0</v>
      </c>
      <c r="AD177" s="313">
        <f t="shared" si="232"/>
        <v>66.359463392880002</v>
      </c>
      <c r="AE177" s="313">
        <f t="shared" si="233"/>
        <v>-5.8552467699600008</v>
      </c>
      <c r="AF177" s="313">
        <f t="shared" si="234"/>
        <v>1362.32074847736</v>
      </c>
      <c r="AG177" s="313" t="s">
        <v>38</v>
      </c>
      <c r="AH177" s="313">
        <v>0</v>
      </c>
      <c r="AI177" s="313">
        <f t="shared" si="228"/>
        <v>0</v>
      </c>
      <c r="AJ177" s="313">
        <f t="shared" si="229"/>
        <v>0</v>
      </c>
      <c r="AK177" s="313">
        <f t="shared" si="194"/>
        <v>1582.86837681252</v>
      </c>
      <c r="AL177" s="246" t="s">
        <v>462</v>
      </c>
      <c r="AM177" s="181" t="s">
        <v>366</v>
      </c>
      <c r="AN177" s="102" t="s">
        <v>38</v>
      </c>
      <c r="AO177" s="246" t="s">
        <v>429</v>
      </c>
      <c r="AP177" s="43" t="s">
        <v>121</v>
      </c>
      <c r="AQ177" s="44">
        <v>110.46725814679067</v>
      </c>
      <c r="AR177" s="45">
        <v>840.21167938503254</v>
      </c>
      <c r="AS177" s="46">
        <v>110.46725814679067</v>
      </c>
      <c r="AT177" s="45">
        <v>840.21167938503254</v>
      </c>
      <c r="AU177" s="393">
        <v>786415.30909812369</v>
      </c>
      <c r="AV177" s="295">
        <f t="shared" si="195"/>
        <v>764548.10196915944</v>
      </c>
      <c r="AW177" s="295">
        <f t="shared" si="168"/>
        <v>1550963.4110672832</v>
      </c>
      <c r="AX177" s="39">
        <v>1071240.1117352967</v>
      </c>
      <c r="AY177" s="41">
        <v>63.899665518194709</v>
      </c>
      <c r="AZ177" s="39">
        <v>-284824.80263717298</v>
      </c>
      <c r="BA177" s="47">
        <v>0.73411674981458019</v>
      </c>
      <c r="BB177" s="41">
        <f t="shared" si="196"/>
        <v>1.4478205157524255</v>
      </c>
      <c r="BC177" s="39">
        <v>460359.30938135524</v>
      </c>
      <c r="BD177" s="47">
        <v>1.7082641603466917</v>
      </c>
      <c r="BE177" s="46">
        <v>102.8933259362022</v>
      </c>
      <c r="BF177" s="45">
        <v>782.60450773105038</v>
      </c>
      <c r="BG177" s="46">
        <v>213.36058408299286</v>
      </c>
      <c r="BH177" s="45">
        <v>1622.8161871160828</v>
      </c>
      <c r="BI177" s="393">
        <v>775389.12911018671</v>
      </c>
      <c r="BJ177" s="295">
        <f t="shared" si="197"/>
        <v>712128.62860489974</v>
      </c>
      <c r="BK177" s="295">
        <f t="shared" si="202"/>
        <v>1487517.7577150865</v>
      </c>
      <c r="BL177" s="39">
        <v>997793.00963772321</v>
      </c>
      <c r="BM177" s="41">
        <v>59.518532655541648</v>
      </c>
      <c r="BN177" s="39">
        <v>-222403.8805275365</v>
      </c>
      <c r="BO177" s="47">
        <v>0.77710419056925795</v>
      </c>
      <c r="BP177" s="41">
        <f t="shared" si="171"/>
        <v>1.4908079565071033</v>
      </c>
      <c r="BQ177" s="39">
        <v>428795.83745074499</v>
      </c>
      <c r="BR177" s="47">
        <v>1.8082944408229109</v>
      </c>
      <c r="BS177" s="44">
        <v>105.64957201279499</v>
      </c>
      <c r="BT177" s="45">
        <v>803.56845835011177</v>
      </c>
      <c r="BU177" s="46">
        <v>319.01015609578781</v>
      </c>
      <c r="BV177" s="45">
        <v>2426.3846454661943</v>
      </c>
      <c r="BW177" s="393">
        <v>846422.74402617489</v>
      </c>
      <c r="BX177" s="295">
        <f t="shared" si="198"/>
        <v>731204.71270231402</v>
      </c>
      <c r="BY177" s="295">
        <f t="shared" si="203"/>
        <v>1577627.4567284889</v>
      </c>
      <c r="BZ177" s="39">
        <v>1024521.3036552659</v>
      </c>
      <c r="CA177" s="41">
        <v>61.112880205528626</v>
      </c>
      <c r="CB177" s="39">
        <v>-178098.55962909106</v>
      </c>
      <c r="CC177" s="47">
        <v>0.82616412270425743</v>
      </c>
      <c r="CD177" s="41">
        <f t="shared" si="199"/>
        <v>1.5398678886421027</v>
      </c>
      <c r="CE177" s="39">
        <v>440282.1688904122</v>
      </c>
      <c r="CF177" s="47">
        <v>1.922455197673137</v>
      </c>
      <c r="CV177" s="497">
        <f t="shared" si="235"/>
        <v>1951.7489233200001</v>
      </c>
      <c r="CW177" s="22">
        <v>368.88054650748001</v>
      </c>
    </row>
    <row r="178" spans="1:101" s="22" customFormat="1" ht="15" customHeight="1">
      <c r="A178" s="324" t="str">
        <f t="shared" si="182"/>
        <v>BNI- Direct Installation; Ground Source Heat Pump; COM-HVAC; Retail</v>
      </c>
      <c r="B178" s="36" t="s">
        <v>121</v>
      </c>
      <c r="C178" s="15" t="s">
        <v>93</v>
      </c>
      <c r="D178" s="15" t="s">
        <v>28</v>
      </c>
      <c r="E178" s="37">
        <v>15</v>
      </c>
      <c r="F178" s="38">
        <v>16035.27</v>
      </c>
      <c r="G178" s="38">
        <v>1942.9879665829462</v>
      </c>
      <c r="H178" s="39">
        <v>18000</v>
      </c>
      <c r="I178" s="40">
        <v>0.28888888888888886</v>
      </c>
      <c r="J178" s="39">
        <v>2004.4087500000001</v>
      </c>
      <c r="K178" s="39">
        <v>7204.4087499999987</v>
      </c>
      <c r="L178" s="39">
        <v>12800</v>
      </c>
      <c r="M178" s="39">
        <v>20004.408749999999</v>
      </c>
      <c r="N178" s="39">
        <v>14749.713198704756</v>
      </c>
      <c r="O178" s="41">
        <v>0.82</v>
      </c>
      <c r="P178" s="41">
        <v>0.72145489908422211</v>
      </c>
      <c r="Q178" s="261">
        <f t="shared" si="183"/>
        <v>0.72145489908422211</v>
      </c>
      <c r="R178" s="262">
        <f t="shared" si="184"/>
        <v>0</v>
      </c>
      <c r="S178" s="262">
        <f t="shared" si="185"/>
        <v>14591.245925117519</v>
      </c>
      <c r="T178" s="261">
        <f t="shared" si="186"/>
        <v>1.4351586650220673</v>
      </c>
      <c r="U178" s="267">
        <f t="shared" si="187"/>
        <v>0.98925624712478111</v>
      </c>
      <c r="V178" s="42" t="s">
        <v>297</v>
      </c>
      <c r="W178" s="199">
        <f>0.0966*W3</f>
        <v>0.121716</v>
      </c>
      <c r="X178" s="198"/>
      <c r="Y178" s="333">
        <v>0</v>
      </c>
      <c r="Z178" s="334">
        <f t="shared" si="230"/>
        <v>1582.8683768125202</v>
      </c>
      <c r="AA178" s="313">
        <f t="shared" si="231"/>
        <v>160.04341171224002</v>
      </c>
      <c r="AB178" s="313">
        <f t="shared" si="226"/>
        <v>0</v>
      </c>
      <c r="AC178" s="313">
        <f t="shared" si="227"/>
        <v>0</v>
      </c>
      <c r="AD178" s="313">
        <f t="shared" si="232"/>
        <v>66.359463392880002</v>
      </c>
      <c r="AE178" s="313">
        <f t="shared" si="233"/>
        <v>-5.8552467699600008</v>
      </c>
      <c r="AF178" s="313">
        <f t="shared" si="234"/>
        <v>1362.32074847736</v>
      </c>
      <c r="AG178" s="313" t="s">
        <v>38</v>
      </c>
      <c r="AH178" s="313">
        <v>0</v>
      </c>
      <c r="AI178" s="313">
        <f t="shared" si="228"/>
        <v>0</v>
      </c>
      <c r="AJ178" s="313">
        <f t="shared" si="229"/>
        <v>0</v>
      </c>
      <c r="AK178" s="313">
        <f t="shared" si="194"/>
        <v>1582.86837681252</v>
      </c>
      <c r="AL178" s="246" t="s">
        <v>462</v>
      </c>
      <c r="AM178" s="181" t="s">
        <v>366</v>
      </c>
      <c r="AN178" s="102" t="s">
        <v>38</v>
      </c>
      <c r="AO178" s="246" t="s">
        <v>429</v>
      </c>
      <c r="AP178" s="43" t="s">
        <v>121</v>
      </c>
      <c r="AQ178" s="44">
        <v>145.66122301021045</v>
      </c>
      <c r="AR178" s="45">
        <v>1202.1263536730328</v>
      </c>
      <c r="AS178" s="46">
        <v>145.66122301021045</v>
      </c>
      <c r="AT178" s="45">
        <v>1202.1263536730328</v>
      </c>
      <c r="AU178" s="393">
        <v>1105751.1937923059</v>
      </c>
      <c r="AV178" s="295">
        <f t="shared" si="195"/>
        <v>1093871.2762247233</v>
      </c>
      <c r="AW178" s="295">
        <f t="shared" si="168"/>
        <v>2199622.470017029</v>
      </c>
      <c r="AX178" s="39">
        <v>1532668.4941718325</v>
      </c>
      <c r="AY178" s="41">
        <v>91.423951600549728</v>
      </c>
      <c r="AZ178" s="39">
        <v>-426917.30037952657</v>
      </c>
      <c r="BA178" s="47">
        <v>0.721454899084222</v>
      </c>
      <c r="BB178" s="41">
        <f t="shared" si="196"/>
        <v>1.4351586650220671</v>
      </c>
      <c r="BC178" s="39">
        <v>658655.516870577</v>
      </c>
      <c r="BD178" s="47">
        <v>1.6788004737984776</v>
      </c>
      <c r="BE178" s="46">
        <v>135.67429794934992</v>
      </c>
      <c r="BF178" s="45">
        <v>1119.7053389395744</v>
      </c>
      <c r="BG178" s="46">
        <v>281.33552095956037</v>
      </c>
      <c r="BH178" s="45">
        <v>2321.8316926126072</v>
      </c>
      <c r="BI178" s="393">
        <v>1089206.6203489972</v>
      </c>
      <c r="BJ178" s="295">
        <f t="shared" si="197"/>
        <v>1018872.5206457012</v>
      </c>
      <c r="BK178" s="295">
        <f t="shared" si="202"/>
        <v>2108079.1409946983</v>
      </c>
      <c r="BL178" s="39">
        <v>1427584.6216207754</v>
      </c>
      <c r="BM178" s="41">
        <v>85.155679684842767</v>
      </c>
      <c r="BN178" s="39">
        <v>-338378.00127177825</v>
      </c>
      <c r="BO178" s="47">
        <v>0.76297166826607554</v>
      </c>
      <c r="BP178" s="41">
        <f t="shared" si="171"/>
        <v>1.4766754342039206</v>
      </c>
      <c r="BQ178" s="39">
        <v>613496.32383367838</v>
      </c>
      <c r="BR178" s="47">
        <v>1.7754085526424215</v>
      </c>
      <c r="BS178" s="44">
        <v>139.30866148085082</v>
      </c>
      <c r="BT178" s="45">
        <v>1149.6993489427664</v>
      </c>
      <c r="BU178" s="46">
        <v>420.64418244041121</v>
      </c>
      <c r="BV178" s="45">
        <v>3471.5310415553736</v>
      </c>
      <c r="BW178" s="393">
        <v>1188001.0121404985</v>
      </c>
      <c r="BX178" s="295">
        <f t="shared" si="198"/>
        <v>1046165.480242703</v>
      </c>
      <c r="BY178" s="295">
        <f t="shared" si="203"/>
        <v>2234166.4923832016</v>
      </c>
      <c r="BZ178" s="39">
        <v>1465825.9213022157</v>
      </c>
      <c r="CA178" s="41">
        <v>87.43678009534429</v>
      </c>
      <c r="CB178" s="39">
        <v>-277824.90916171717</v>
      </c>
      <c r="CC178" s="47">
        <v>0.81046527754475639</v>
      </c>
      <c r="CD178" s="41">
        <f t="shared" si="199"/>
        <v>1.5241690434826018</v>
      </c>
      <c r="CE178" s="39">
        <v>629930.30359072413</v>
      </c>
      <c r="CF178" s="47">
        <v>1.8859245306483332</v>
      </c>
      <c r="CV178" s="497">
        <f t="shared" si="235"/>
        <v>1951.7489233200001</v>
      </c>
      <c r="CW178" s="22">
        <v>368.88054650748001</v>
      </c>
    </row>
    <row r="179" spans="1:101" s="22" customFormat="1" ht="15" customHeight="1">
      <c r="A179" s="324" t="str">
        <f t="shared" si="182"/>
        <v>BNI- Direct Installation; Ground Source Heat Pump; COM-HVAC; School</v>
      </c>
      <c r="B179" s="36" t="s">
        <v>121</v>
      </c>
      <c r="C179" s="15" t="s">
        <v>93</v>
      </c>
      <c r="D179" s="15" t="s">
        <v>57</v>
      </c>
      <c r="E179" s="37">
        <v>15</v>
      </c>
      <c r="F179" s="38">
        <v>16035.27</v>
      </c>
      <c r="G179" s="38">
        <v>1902.8376016328316</v>
      </c>
      <c r="H179" s="39">
        <v>18000</v>
      </c>
      <c r="I179" s="40">
        <v>0.28888888888888886</v>
      </c>
      <c r="J179" s="39">
        <v>2004.4087500000001</v>
      </c>
      <c r="K179" s="39">
        <v>7204.4087499999987</v>
      </c>
      <c r="L179" s="39">
        <v>12800</v>
      </c>
      <c r="M179" s="39">
        <v>20004.408749999999</v>
      </c>
      <c r="N179" s="39">
        <v>14686.820478793767</v>
      </c>
      <c r="O179" s="41">
        <v>0.82</v>
      </c>
      <c r="P179" s="41">
        <v>0.71837861819080784</v>
      </c>
      <c r="Q179" s="261">
        <f t="shared" si="183"/>
        <v>0.71837861819080784</v>
      </c>
      <c r="R179" s="262">
        <f t="shared" si="184"/>
        <v>0</v>
      </c>
      <c r="S179" s="262">
        <f t="shared" si="185"/>
        <v>14591.245925117519</v>
      </c>
      <c r="T179" s="261">
        <f t="shared" si="186"/>
        <v>1.4320823841286532</v>
      </c>
      <c r="U179" s="267">
        <f t="shared" si="187"/>
        <v>0.99349249527396033</v>
      </c>
      <c r="V179" s="42" t="s">
        <v>297</v>
      </c>
      <c r="W179" s="199">
        <f>0.0966*W3</f>
        <v>0.121716</v>
      </c>
      <c r="X179" s="198"/>
      <c r="Y179" s="333">
        <v>0</v>
      </c>
      <c r="Z179" s="334">
        <f t="shared" si="230"/>
        <v>1582.8683768125202</v>
      </c>
      <c r="AA179" s="313">
        <f t="shared" si="231"/>
        <v>160.04341171224002</v>
      </c>
      <c r="AB179" s="313">
        <f t="shared" si="226"/>
        <v>0</v>
      </c>
      <c r="AC179" s="313">
        <f t="shared" si="227"/>
        <v>0</v>
      </c>
      <c r="AD179" s="313">
        <f t="shared" si="232"/>
        <v>66.359463392880002</v>
      </c>
      <c r="AE179" s="313">
        <f t="shared" si="233"/>
        <v>-5.8552467699600008</v>
      </c>
      <c r="AF179" s="313">
        <f t="shared" si="234"/>
        <v>1362.32074847736</v>
      </c>
      <c r="AG179" s="313" t="s">
        <v>38</v>
      </c>
      <c r="AH179" s="313">
        <v>0</v>
      </c>
      <c r="AI179" s="313">
        <f t="shared" si="228"/>
        <v>0</v>
      </c>
      <c r="AJ179" s="313">
        <f t="shared" si="229"/>
        <v>0</v>
      </c>
      <c r="AK179" s="313">
        <f t="shared" si="194"/>
        <v>1582.86837681252</v>
      </c>
      <c r="AL179" s="246" t="s">
        <v>462</v>
      </c>
      <c r="AM179" s="181" t="s">
        <v>366</v>
      </c>
      <c r="AN179" s="102" t="s">
        <v>38</v>
      </c>
      <c r="AO179" s="246" t="s">
        <v>429</v>
      </c>
      <c r="AP179" s="43" t="s">
        <v>121</v>
      </c>
      <c r="AQ179" s="44">
        <v>142.1850643533532</v>
      </c>
      <c r="AR179" s="45">
        <v>1198.1978361773693</v>
      </c>
      <c r="AS179" s="46">
        <v>142.1850643533532</v>
      </c>
      <c r="AT179" s="45">
        <v>1198.1978361773693</v>
      </c>
      <c r="AU179" s="393">
        <v>1097438.1172263494</v>
      </c>
      <c r="AV179" s="295">
        <f t="shared" si="195"/>
        <v>1090296.5334919631</v>
      </c>
      <c r="AW179" s="295">
        <f t="shared" si="168"/>
        <v>2187734.6507183127</v>
      </c>
      <c r="AX179" s="39">
        <v>1527659.773602644</v>
      </c>
      <c r="AY179" s="41">
        <v>91.125180516887824</v>
      </c>
      <c r="AZ179" s="39">
        <v>-430221.65637629456</v>
      </c>
      <c r="BA179" s="47">
        <v>0.71837861819080762</v>
      </c>
      <c r="BB179" s="41">
        <f t="shared" si="196"/>
        <v>1.432082384128653</v>
      </c>
      <c r="BC179" s="39">
        <v>656503.0478611961</v>
      </c>
      <c r="BD179" s="47">
        <v>1.6716420750850496</v>
      </c>
      <c r="BE179" s="46">
        <v>132.43647407568514</v>
      </c>
      <c r="BF179" s="45">
        <v>1116.046171165262</v>
      </c>
      <c r="BG179" s="46">
        <v>274.62153842903837</v>
      </c>
      <c r="BH179" s="45">
        <v>2314.2440073426314</v>
      </c>
      <c r="BI179" s="393">
        <v>1080761.39958597</v>
      </c>
      <c r="BJ179" s="295">
        <f t="shared" si="197"/>
        <v>1015542.8718854212</v>
      </c>
      <c r="BK179" s="295">
        <f t="shared" si="202"/>
        <v>2096304.2714713912</v>
      </c>
      <c r="BL179" s="39">
        <v>1422919.3123997925</v>
      </c>
      <c r="BM179" s="41">
        <v>84.877393149924984</v>
      </c>
      <c r="BN179" s="39">
        <v>-342157.91281382251</v>
      </c>
      <c r="BO179" s="47">
        <v>0.75953807792743788</v>
      </c>
      <c r="BP179" s="41">
        <f t="shared" si="171"/>
        <v>1.4732418438652832</v>
      </c>
      <c r="BQ179" s="39">
        <v>611491.43388650962</v>
      </c>
      <c r="BR179" s="47">
        <v>1.7674187072693401</v>
      </c>
      <c r="BS179" s="44">
        <v>135.98410467997931</v>
      </c>
      <c r="BT179" s="45">
        <v>1145.9421615279209</v>
      </c>
      <c r="BU179" s="46">
        <v>410.60564310901765</v>
      </c>
      <c r="BV179" s="45">
        <v>3460.1861688705521</v>
      </c>
      <c r="BW179" s="393">
        <v>1178546.0630213434</v>
      </c>
      <c r="BX179" s="295">
        <f t="shared" si="198"/>
        <v>1042746.6388040015</v>
      </c>
      <c r="BY179" s="295">
        <f t="shared" si="203"/>
        <v>2221292.7018253449</v>
      </c>
      <c r="BZ179" s="39">
        <v>1461035.6405136464</v>
      </c>
      <c r="CA179" s="41">
        <v>87.151038983921609</v>
      </c>
      <c r="CB179" s="39">
        <v>-282489.57749230298</v>
      </c>
      <c r="CC179" s="47">
        <v>0.80665113864505722</v>
      </c>
      <c r="CD179" s="41">
        <f t="shared" si="199"/>
        <v>1.5203549045829026</v>
      </c>
      <c r="CE179" s="39">
        <v>627871.70782735595</v>
      </c>
      <c r="CF179" s="47">
        <v>1.8770491620007901</v>
      </c>
      <c r="CV179" s="497">
        <f t="shared" si="235"/>
        <v>1951.7489233200001</v>
      </c>
      <c r="CW179" s="22">
        <v>368.88054650748001</v>
      </c>
    </row>
    <row r="180" spans="1:101" s="22" customFormat="1" ht="15" customHeight="1">
      <c r="A180" s="324" t="str">
        <f t="shared" si="182"/>
        <v>BNI- Direct Installation; Ground/Water Source Heat Pumps; COM-HVAC; Office</v>
      </c>
      <c r="B180" s="36" t="s">
        <v>122</v>
      </c>
      <c r="C180" s="15" t="s">
        <v>93</v>
      </c>
      <c r="D180" s="15" t="s">
        <v>64</v>
      </c>
      <c r="E180" s="37">
        <v>15</v>
      </c>
      <c r="F180" s="38">
        <v>1886.1213059321503</v>
      </c>
      <c r="G180" s="38">
        <v>256.99457724319404</v>
      </c>
      <c r="H180" s="39">
        <v>387.5</v>
      </c>
      <c r="I180" s="40">
        <v>0.70967741935483875</v>
      </c>
      <c r="J180" s="39">
        <v>235.76516324151879</v>
      </c>
      <c r="K180" s="39">
        <v>510.76516324151879</v>
      </c>
      <c r="L180" s="39">
        <v>112.5</v>
      </c>
      <c r="M180" s="39">
        <v>623.26516324151885</v>
      </c>
      <c r="N180" s="39">
        <v>1779.4809545106261</v>
      </c>
      <c r="O180" s="41">
        <v>0.82</v>
      </c>
      <c r="P180" s="41">
        <v>2.6361958616516206</v>
      </c>
      <c r="Q180" s="261">
        <f t="shared" si="183"/>
        <v>2.6361958616516206</v>
      </c>
      <c r="R180" s="262">
        <f t="shared" si="184"/>
        <v>0</v>
      </c>
      <c r="S180" s="262">
        <f t="shared" si="185"/>
        <v>1716.2704350759184</v>
      </c>
      <c r="T180" s="261">
        <f t="shared" si="186"/>
        <v>5.1787490746847</v>
      </c>
      <c r="U180" s="267">
        <f t="shared" si="187"/>
        <v>0.96447811409586526</v>
      </c>
      <c r="V180" s="42" t="s">
        <v>297</v>
      </c>
      <c r="W180" s="199">
        <f>0.0966*W3</f>
        <v>0.121716</v>
      </c>
      <c r="X180" s="198"/>
      <c r="Y180" s="333">
        <v>0</v>
      </c>
      <c r="Z180" s="334">
        <f t="shared" si="230"/>
        <v>186.18219524787131</v>
      </c>
      <c r="AA180" s="313">
        <f t="shared" si="231"/>
        <v>18.824833551572684</v>
      </c>
      <c r="AB180" s="313">
        <f t="shared" si="226"/>
        <v>0</v>
      </c>
      <c r="AC180" s="313">
        <f t="shared" si="227"/>
        <v>0</v>
      </c>
      <c r="AD180" s="313">
        <f t="shared" si="232"/>
        <v>7.8054187896764793</v>
      </c>
      <c r="AE180" s="313">
        <f t="shared" si="233"/>
        <v>-0.68871342261851287</v>
      </c>
      <c r="AF180" s="313">
        <f t="shared" si="234"/>
        <v>160.24065632924064</v>
      </c>
      <c r="AG180" s="313" t="s">
        <v>38</v>
      </c>
      <c r="AH180" s="313">
        <v>0</v>
      </c>
      <c r="AI180" s="313">
        <f t="shared" si="228"/>
        <v>0</v>
      </c>
      <c r="AJ180" s="313">
        <f t="shared" si="229"/>
        <v>0</v>
      </c>
      <c r="AK180" s="313">
        <f t="shared" si="194"/>
        <v>186.18219524787128</v>
      </c>
      <c r="AL180" s="246" t="s">
        <v>462</v>
      </c>
      <c r="AM180" s="181" t="s">
        <v>366</v>
      </c>
      <c r="AN180" s="102" t="s">
        <v>38</v>
      </c>
      <c r="AO180" s="246" t="s">
        <v>429</v>
      </c>
      <c r="AP180" s="43" t="s">
        <v>122</v>
      </c>
      <c r="AQ180" s="44">
        <v>0.54140367795682653</v>
      </c>
      <c r="AR180" s="45">
        <v>3.9734418642541303</v>
      </c>
      <c r="AS180" s="46">
        <v>0.54140367795682653</v>
      </c>
      <c r="AT180" s="45">
        <v>3.9734418642541303</v>
      </c>
      <c r="AU180" s="393">
        <v>3748.7854567238401</v>
      </c>
      <c r="AV180" s="295">
        <f t="shared" si="195"/>
        <v>3615.6215274510155</v>
      </c>
      <c r="AW180" s="295">
        <f t="shared" si="168"/>
        <v>7364.4069841748551</v>
      </c>
      <c r="AX180" s="39">
        <v>1422.043601257747</v>
      </c>
      <c r="AY180" s="41">
        <v>2.5691140833973098</v>
      </c>
      <c r="AZ180" s="39">
        <v>2326.7418554660931</v>
      </c>
      <c r="BA180" s="47">
        <v>2.6361958616516206</v>
      </c>
      <c r="BB180" s="41">
        <f t="shared" si="196"/>
        <v>5.1787490746846991</v>
      </c>
      <c r="BC180" s="39">
        <v>1312.2139741925118</v>
      </c>
      <c r="BD180" s="47">
        <v>2.8568400660652196</v>
      </c>
      <c r="BE180" s="46">
        <v>0.54912007932153695</v>
      </c>
      <c r="BF180" s="45">
        <v>4.0300736779492947</v>
      </c>
      <c r="BG180" s="46">
        <v>1.0905237572783635</v>
      </c>
      <c r="BH180" s="45">
        <v>8.0035155422034254</v>
      </c>
      <c r="BI180" s="393">
        <v>4026.5983700594693</v>
      </c>
      <c r="BJ180" s="295">
        <f t="shared" si="197"/>
        <v>3667.1534767609792</v>
      </c>
      <c r="BK180" s="295">
        <f t="shared" si="202"/>
        <v>7693.7518468204489</v>
      </c>
      <c r="BL180" s="39">
        <v>1442.3113970489271</v>
      </c>
      <c r="BM180" s="41">
        <v>2.605730597518598</v>
      </c>
      <c r="BN180" s="39">
        <v>2584.2869730105422</v>
      </c>
      <c r="BO180" s="47">
        <v>2.7917676989159061</v>
      </c>
      <c r="BP180" s="41">
        <f t="shared" si="171"/>
        <v>5.3343209119489856</v>
      </c>
      <c r="BQ180" s="39">
        <v>1330.916414005007</v>
      </c>
      <c r="BR180" s="47">
        <v>3.0254329480711633</v>
      </c>
      <c r="BS180" s="44">
        <v>0.56931478574035654</v>
      </c>
      <c r="BT180" s="45">
        <v>4.1782856225442817</v>
      </c>
      <c r="BU180" s="46">
        <v>1.6598385430187201</v>
      </c>
      <c r="BV180" s="45">
        <v>12.181801164747707</v>
      </c>
      <c r="BW180" s="393">
        <v>4439.9030688985004</v>
      </c>
      <c r="BX180" s="295">
        <f t="shared" si="198"/>
        <v>3802.0184919821354</v>
      </c>
      <c r="BY180" s="295">
        <f t="shared" si="203"/>
        <v>8241.9215608806353</v>
      </c>
      <c r="BZ180" s="39">
        <v>1495.3545406613562</v>
      </c>
      <c r="CA180" s="41">
        <v>2.7015602100296547</v>
      </c>
      <c r="CB180" s="39">
        <v>2944.5485282371442</v>
      </c>
      <c r="CC180" s="47">
        <v>2.9691306965469524</v>
      </c>
      <c r="CD180" s="41">
        <f t="shared" si="199"/>
        <v>5.5116839095800314</v>
      </c>
      <c r="CE180" s="39">
        <v>1379.8628416825882</v>
      </c>
      <c r="CF180" s="47">
        <v>3.2176408660186371</v>
      </c>
      <c r="CV180" s="497">
        <f t="shared" si="235"/>
        <v>229.57114087283762</v>
      </c>
      <c r="CW180" s="22">
        <v>43.388945624966311</v>
      </c>
    </row>
    <row r="181" spans="1:101" s="22" customFormat="1" ht="15" customHeight="1">
      <c r="A181" s="324" t="str">
        <f t="shared" si="182"/>
        <v>BNI- Direct Installation; Ground/Water Source Heat Pumps; COM-HVAC; Other Commercial</v>
      </c>
      <c r="B181" s="36" t="s">
        <v>122</v>
      </c>
      <c r="C181" s="15" t="s">
        <v>93</v>
      </c>
      <c r="D181" s="15" t="s">
        <v>54</v>
      </c>
      <c r="E181" s="37">
        <v>15</v>
      </c>
      <c r="F181" s="38">
        <v>1605.1577067109411</v>
      </c>
      <c r="G181" s="38">
        <v>211.03892638499158</v>
      </c>
      <c r="H181" s="39">
        <v>387.5</v>
      </c>
      <c r="I181" s="40">
        <v>0.70967741935483875</v>
      </c>
      <c r="J181" s="39">
        <v>200.64471333886763</v>
      </c>
      <c r="K181" s="39">
        <v>475.64471333886763</v>
      </c>
      <c r="L181" s="39">
        <v>112.5</v>
      </c>
      <c r="M181" s="39">
        <v>588.14471333886763</v>
      </c>
      <c r="N181" s="39">
        <v>1502.3840123220348</v>
      </c>
      <c r="O181" s="41">
        <v>0.82</v>
      </c>
      <c r="P181" s="41">
        <v>2.3764804277599878</v>
      </c>
      <c r="Q181" s="261">
        <f t="shared" si="183"/>
        <v>2.3764804277599878</v>
      </c>
      <c r="R181" s="262">
        <f t="shared" si="184"/>
        <v>0</v>
      </c>
      <c r="S181" s="262">
        <f t="shared" si="185"/>
        <v>1460.6084492008554</v>
      </c>
      <c r="T181" s="261">
        <f t="shared" si="186"/>
        <v>4.6868800084782851</v>
      </c>
      <c r="U181" s="267">
        <f t="shared" si="187"/>
        <v>0.97219381810605665</v>
      </c>
      <c r="V181" s="42" t="s">
        <v>297</v>
      </c>
      <c r="W181" s="199">
        <f>0.0966*W3</f>
        <v>0.121716</v>
      </c>
      <c r="X181" s="198"/>
      <c r="Y181" s="333">
        <v>0</v>
      </c>
      <c r="Z181" s="334">
        <f t="shared" si="230"/>
        <v>158.44780747375344</v>
      </c>
      <c r="AA181" s="313">
        <f t="shared" si="231"/>
        <v>16.020616785262373</v>
      </c>
      <c r="AB181" s="313">
        <f t="shared" si="226"/>
        <v>0</v>
      </c>
      <c r="AC181" s="313">
        <f t="shared" si="227"/>
        <v>0</v>
      </c>
      <c r="AD181" s="313">
        <f t="shared" si="232"/>
        <v>6.642694764620984</v>
      </c>
      <c r="AE181" s="313">
        <f t="shared" si="233"/>
        <v>-0.58612012629008681</v>
      </c>
      <c r="AF181" s="313">
        <f t="shared" si="234"/>
        <v>136.37061605016018</v>
      </c>
      <c r="AG181" s="313" t="s">
        <v>38</v>
      </c>
      <c r="AH181" s="313">
        <v>0</v>
      </c>
      <c r="AI181" s="313">
        <f t="shared" si="228"/>
        <v>0</v>
      </c>
      <c r="AJ181" s="313">
        <f t="shared" si="229"/>
        <v>0</v>
      </c>
      <c r="AK181" s="313">
        <f t="shared" si="194"/>
        <v>158.44780747375344</v>
      </c>
      <c r="AL181" s="246" t="s">
        <v>462</v>
      </c>
      <c r="AM181" s="181" t="s">
        <v>366</v>
      </c>
      <c r="AN181" s="102" t="s">
        <v>38</v>
      </c>
      <c r="AO181" s="246" t="s">
        <v>429</v>
      </c>
      <c r="AP181" s="43" t="s">
        <v>122</v>
      </c>
      <c r="AQ181" s="44">
        <v>0.60366795901406267</v>
      </c>
      <c r="AR181" s="45">
        <v>4.5914860035735954</v>
      </c>
      <c r="AS181" s="46">
        <v>0.60366795901406267</v>
      </c>
      <c r="AT181" s="45">
        <v>4.5914860035735954</v>
      </c>
      <c r="AU181" s="393">
        <v>4297.506180065081</v>
      </c>
      <c r="AV181" s="295">
        <f t="shared" si="195"/>
        <v>4178.0089415318444</v>
      </c>
      <c r="AW181" s="295">
        <f t="shared" si="168"/>
        <v>8475.5151215969254</v>
      </c>
      <c r="AX181" s="39">
        <v>1808.3490736407221</v>
      </c>
      <c r="AY181" s="41">
        <v>3.488363262799381</v>
      </c>
      <c r="AZ181" s="39">
        <v>2489.157106424359</v>
      </c>
      <c r="BA181" s="47">
        <v>2.3764804277599878</v>
      </c>
      <c r="BB181" s="41">
        <f t="shared" si="196"/>
        <v>4.6868800084782842</v>
      </c>
      <c r="BC181" s="39">
        <v>1659.2215441560486</v>
      </c>
      <c r="BD181" s="47">
        <v>2.5900737579025215</v>
      </c>
      <c r="BE181" s="46">
        <v>0.61263608026863414</v>
      </c>
      <c r="BF181" s="45">
        <v>4.6596973482438804</v>
      </c>
      <c r="BG181" s="46">
        <v>1.2163040392826969</v>
      </c>
      <c r="BH181" s="45">
        <v>9.2511833518174758</v>
      </c>
      <c r="BI181" s="393">
        <v>4616.7363375493596</v>
      </c>
      <c r="BJ181" s="295">
        <f t="shared" si="197"/>
        <v>4240.0776503822153</v>
      </c>
      <c r="BK181" s="295">
        <f t="shared" si="202"/>
        <v>8856.813987931575</v>
      </c>
      <c r="BL181" s="39">
        <v>1835.2139975129271</v>
      </c>
      <c r="BM181" s="41">
        <v>3.5401865611103798</v>
      </c>
      <c r="BN181" s="39">
        <v>2781.5223400364325</v>
      </c>
      <c r="BO181" s="47">
        <v>2.515639235427551</v>
      </c>
      <c r="BP181" s="41">
        <f t="shared" si="171"/>
        <v>4.8260388161458474</v>
      </c>
      <c r="BQ181" s="39">
        <v>1683.8710220254582</v>
      </c>
      <c r="BR181" s="47">
        <v>2.7417398821888868</v>
      </c>
      <c r="BS181" s="44">
        <v>0.6355334499963522</v>
      </c>
      <c r="BT181" s="45">
        <v>4.8338542685402217</v>
      </c>
      <c r="BU181" s="46">
        <v>1.851837489279049</v>
      </c>
      <c r="BV181" s="45">
        <v>14.085037620357697</v>
      </c>
      <c r="BW181" s="393">
        <v>5091.6435951220583</v>
      </c>
      <c r="BX181" s="295">
        <f t="shared" si="198"/>
        <v>4398.551218560674</v>
      </c>
      <c r="BY181" s="295">
        <f t="shared" si="203"/>
        <v>9490.1948136827323</v>
      </c>
      <c r="BZ181" s="39">
        <v>1903.8054089298171</v>
      </c>
      <c r="CA181" s="41">
        <v>3.6725015898943498</v>
      </c>
      <c r="CB181" s="39">
        <v>3187.8381861922412</v>
      </c>
      <c r="CC181" s="47">
        <v>2.6744558930443501</v>
      </c>
      <c r="CD181" s="41">
        <f t="shared" si="199"/>
        <v>4.9848554737626465</v>
      </c>
      <c r="CE181" s="39">
        <v>1746.8059659618339</v>
      </c>
      <c r="CF181" s="47">
        <v>2.9148306648463245</v>
      </c>
      <c r="CV181" s="497">
        <f t="shared" si="235"/>
        <v>195.37337543002891</v>
      </c>
      <c r="CW181" s="22">
        <v>36.925567956275465</v>
      </c>
    </row>
    <row r="182" spans="1:101" s="22" customFormat="1" ht="15" customHeight="1">
      <c r="A182" s="324" t="str">
        <f t="shared" si="182"/>
        <v>BNI- Direct Installation; Ground/Water Source Heat Pumps; COM-HVAC; Retail</v>
      </c>
      <c r="B182" s="36" t="s">
        <v>122</v>
      </c>
      <c r="C182" s="15" t="s">
        <v>93</v>
      </c>
      <c r="D182" s="15" t="s">
        <v>28</v>
      </c>
      <c r="E182" s="37">
        <v>15</v>
      </c>
      <c r="F182" s="38">
        <v>1843.8246899361666</v>
      </c>
      <c r="G182" s="38">
        <v>223.41558234033499</v>
      </c>
      <c r="H182" s="39">
        <v>387.5</v>
      </c>
      <c r="I182" s="40">
        <v>0.70967741935483875</v>
      </c>
      <c r="J182" s="39">
        <v>230.47808624202082</v>
      </c>
      <c r="K182" s="39">
        <v>505.47808624202082</v>
      </c>
      <c r="L182" s="39">
        <v>112.5</v>
      </c>
      <c r="M182" s="39">
        <v>617.97808624202082</v>
      </c>
      <c r="N182" s="39">
        <v>1696.0042060563483</v>
      </c>
      <c r="O182" s="41">
        <v>0.82</v>
      </c>
      <c r="P182" s="41">
        <v>2.5367606729149892</v>
      </c>
      <c r="Q182" s="261">
        <f t="shared" si="183"/>
        <v>2.5367606729149892</v>
      </c>
      <c r="R182" s="262">
        <f t="shared" si="184"/>
        <v>0</v>
      </c>
      <c r="S182" s="262">
        <f t="shared" si="185"/>
        <v>1677.782755991147</v>
      </c>
      <c r="T182" s="261">
        <f t="shared" si="186"/>
        <v>5.0462670160566061</v>
      </c>
      <c r="U182" s="267">
        <f t="shared" si="187"/>
        <v>0.98925624712478122</v>
      </c>
      <c r="V182" s="42" t="s">
        <v>297</v>
      </c>
      <c r="W182" s="199">
        <f>0.0966*W3</f>
        <v>0.121716</v>
      </c>
      <c r="X182" s="198"/>
      <c r="Y182" s="333">
        <v>0</v>
      </c>
      <c r="Z182" s="334">
        <f t="shared" si="230"/>
        <v>182.00702539377934</v>
      </c>
      <c r="AA182" s="313">
        <f t="shared" si="231"/>
        <v>18.402683208742179</v>
      </c>
      <c r="AB182" s="313">
        <f t="shared" si="226"/>
        <v>0</v>
      </c>
      <c r="AC182" s="313">
        <f t="shared" si="227"/>
        <v>0</v>
      </c>
      <c r="AD182" s="313">
        <f t="shared" si="232"/>
        <v>7.6303808426491964</v>
      </c>
      <c r="AE182" s="313">
        <f t="shared" si="233"/>
        <v>-0.67326889788081135</v>
      </c>
      <c r="AF182" s="313">
        <f t="shared" si="234"/>
        <v>156.64723024026878</v>
      </c>
      <c r="AG182" s="313" t="s">
        <v>38</v>
      </c>
      <c r="AH182" s="313">
        <v>0</v>
      </c>
      <c r="AI182" s="313">
        <f t="shared" si="228"/>
        <v>0</v>
      </c>
      <c r="AJ182" s="313">
        <f t="shared" si="229"/>
        <v>0</v>
      </c>
      <c r="AK182" s="313">
        <f t="shared" si="194"/>
        <v>182.00702539377934</v>
      </c>
      <c r="AL182" s="246" t="s">
        <v>462</v>
      </c>
      <c r="AM182" s="181" t="s">
        <v>366</v>
      </c>
      <c r="AN182" s="102" t="s">
        <v>38</v>
      </c>
      <c r="AO182" s="246" t="s">
        <v>429</v>
      </c>
      <c r="AP182" s="43" t="s">
        <v>122</v>
      </c>
      <c r="AQ182" s="44">
        <v>0.91364967806166075</v>
      </c>
      <c r="AR182" s="45">
        <v>7.5402521915239928</v>
      </c>
      <c r="AS182" s="46">
        <v>0.91364967806166075</v>
      </c>
      <c r="AT182" s="45">
        <v>7.5402521915239928</v>
      </c>
      <c r="AU182" s="393">
        <v>6935.7458446838682</v>
      </c>
      <c r="AV182" s="295">
        <f t="shared" si="195"/>
        <v>6861.2299053232582</v>
      </c>
      <c r="AW182" s="295">
        <f t="shared" si="168"/>
        <v>13796.975750007126</v>
      </c>
      <c r="AX182" s="39">
        <v>2734.0954622707904</v>
      </c>
      <c r="AY182" s="41">
        <v>4.9871495658173854</v>
      </c>
      <c r="AZ182" s="39">
        <v>4201.6503824130778</v>
      </c>
      <c r="BA182" s="47">
        <v>2.5367606729149887</v>
      </c>
      <c r="BB182" s="41">
        <f t="shared" si="196"/>
        <v>5.0462670160566052</v>
      </c>
      <c r="BC182" s="39">
        <v>2520.8948183320972</v>
      </c>
      <c r="BD182" s="47">
        <v>2.7513031461077677</v>
      </c>
      <c r="BE182" s="46">
        <v>0.92676688687147035</v>
      </c>
      <c r="BF182" s="45">
        <v>7.6485071002157792</v>
      </c>
      <c r="BG182" s="46">
        <v>1.840416564933131</v>
      </c>
      <c r="BH182" s="45">
        <v>15.188759291739771</v>
      </c>
      <c r="BI182" s="393">
        <v>7440.1758030653791</v>
      </c>
      <c r="BJ182" s="295">
        <f t="shared" si="197"/>
        <v>6959.7361353601082</v>
      </c>
      <c r="BK182" s="295">
        <f t="shared" si="202"/>
        <v>14399.911938425488</v>
      </c>
      <c r="BL182" s="39">
        <v>2773.3486924154613</v>
      </c>
      <c r="BM182" s="41">
        <v>5.058749746708779</v>
      </c>
      <c r="BN182" s="39">
        <v>4666.8271106499178</v>
      </c>
      <c r="BO182" s="47">
        <v>2.682740840851614</v>
      </c>
      <c r="BP182" s="41">
        <f t="shared" si="171"/>
        <v>5.1922471839932314</v>
      </c>
      <c r="BQ182" s="39">
        <v>2557.0871407436612</v>
      </c>
      <c r="BR182" s="47">
        <v>2.9096293530699158</v>
      </c>
      <c r="BS182" s="44">
        <v>0.96094110773554486</v>
      </c>
      <c r="BT182" s="45">
        <v>7.9305432569084022</v>
      </c>
      <c r="BU182" s="46">
        <v>2.8013576726686757</v>
      </c>
      <c r="BV182" s="45">
        <v>23.119302548648172</v>
      </c>
      <c r="BW182" s="393">
        <v>8194.7453694698052</v>
      </c>
      <c r="BX182" s="295">
        <f t="shared" si="198"/>
        <v>7216.3740916949273</v>
      </c>
      <c r="BY182" s="295">
        <f t="shared" si="203"/>
        <v>15411.119461164733</v>
      </c>
      <c r="BZ182" s="39">
        <v>2875.6150034914231</v>
      </c>
      <c r="CA182" s="41">
        <v>5.2452894619155899</v>
      </c>
      <c r="CB182" s="39">
        <v>5319.1303659783825</v>
      </c>
      <c r="CC182" s="47">
        <v>2.8497366161743378</v>
      </c>
      <c r="CD182" s="41">
        <f t="shared" si="199"/>
        <v>5.3592429593159547</v>
      </c>
      <c r="CE182" s="39">
        <v>2651.3788789945315</v>
      </c>
      <c r="CF182" s="47">
        <v>3.0907485287721141</v>
      </c>
      <c r="CV182" s="497">
        <f t="shared" si="235"/>
        <v>224.42296596027046</v>
      </c>
      <c r="CW182" s="22">
        <v>42.415940566491116</v>
      </c>
    </row>
    <row r="183" spans="1:101" s="22" customFormat="1" ht="15" customHeight="1">
      <c r="A183" s="324" t="str">
        <f t="shared" si="182"/>
        <v>BNI- Direct Installation; Ground/Water Source Heat Pumps; COM-HVAC; School</v>
      </c>
      <c r="B183" s="36" t="s">
        <v>122</v>
      </c>
      <c r="C183" s="15" t="s">
        <v>93</v>
      </c>
      <c r="D183" s="15" t="s">
        <v>57</v>
      </c>
      <c r="E183" s="37">
        <v>15</v>
      </c>
      <c r="F183" s="38">
        <v>1853.5346684589399</v>
      </c>
      <c r="G183" s="38">
        <v>219.95111171023095</v>
      </c>
      <c r="H183" s="39">
        <v>387.5</v>
      </c>
      <c r="I183" s="40">
        <v>0.70967741935483875</v>
      </c>
      <c r="J183" s="39">
        <v>231.69183355736749</v>
      </c>
      <c r="K183" s="39">
        <v>506.69183355736749</v>
      </c>
      <c r="L183" s="39">
        <v>112.5</v>
      </c>
      <c r="M183" s="39">
        <v>619.19183355736754</v>
      </c>
      <c r="N183" s="39">
        <v>1697.6658906820385</v>
      </c>
      <c r="O183" s="41">
        <v>0.82</v>
      </c>
      <c r="P183" s="41">
        <v>2.5336367661453703</v>
      </c>
      <c r="Q183" s="261">
        <f t="shared" si="183"/>
        <v>2.5336367661453703</v>
      </c>
      <c r="R183" s="262">
        <f t="shared" si="184"/>
        <v>0</v>
      </c>
      <c r="S183" s="262">
        <f t="shared" si="185"/>
        <v>1686.6183218751887</v>
      </c>
      <c r="T183" s="261">
        <f t="shared" si="186"/>
        <v>5.0507858790609808</v>
      </c>
      <c r="U183" s="267">
        <f t="shared" si="187"/>
        <v>0.99349249527396</v>
      </c>
      <c r="V183" s="42" t="s">
        <v>297</v>
      </c>
      <c r="W183" s="199">
        <f>0.0966*W3</f>
        <v>0.121716</v>
      </c>
      <c r="X183" s="198"/>
      <c r="Y183" s="333">
        <v>0</v>
      </c>
      <c r="Z183" s="334">
        <f t="shared" si="230"/>
        <v>182.96551364768629</v>
      </c>
      <c r="AA183" s="313">
        <f t="shared" si="231"/>
        <v>18.499595707904167</v>
      </c>
      <c r="AB183" s="313">
        <f t="shared" si="226"/>
        <v>0</v>
      </c>
      <c r="AC183" s="313">
        <f t="shared" si="227"/>
        <v>0</v>
      </c>
      <c r="AD183" s="313">
        <f t="shared" si="232"/>
        <v>7.6705640740090439</v>
      </c>
      <c r="AE183" s="313">
        <f t="shared" si="233"/>
        <v>-0.676814477118445</v>
      </c>
      <c r="AF183" s="313">
        <f t="shared" si="234"/>
        <v>157.47216834289154</v>
      </c>
      <c r="AG183" s="313" t="s">
        <v>38</v>
      </c>
      <c r="AH183" s="313">
        <v>0</v>
      </c>
      <c r="AI183" s="313">
        <f t="shared" si="228"/>
        <v>0</v>
      </c>
      <c r="AJ183" s="313">
        <f t="shared" si="229"/>
        <v>0</v>
      </c>
      <c r="AK183" s="313">
        <f t="shared" si="194"/>
        <v>182.96551364768629</v>
      </c>
      <c r="AL183" s="246" t="s">
        <v>462</v>
      </c>
      <c r="AM183" s="181" t="s">
        <v>366</v>
      </c>
      <c r="AN183" s="102" t="s">
        <v>38</v>
      </c>
      <c r="AO183" s="246" t="s">
        <v>429</v>
      </c>
      <c r="AP183" s="43" t="s">
        <v>122</v>
      </c>
      <c r="AQ183" s="44">
        <v>0.89650715030142858</v>
      </c>
      <c r="AR183" s="45">
        <v>7.5548928608926591</v>
      </c>
      <c r="AS183" s="46">
        <v>0.89650715030142858</v>
      </c>
      <c r="AT183" s="45">
        <v>7.5548928608926591</v>
      </c>
      <c r="AU183" s="393">
        <v>6919.5813468966289</v>
      </c>
      <c r="AV183" s="295">
        <f t="shared" si="195"/>
        <v>6874.5521385794837</v>
      </c>
      <c r="AW183" s="295">
        <f t="shared" si="168"/>
        <v>13794.133485476112</v>
      </c>
      <c r="AX183" s="39">
        <v>2731.086570638915</v>
      </c>
      <c r="AY183" s="41">
        <v>4.9706564077155599</v>
      </c>
      <c r="AZ183" s="39">
        <v>4188.494776257714</v>
      </c>
      <c r="BA183" s="47">
        <v>2.5336367661453698</v>
      </c>
      <c r="BB183" s="41">
        <f t="shared" si="196"/>
        <v>5.0507858790609808</v>
      </c>
      <c r="BC183" s="39">
        <v>2518.5910092090744</v>
      </c>
      <c r="BD183" s="47">
        <v>2.747401750262588</v>
      </c>
      <c r="BE183" s="46">
        <v>0.90935707488656248</v>
      </c>
      <c r="BF183" s="45">
        <v>7.6631795638805782</v>
      </c>
      <c r="BG183" s="46">
        <v>1.8058642251879911</v>
      </c>
      <c r="BH183" s="45">
        <v>15.218072424773236</v>
      </c>
      <c r="BI183" s="393">
        <v>7420.9014687007812</v>
      </c>
      <c r="BJ183" s="295">
        <f t="shared" si="197"/>
        <v>6973.0872997409033</v>
      </c>
      <c r="BK183" s="295">
        <f t="shared" si="202"/>
        <v>14393.988768441684</v>
      </c>
      <c r="BL183" s="39">
        <v>2770.2321105895799</v>
      </c>
      <c r="BM183" s="41">
        <v>5.0419024205959717</v>
      </c>
      <c r="BN183" s="39">
        <v>4650.6693581112013</v>
      </c>
      <c r="BO183" s="47">
        <v>2.6788013323264144</v>
      </c>
      <c r="BP183" s="41">
        <f t="shared" si="171"/>
        <v>5.1959504452420262</v>
      </c>
      <c r="BQ183" s="39">
        <v>2554.6907821091027</v>
      </c>
      <c r="BR183" s="47">
        <v>2.9048139683559784</v>
      </c>
      <c r="BS183" s="44">
        <v>0.9428689967913223</v>
      </c>
      <c r="BT183" s="45">
        <v>7.9455855429828501</v>
      </c>
      <c r="BU183" s="46">
        <v>2.7487332219793132</v>
      </c>
      <c r="BV183" s="45">
        <v>23.163657967756087</v>
      </c>
      <c r="BW183" s="393">
        <v>8171.6502581562272</v>
      </c>
      <c r="BX183" s="295">
        <f t="shared" si="198"/>
        <v>7230.0617748700943</v>
      </c>
      <c r="BY183" s="295">
        <f t="shared" si="203"/>
        <v>15401.712033026321</v>
      </c>
      <c r="BZ183" s="39">
        <v>2872.321602948472</v>
      </c>
      <c r="CA183" s="41">
        <v>5.2277082441131082</v>
      </c>
      <c r="CB183" s="39">
        <v>5299.3286552077552</v>
      </c>
      <c r="CC183" s="47">
        <v>2.8449635478728887</v>
      </c>
      <c r="CD183" s="41">
        <f t="shared" si="199"/>
        <v>5.3621126607885001</v>
      </c>
      <c r="CE183" s="39">
        <v>2648.8370755126371</v>
      </c>
      <c r="CF183" s="47">
        <v>3.084995424482551</v>
      </c>
      <c r="CV183" s="497">
        <f t="shared" si="235"/>
        <v>225.60482570614835</v>
      </c>
      <c r="CW183" s="22">
        <v>42.639312058462039</v>
      </c>
    </row>
    <row r="184" spans="1:101" s="22" customFormat="1" ht="15" customHeight="1">
      <c r="A184" s="324" t="str">
        <f t="shared" si="182"/>
        <v>BNI- Direct Installation; Faucet Aerator; COM-Other; Office</v>
      </c>
      <c r="B184" s="108" t="s">
        <v>123</v>
      </c>
      <c r="C184" s="15" t="s">
        <v>27</v>
      </c>
      <c r="D184" s="15" t="s">
        <v>64</v>
      </c>
      <c r="E184" s="37">
        <v>10</v>
      </c>
      <c r="F184" s="38">
        <v>197.27970000000002</v>
      </c>
      <c r="G184" s="38">
        <v>22.520535225357275</v>
      </c>
      <c r="H184" s="39">
        <v>5</v>
      </c>
      <c r="I184" s="40">
        <v>0.75</v>
      </c>
      <c r="J184" s="39">
        <v>24.659962500000002</v>
      </c>
      <c r="K184" s="39">
        <v>28.409962500000002</v>
      </c>
      <c r="L184" s="39">
        <v>1.25</v>
      </c>
      <c r="M184" s="39">
        <v>29.659962500000002</v>
      </c>
      <c r="N184" s="39">
        <v>125.41736182987613</v>
      </c>
      <c r="O184" s="41">
        <v>0.82</v>
      </c>
      <c r="P184" s="41">
        <v>3.5758821556355791</v>
      </c>
      <c r="Q184" s="261">
        <f t="shared" si="183"/>
        <v>3.5758821556355791</v>
      </c>
      <c r="R184" s="262">
        <f t="shared" si="184"/>
        <v>0</v>
      </c>
      <c r="S184" s="262">
        <f t="shared" si="185"/>
        <v>399.66051417827845</v>
      </c>
      <c r="T184" s="261">
        <f t="shared" si="186"/>
        <v>14.970946444269067</v>
      </c>
      <c r="U184" s="267">
        <f t="shared" si="187"/>
        <v>3.1866442440433622</v>
      </c>
      <c r="V184" s="42" t="s">
        <v>186</v>
      </c>
      <c r="W184" s="198" t="s">
        <v>186</v>
      </c>
      <c r="X184" s="209">
        <f>5460/264.172</f>
        <v>20.668352437048586</v>
      </c>
      <c r="Y184" s="333">
        <v>0</v>
      </c>
      <c r="Z184" s="334">
        <f>(X184*Z3)</f>
        <v>56.403933800705595</v>
      </c>
      <c r="AA184" s="288">
        <f t="shared" ref="AA184:AA191" si="236">Z184*0.01</f>
        <v>0.56403933800705597</v>
      </c>
      <c r="AB184" s="288">
        <f t="shared" si="226"/>
        <v>0</v>
      </c>
      <c r="AC184" s="288">
        <f t="shared" ref="AC184:AC191" si="237">AA184*0</f>
        <v>0</v>
      </c>
      <c r="AD184" s="288">
        <f t="shared" ref="AD184:AD191" si="238">AB184*0</f>
        <v>0</v>
      </c>
      <c r="AE184" s="288">
        <f t="shared" ref="AE184:AE191" si="239">AC184*0</f>
        <v>0</v>
      </c>
      <c r="AF184" s="288">
        <f t="shared" ref="AF184:AF191" si="240">Z184*0.99</f>
        <v>55.839894462698538</v>
      </c>
      <c r="AG184" s="288" t="s">
        <v>38</v>
      </c>
      <c r="AH184" s="288">
        <f t="shared" ref="AH184:AH191" si="241">AE184*0</f>
        <v>0</v>
      </c>
      <c r="AI184" s="288">
        <f t="shared" ref="AI184:AI191" si="242">AF184*0</f>
        <v>0</v>
      </c>
      <c r="AJ184" s="288">
        <f t="shared" ref="AJ184:AJ191" si="243">AH184*0</f>
        <v>0</v>
      </c>
      <c r="AK184" s="288">
        <f t="shared" si="194"/>
        <v>56.403933800705595</v>
      </c>
      <c r="AL184" s="246" t="s">
        <v>463</v>
      </c>
      <c r="AM184" s="234" t="s">
        <v>410</v>
      </c>
      <c r="AN184" s="102" t="s">
        <v>186</v>
      </c>
      <c r="AO184" s="246" t="s">
        <v>427</v>
      </c>
      <c r="AP184" s="43" t="s">
        <v>123</v>
      </c>
      <c r="AQ184" s="44">
        <v>9.7539248806653465</v>
      </c>
      <c r="AR184" s="45">
        <v>85.444300280819306</v>
      </c>
      <c r="AS184" s="46">
        <v>9.7539248806653465</v>
      </c>
      <c r="AT184" s="45">
        <v>85.444300280819306</v>
      </c>
      <c r="AU184" s="393">
        <v>54319.824719016222</v>
      </c>
      <c r="AV184" s="295">
        <f t="shared" si="195"/>
        <v>173097.95677829735</v>
      </c>
      <c r="AW184" s="295">
        <f t="shared" si="168"/>
        <v>227417.78149731358</v>
      </c>
      <c r="AX184" s="39">
        <v>15190.608178574434</v>
      </c>
      <c r="AY184" s="41">
        <v>528.18595220958423</v>
      </c>
      <c r="AZ184" s="39">
        <v>39129.21654044179</v>
      </c>
      <c r="BA184" s="47">
        <v>3.5758821556355804</v>
      </c>
      <c r="BB184" s="41">
        <f t="shared" si="196"/>
        <v>14.970946444269071</v>
      </c>
      <c r="BC184" s="39">
        <v>15005.743095301079</v>
      </c>
      <c r="BD184" s="47">
        <v>3.6199356722311213</v>
      </c>
      <c r="BE184" s="46">
        <v>9.0424252340047406</v>
      </c>
      <c r="BF184" s="45">
        <v>79.211569333765013</v>
      </c>
      <c r="BG184" s="46">
        <v>18.796350114670087</v>
      </c>
      <c r="BH184" s="45">
        <v>164.65586961458433</v>
      </c>
      <c r="BI184" s="393">
        <v>53634.921561624047</v>
      </c>
      <c r="BJ184" s="295">
        <f t="shared" si="197"/>
        <v>160471.33348641996</v>
      </c>
      <c r="BK184" s="295">
        <f t="shared" si="202"/>
        <v>214106.255048044</v>
      </c>
      <c r="BL184" s="39">
        <v>14082.529893797015</v>
      </c>
      <c r="BM184" s="41">
        <v>489.6574497896865</v>
      </c>
      <c r="BN184" s="39">
        <v>39552.391667827033</v>
      </c>
      <c r="BO184" s="47">
        <v>3.8086140747514992</v>
      </c>
      <c r="BP184" s="41">
        <f t="shared" si="171"/>
        <v>15.20367836338499</v>
      </c>
      <c r="BQ184" s="39">
        <v>13911.149786370624</v>
      </c>
      <c r="BR184" s="47">
        <v>3.8555347606257953</v>
      </c>
      <c r="BS184" s="44">
        <v>8.4847275213595061</v>
      </c>
      <c r="BT184" s="45">
        <v>74.326142040835634</v>
      </c>
      <c r="BU184" s="46">
        <v>27.281077636029593</v>
      </c>
      <c r="BV184" s="45">
        <v>238.98201165541997</v>
      </c>
      <c r="BW184" s="393">
        <v>53856.768743150766</v>
      </c>
      <c r="BX184" s="295">
        <f t="shared" si="198"/>
        <v>150574.15509516757</v>
      </c>
      <c r="BY184" s="295">
        <f t="shared" si="203"/>
        <v>204430.92383831833</v>
      </c>
      <c r="BZ184" s="39">
        <v>13213.980305961451</v>
      </c>
      <c r="CA184" s="41">
        <v>459.45749428433544</v>
      </c>
      <c r="CB184" s="39">
        <v>40642.788437189316</v>
      </c>
      <c r="CC184" s="47">
        <v>4.0757415628093092</v>
      </c>
      <c r="CD184" s="41">
        <f t="shared" si="199"/>
        <v>15.470805851442799</v>
      </c>
      <c r="CE184" s="39">
        <v>13053.170182961934</v>
      </c>
      <c r="CF184" s="47">
        <v>4.1259531583713684</v>
      </c>
    </row>
    <row r="185" spans="1:101" s="22" customFormat="1" ht="15" customHeight="1">
      <c r="A185" s="324" t="str">
        <f t="shared" si="182"/>
        <v>BNI- Direct Installation; Faucet Aerator; COM-Other; Other Commercial</v>
      </c>
      <c r="B185" s="108" t="s">
        <v>123</v>
      </c>
      <c r="C185" s="15" t="s">
        <v>27</v>
      </c>
      <c r="D185" s="15" t="s">
        <v>54</v>
      </c>
      <c r="E185" s="37">
        <v>10</v>
      </c>
      <c r="F185" s="38">
        <v>197.27970000000002</v>
      </c>
      <c r="G185" s="38">
        <v>22.520535225357275</v>
      </c>
      <c r="H185" s="39">
        <v>5</v>
      </c>
      <c r="I185" s="40">
        <v>0.75</v>
      </c>
      <c r="J185" s="39">
        <v>24.659962500000002</v>
      </c>
      <c r="K185" s="39">
        <v>28.409962500000002</v>
      </c>
      <c r="L185" s="39">
        <v>1.25</v>
      </c>
      <c r="M185" s="39">
        <v>29.659962500000002</v>
      </c>
      <c r="N185" s="39">
        <v>125.41736182987613</v>
      </c>
      <c r="O185" s="41">
        <v>0.82</v>
      </c>
      <c r="P185" s="41">
        <v>3.5758821556355791</v>
      </c>
      <c r="Q185" s="261">
        <f t="shared" si="183"/>
        <v>3.5758821556355791</v>
      </c>
      <c r="R185" s="262">
        <f t="shared" si="184"/>
        <v>0</v>
      </c>
      <c r="S185" s="262">
        <f t="shared" si="185"/>
        <v>399.66051417827845</v>
      </c>
      <c r="T185" s="261">
        <f t="shared" si="186"/>
        <v>14.970946444269067</v>
      </c>
      <c r="U185" s="267">
        <f t="shared" si="187"/>
        <v>3.1866442440433622</v>
      </c>
      <c r="V185" s="42" t="s">
        <v>186</v>
      </c>
      <c r="W185" s="198" t="s">
        <v>186</v>
      </c>
      <c r="X185" s="209">
        <f>5460/264.172</f>
        <v>20.668352437048586</v>
      </c>
      <c r="Y185" s="333">
        <v>0</v>
      </c>
      <c r="Z185" s="334">
        <f>(X185*Z3)</f>
        <v>56.403933800705595</v>
      </c>
      <c r="AA185" s="288">
        <f t="shared" si="236"/>
        <v>0.56403933800705597</v>
      </c>
      <c r="AB185" s="288">
        <f t="shared" si="226"/>
        <v>0</v>
      </c>
      <c r="AC185" s="288">
        <f t="shared" si="237"/>
        <v>0</v>
      </c>
      <c r="AD185" s="288">
        <f t="shared" si="238"/>
        <v>0</v>
      </c>
      <c r="AE185" s="288">
        <f t="shared" si="239"/>
        <v>0</v>
      </c>
      <c r="AF185" s="288">
        <f t="shared" si="240"/>
        <v>55.839894462698538</v>
      </c>
      <c r="AG185" s="288" t="s">
        <v>38</v>
      </c>
      <c r="AH185" s="288">
        <f t="shared" si="241"/>
        <v>0</v>
      </c>
      <c r="AI185" s="288">
        <f t="shared" si="242"/>
        <v>0</v>
      </c>
      <c r="AJ185" s="288">
        <f t="shared" si="243"/>
        <v>0</v>
      </c>
      <c r="AK185" s="288">
        <f t="shared" si="194"/>
        <v>56.403933800705595</v>
      </c>
      <c r="AL185" s="246" t="s">
        <v>463</v>
      </c>
      <c r="AM185" s="234" t="s">
        <v>410</v>
      </c>
      <c r="AN185" s="102" t="s">
        <v>186</v>
      </c>
      <c r="AO185" s="246" t="s">
        <v>427</v>
      </c>
      <c r="AP185" s="43" t="s">
        <v>123</v>
      </c>
      <c r="AQ185" s="44">
        <v>13.231559082548493</v>
      </c>
      <c r="AR185" s="45">
        <v>115.90834676958842</v>
      </c>
      <c r="AS185" s="46">
        <v>13.231559082548493</v>
      </c>
      <c r="AT185" s="45">
        <v>115.90834676958842</v>
      </c>
      <c r="AU185" s="393">
        <v>73686.846978701942</v>
      </c>
      <c r="AV185" s="295">
        <f t="shared" si="195"/>
        <v>234813.76678638454</v>
      </c>
      <c r="AW185" s="295">
        <f t="shared" si="168"/>
        <v>308500.61376508651</v>
      </c>
      <c r="AX185" s="39">
        <v>20606.620624388222</v>
      </c>
      <c r="AY185" s="41">
        <v>716.50373759660567</v>
      </c>
      <c r="AZ185" s="39">
        <v>53080.226354313723</v>
      </c>
      <c r="BA185" s="47">
        <v>3.5758821556355791</v>
      </c>
      <c r="BB185" s="41">
        <f t="shared" si="196"/>
        <v>14.970946444269069</v>
      </c>
      <c r="BC185" s="39">
        <v>20355.84431622941</v>
      </c>
      <c r="BD185" s="47">
        <v>3.6199356722311204</v>
      </c>
      <c r="BE185" s="46">
        <v>12.266383552986694</v>
      </c>
      <c r="BF185" s="45">
        <v>107.45341721245698</v>
      </c>
      <c r="BG185" s="46">
        <v>25.497942635535185</v>
      </c>
      <c r="BH185" s="45">
        <v>223.3617639820454</v>
      </c>
      <c r="BI185" s="393">
        <v>72757.750568412564</v>
      </c>
      <c r="BJ185" s="295">
        <f t="shared" si="197"/>
        <v>217685.28628816665</v>
      </c>
      <c r="BK185" s="295">
        <f t="shared" si="202"/>
        <v>290443.03685657925</v>
      </c>
      <c r="BL185" s="39">
        <v>19103.471535944424</v>
      </c>
      <c r="BM185" s="41">
        <v>664.23840211698553</v>
      </c>
      <c r="BN185" s="39">
        <v>53654.279032468141</v>
      </c>
      <c r="BO185" s="47">
        <v>3.8086140747514987</v>
      </c>
      <c r="BP185" s="41">
        <f t="shared" si="171"/>
        <v>15.20367836338499</v>
      </c>
      <c r="BQ185" s="39">
        <v>18870.98809520348</v>
      </c>
      <c r="BR185" s="47">
        <v>3.8555347606257944</v>
      </c>
      <c r="BS185" s="44">
        <v>11.509846023187285</v>
      </c>
      <c r="BT185" s="45">
        <v>100.82615478622836</v>
      </c>
      <c r="BU185" s="46">
        <v>37.007788658722475</v>
      </c>
      <c r="BV185" s="45">
        <v>324.18791876827379</v>
      </c>
      <c r="BW185" s="393">
        <v>73058.694457726946</v>
      </c>
      <c r="BX185" s="295">
        <f t="shared" si="198"/>
        <v>204259.3985315403</v>
      </c>
      <c r="BY185" s="295">
        <f t="shared" si="203"/>
        <v>277318.09298926726</v>
      </c>
      <c r="BZ185" s="39">
        <v>17925.251965036117</v>
      </c>
      <c r="CA185" s="41">
        <v>623.27104790335227</v>
      </c>
      <c r="CB185" s="39">
        <v>55133.442492690825</v>
      </c>
      <c r="CC185" s="47">
        <v>4.0757415628093092</v>
      </c>
      <c r="CD185" s="41">
        <f t="shared" si="199"/>
        <v>15.470805851442798</v>
      </c>
      <c r="CE185" s="39">
        <v>17707.107098269942</v>
      </c>
      <c r="CF185" s="47">
        <v>4.1259531583713684</v>
      </c>
    </row>
    <row r="186" spans="1:101" s="22" customFormat="1" ht="15" customHeight="1">
      <c r="A186" s="324" t="str">
        <f t="shared" si="182"/>
        <v>BNI- Direct Installation; Faucet Aerator; COM-Other; Retail</v>
      </c>
      <c r="B186" s="108" t="s">
        <v>123</v>
      </c>
      <c r="C186" s="15" t="s">
        <v>27</v>
      </c>
      <c r="D186" s="15" t="s">
        <v>28</v>
      </c>
      <c r="E186" s="37">
        <v>10</v>
      </c>
      <c r="F186" s="38">
        <v>197.27970000000002</v>
      </c>
      <c r="G186" s="38">
        <v>22.520535225357275</v>
      </c>
      <c r="H186" s="39">
        <v>5</v>
      </c>
      <c r="I186" s="40">
        <v>0.75</v>
      </c>
      <c r="J186" s="39">
        <v>24.659962500000002</v>
      </c>
      <c r="K186" s="39">
        <v>28.409962500000002</v>
      </c>
      <c r="L186" s="39">
        <v>1.25</v>
      </c>
      <c r="M186" s="39">
        <v>29.659962500000002</v>
      </c>
      <c r="N186" s="39">
        <v>125.41736182987613</v>
      </c>
      <c r="O186" s="41">
        <v>0.82</v>
      </c>
      <c r="P186" s="41">
        <v>3.5758821556355791</v>
      </c>
      <c r="Q186" s="261">
        <f t="shared" si="183"/>
        <v>3.5758821556355791</v>
      </c>
      <c r="R186" s="262">
        <f t="shared" si="184"/>
        <v>0</v>
      </c>
      <c r="S186" s="262">
        <f t="shared" si="185"/>
        <v>399.66051417827845</v>
      </c>
      <c r="T186" s="261">
        <f t="shared" si="186"/>
        <v>14.970946444269067</v>
      </c>
      <c r="U186" s="267">
        <f t="shared" si="187"/>
        <v>3.1866442440433622</v>
      </c>
      <c r="V186" s="42" t="s">
        <v>186</v>
      </c>
      <c r="W186" s="198" t="s">
        <v>186</v>
      </c>
      <c r="X186" s="209">
        <f>5460/264.172</f>
        <v>20.668352437048586</v>
      </c>
      <c r="Y186" s="333">
        <v>0</v>
      </c>
      <c r="Z186" s="334">
        <f>(X186*Z3)</f>
        <v>56.403933800705595</v>
      </c>
      <c r="AA186" s="288">
        <f t="shared" si="236"/>
        <v>0.56403933800705597</v>
      </c>
      <c r="AB186" s="288">
        <f t="shared" si="226"/>
        <v>0</v>
      </c>
      <c r="AC186" s="288">
        <f t="shared" si="237"/>
        <v>0</v>
      </c>
      <c r="AD186" s="288">
        <f t="shared" si="238"/>
        <v>0</v>
      </c>
      <c r="AE186" s="288">
        <f t="shared" si="239"/>
        <v>0</v>
      </c>
      <c r="AF186" s="288">
        <f t="shared" si="240"/>
        <v>55.839894462698538</v>
      </c>
      <c r="AG186" s="288" t="s">
        <v>38</v>
      </c>
      <c r="AH186" s="288">
        <f t="shared" si="241"/>
        <v>0</v>
      </c>
      <c r="AI186" s="288">
        <f t="shared" si="242"/>
        <v>0</v>
      </c>
      <c r="AJ186" s="288">
        <f t="shared" si="243"/>
        <v>0</v>
      </c>
      <c r="AK186" s="288">
        <f t="shared" si="194"/>
        <v>56.403933800705595</v>
      </c>
      <c r="AL186" s="246" t="s">
        <v>463</v>
      </c>
      <c r="AM186" s="234" t="s">
        <v>410</v>
      </c>
      <c r="AN186" s="102" t="s">
        <v>186</v>
      </c>
      <c r="AO186" s="246" t="s">
        <v>427</v>
      </c>
      <c r="AP186" s="43" t="s">
        <v>123</v>
      </c>
      <c r="AQ186" s="44">
        <v>18.930950692038994</v>
      </c>
      <c r="AR186" s="45">
        <v>165.8349695452674</v>
      </c>
      <c r="AS186" s="46">
        <v>18.930950692038994</v>
      </c>
      <c r="AT186" s="45">
        <v>165.8349695452674</v>
      </c>
      <c r="AU186" s="393">
        <v>105426.88568314577</v>
      </c>
      <c r="AV186" s="295">
        <f t="shared" si="195"/>
        <v>335957.97842961398</v>
      </c>
      <c r="AW186" s="295">
        <f t="shared" si="168"/>
        <v>441384.86411275977</v>
      </c>
      <c r="AX186" s="39">
        <v>29482.762880480645</v>
      </c>
      <c r="AY186" s="41">
        <v>1025.1321739546997</v>
      </c>
      <c r="AZ186" s="39">
        <v>75944.122802665122</v>
      </c>
      <c r="BA186" s="47">
        <v>3.5758821556355791</v>
      </c>
      <c r="BB186" s="41">
        <f t="shared" si="196"/>
        <v>14.970946444269067</v>
      </c>
      <c r="BC186" s="39">
        <v>29123.966619596496</v>
      </c>
      <c r="BD186" s="47">
        <v>3.6199356722311209</v>
      </c>
      <c r="BE186" s="46">
        <v>17.550033277446783</v>
      </c>
      <c r="BF186" s="45">
        <v>153.73814455645521</v>
      </c>
      <c r="BG186" s="46">
        <v>36.48098396948577</v>
      </c>
      <c r="BH186" s="45">
        <v>319.57311410172258</v>
      </c>
      <c r="BI186" s="393">
        <v>104097.58818905556</v>
      </c>
      <c r="BJ186" s="295">
        <f t="shared" si="197"/>
        <v>311451.53759990196</v>
      </c>
      <c r="BK186" s="295">
        <f t="shared" si="202"/>
        <v>415549.12578895752</v>
      </c>
      <c r="BL186" s="39">
        <v>27332.143962590286</v>
      </c>
      <c r="BM186" s="41">
        <v>950.35394996048001</v>
      </c>
      <c r="BN186" s="39">
        <v>76765.444226465275</v>
      </c>
      <c r="BO186" s="47">
        <v>3.8086140747514987</v>
      </c>
      <c r="BP186" s="41">
        <f t="shared" si="171"/>
        <v>15.203678363384986</v>
      </c>
      <c r="BQ186" s="39">
        <v>26999.520080104121</v>
      </c>
      <c r="BR186" s="47">
        <v>3.8555347606257939</v>
      </c>
      <c r="BS186" s="44">
        <v>16.46762306531998</v>
      </c>
      <c r="BT186" s="45">
        <v>144.25624016171076</v>
      </c>
      <c r="BU186" s="46">
        <v>52.948607034805754</v>
      </c>
      <c r="BV186" s="45">
        <v>463.82935426343334</v>
      </c>
      <c r="BW186" s="393">
        <v>104528.16132817979</v>
      </c>
      <c r="BX186" s="295">
        <f t="shared" si="198"/>
        <v>292242.55266230908</v>
      </c>
      <c r="BY186" s="295">
        <f t="shared" si="203"/>
        <v>396770.7139904889</v>
      </c>
      <c r="BZ186" s="39">
        <v>25646.415435656592</v>
      </c>
      <c r="CA186" s="41">
        <v>891.74022517089827</v>
      </c>
      <c r="CB186" s="39">
        <v>78881.745892523206</v>
      </c>
      <c r="CC186" s="47">
        <v>4.0757415628093092</v>
      </c>
      <c r="CD186" s="41">
        <f t="shared" si="199"/>
        <v>15.470805851442798</v>
      </c>
      <c r="CE186" s="39">
        <v>25334.306356846777</v>
      </c>
      <c r="CF186" s="47">
        <v>4.1259531583713684</v>
      </c>
    </row>
    <row r="187" spans="1:101" s="22" customFormat="1" ht="15" customHeight="1">
      <c r="A187" s="324" t="str">
        <f t="shared" si="182"/>
        <v>BNI- Direct Installation; DHW Tank Wrap; COM-Other; Office</v>
      </c>
      <c r="B187" s="233" t="s">
        <v>124</v>
      </c>
      <c r="C187" s="15" t="s">
        <v>27</v>
      </c>
      <c r="D187" s="15" t="s">
        <v>64</v>
      </c>
      <c r="E187" s="37">
        <v>7</v>
      </c>
      <c r="F187" s="38">
        <v>258.44292865622174</v>
      </c>
      <c r="G187" s="38">
        <v>29.502645627233509</v>
      </c>
      <c r="H187" s="39">
        <v>16</v>
      </c>
      <c r="I187" s="40">
        <v>1</v>
      </c>
      <c r="J187" s="39">
        <v>32.305366082027717</v>
      </c>
      <c r="K187" s="39">
        <v>48.305366082027717</v>
      </c>
      <c r="L187" s="39">
        <v>0</v>
      </c>
      <c r="M187" s="39">
        <v>48.305366082027717</v>
      </c>
      <c r="N187" s="39">
        <v>114.19851749382056</v>
      </c>
      <c r="O187" s="41">
        <v>0.82</v>
      </c>
      <c r="P187" s="41">
        <v>2.061464604948601</v>
      </c>
      <c r="Q187" s="261">
        <f t="shared" si="183"/>
        <v>2.061464604948601</v>
      </c>
      <c r="R187" s="262">
        <f t="shared" si="184"/>
        <v>0</v>
      </c>
      <c r="S187" s="262">
        <f t="shared" si="185"/>
        <v>81.397943715549431</v>
      </c>
      <c r="T187" s="261">
        <f t="shared" si="186"/>
        <v>3.5308267610228548</v>
      </c>
      <c r="U187" s="267">
        <f t="shared" si="187"/>
        <v>0.71277583546523704</v>
      </c>
      <c r="V187" s="42" t="s">
        <v>187</v>
      </c>
      <c r="W187" s="199">
        <f>(1.35*W3)/29.3001</f>
        <v>5.8054409370616483E-2</v>
      </c>
      <c r="X187" s="199"/>
      <c r="Y187" s="333">
        <v>0</v>
      </c>
      <c r="Z187" s="334">
        <f>W187*F187</f>
        <v>15.003751579149327</v>
      </c>
      <c r="AA187" s="288">
        <f t="shared" si="236"/>
        <v>0.15003751579149327</v>
      </c>
      <c r="AB187" s="288">
        <f t="shared" si="226"/>
        <v>0</v>
      </c>
      <c r="AC187" s="288">
        <f t="shared" si="237"/>
        <v>0</v>
      </c>
      <c r="AD187" s="288">
        <f t="shared" si="238"/>
        <v>0</v>
      </c>
      <c r="AE187" s="288">
        <f t="shared" si="239"/>
        <v>0</v>
      </c>
      <c r="AF187" s="288">
        <f t="shared" si="240"/>
        <v>14.853714063357833</v>
      </c>
      <c r="AG187" s="288" t="s">
        <v>38</v>
      </c>
      <c r="AH187" s="288">
        <f t="shared" si="241"/>
        <v>0</v>
      </c>
      <c r="AI187" s="288">
        <f t="shared" si="242"/>
        <v>0</v>
      </c>
      <c r="AJ187" s="288">
        <f t="shared" si="243"/>
        <v>0</v>
      </c>
      <c r="AK187" s="288">
        <f t="shared" si="194"/>
        <v>15.003751579149327</v>
      </c>
      <c r="AL187" s="461" t="s">
        <v>449</v>
      </c>
      <c r="AM187" s="462" t="s">
        <v>254</v>
      </c>
      <c r="AN187" s="462"/>
      <c r="AO187" s="461" t="s">
        <v>428</v>
      </c>
      <c r="AP187" s="43" t="s">
        <v>124</v>
      </c>
      <c r="AQ187" s="44">
        <v>2.7651948581287948</v>
      </c>
      <c r="AR187" s="45">
        <v>24.223083803042119</v>
      </c>
      <c r="AS187" s="46">
        <v>2.7651948581287948</v>
      </c>
      <c r="AT187" s="45">
        <v>24.223083803042119</v>
      </c>
      <c r="AU187" s="393">
        <v>10703.485964267231</v>
      </c>
      <c r="AV187" s="295">
        <f t="shared" si="195"/>
        <v>7629.1861505710131</v>
      </c>
      <c r="AW187" s="295">
        <f t="shared" si="168"/>
        <v>18332.672114838242</v>
      </c>
      <c r="AX187" s="39">
        <v>5192.1754749381707</v>
      </c>
      <c r="AY187" s="41">
        <v>114.30123569202065</v>
      </c>
      <c r="AZ187" s="39">
        <v>5511.3104893290601</v>
      </c>
      <c r="BA187" s="47">
        <v>2.061464604948601</v>
      </c>
      <c r="BB187" s="41">
        <f t="shared" si="196"/>
        <v>3.5308267610228543</v>
      </c>
      <c r="BC187" s="39">
        <v>5521.3630337311897</v>
      </c>
      <c r="BD187" s="47">
        <v>1.9385586310621747</v>
      </c>
      <c r="BE187" s="46">
        <v>2.7611888752981315</v>
      </c>
      <c r="BF187" s="45">
        <v>24.187991426989324</v>
      </c>
      <c r="BG187" s="46">
        <v>5.5263837334269263</v>
      </c>
      <c r="BH187" s="45">
        <v>48.411075230031443</v>
      </c>
      <c r="BI187" s="393">
        <v>11635.728540889208</v>
      </c>
      <c r="BJ187" s="295">
        <f t="shared" si="197"/>
        <v>7618.1336243299484</v>
      </c>
      <c r="BK187" s="295">
        <f t="shared" si="202"/>
        <v>19253.862165219158</v>
      </c>
      <c r="BL187" s="39">
        <v>5184.6534857571005</v>
      </c>
      <c r="BM187" s="41">
        <v>114.13564563012687</v>
      </c>
      <c r="BN187" s="39">
        <v>6451.0750551321071</v>
      </c>
      <c r="BO187" s="47">
        <v>2.2442634927973542</v>
      </c>
      <c r="BP187" s="41">
        <f t="shared" si="171"/>
        <v>3.7136256488716084</v>
      </c>
      <c r="BQ187" s="39">
        <v>5513.3641451718668</v>
      </c>
      <c r="BR187" s="47">
        <v>2.1104589202726225</v>
      </c>
      <c r="BS187" s="44">
        <v>2.7604528388027729</v>
      </c>
      <c r="BT187" s="45">
        <v>24.181543753453134</v>
      </c>
      <c r="BU187" s="46">
        <v>8.286836572229701</v>
      </c>
      <c r="BV187" s="45">
        <v>72.592618983484584</v>
      </c>
      <c r="BW187" s="393">
        <v>12686.950226292871</v>
      </c>
      <c r="BX187" s="295">
        <f t="shared" si="198"/>
        <v>7616.1028960359936</v>
      </c>
      <c r="BY187" s="295">
        <f t="shared" si="203"/>
        <v>20303.053122328864</v>
      </c>
      <c r="BZ187" s="39">
        <v>5183.2714382574013</v>
      </c>
      <c r="CA187" s="41">
        <v>114.10522105419273</v>
      </c>
      <c r="CB187" s="39">
        <v>7503.6787880354696</v>
      </c>
      <c r="CC187" s="47">
        <v>2.4476723585516451</v>
      </c>
      <c r="CD187" s="41">
        <f t="shared" si="199"/>
        <v>3.9170345146258985</v>
      </c>
      <c r="CE187" s="39">
        <v>5511.8944748934755</v>
      </c>
      <c r="CF187" s="47">
        <v>2.30174040596778</v>
      </c>
    </row>
    <row r="188" spans="1:101" s="22" customFormat="1" ht="15" customHeight="1">
      <c r="A188" s="324" t="str">
        <f t="shared" si="182"/>
        <v>BNI- Direct Installation; DHW Tank Wrap; COM-Other; Retail</v>
      </c>
      <c r="B188" s="233" t="s">
        <v>124</v>
      </c>
      <c r="C188" s="15" t="s">
        <v>27</v>
      </c>
      <c r="D188" s="15" t="s">
        <v>28</v>
      </c>
      <c r="E188" s="37">
        <v>7</v>
      </c>
      <c r="F188" s="38">
        <v>258.44292865622174</v>
      </c>
      <c r="G188" s="38">
        <v>29.502645627233509</v>
      </c>
      <c r="H188" s="39">
        <v>16</v>
      </c>
      <c r="I188" s="40">
        <v>1</v>
      </c>
      <c r="J188" s="39">
        <v>32.305366082027717</v>
      </c>
      <c r="K188" s="39">
        <v>48.305366082027717</v>
      </c>
      <c r="L188" s="39">
        <v>0</v>
      </c>
      <c r="M188" s="39">
        <v>48.305366082027717</v>
      </c>
      <c r="N188" s="39">
        <v>114.19851749382056</v>
      </c>
      <c r="O188" s="41">
        <v>0.82</v>
      </c>
      <c r="P188" s="41">
        <v>2.061464604948601</v>
      </c>
      <c r="Q188" s="261">
        <f t="shared" si="183"/>
        <v>2.061464604948601</v>
      </c>
      <c r="R188" s="262">
        <f t="shared" si="184"/>
        <v>0</v>
      </c>
      <c r="S188" s="262">
        <f t="shared" si="185"/>
        <v>81.397943715549431</v>
      </c>
      <c r="T188" s="261">
        <f t="shared" si="186"/>
        <v>3.5308267610228548</v>
      </c>
      <c r="U188" s="267">
        <f t="shared" si="187"/>
        <v>0.71277583546523704</v>
      </c>
      <c r="V188" s="42" t="s">
        <v>187</v>
      </c>
      <c r="W188" s="199">
        <f>(1.35*W3)/29.3001</f>
        <v>5.8054409370616483E-2</v>
      </c>
      <c r="X188" s="199"/>
      <c r="Y188" s="333">
        <v>0</v>
      </c>
      <c r="Z188" s="334">
        <f>W188*F188</f>
        <v>15.003751579149327</v>
      </c>
      <c r="AA188" s="288">
        <f t="shared" si="236"/>
        <v>0.15003751579149327</v>
      </c>
      <c r="AB188" s="288">
        <f t="shared" si="226"/>
        <v>0</v>
      </c>
      <c r="AC188" s="288">
        <f t="shared" si="237"/>
        <v>0</v>
      </c>
      <c r="AD188" s="288">
        <f t="shared" si="238"/>
        <v>0</v>
      </c>
      <c r="AE188" s="288">
        <f t="shared" si="239"/>
        <v>0</v>
      </c>
      <c r="AF188" s="288">
        <f t="shared" si="240"/>
        <v>14.853714063357833</v>
      </c>
      <c r="AG188" s="288" t="s">
        <v>38</v>
      </c>
      <c r="AH188" s="288">
        <f t="shared" si="241"/>
        <v>0</v>
      </c>
      <c r="AI188" s="288">
        <f t="shared" si="242"/>
        <v>0</v>
      </c>
      <c r="AJ188" s="288">
        <f t="shared" si="243"/>
        <v>0</v>
      </c>
      <c r="AK188" s="288">
        <f t="shared" si="194"/>
        <v>15.003751579149327</v>
      </c>
      <c r="AL188" s="461" t="s">
        <v>449</v>
      </c>
      <c r="AM188" s="462" t="s">
        <v>254</v>
      </c>
      <c r="AN188" s="462"/>
      <c r="AO188" s="461" t="s">
        <v>428</v>
      </c>
      <c r="AP188" s="43" t="s">
        <v>124</v>
      </c>
      <c r="AQ188" s="44">
        <v>5.3668413642268229</v>
      </c>
      <c r="AR188" s="45">
        <v>47.013485411755426</v>
      </c>
      <c r="AS188" s="46">
        <v>5.3668413642268229</v>
      </c>
      <c r="AT188" s="45">
        <v>47.013485411755426</v>
      </c>
      <c r="AU188" s="393">
        <v>20773.910759158156</v>
      </c>
      <c r="AV188" s="295">
        <f t="shared" si="195"/>
        <v>14807.141597239231</v>
      </c>
      <c r="AW188" s="295">
        <f t="shared" si="168"/>
        <v>35581.052356397384</v>
      </c>
      <c r="AX188" s="39">
        <v>10077.258037460275</v>
      </c>
      <c r="AY188" s="41">
        <v>221.84208750817933</v>
      </c>
      <c r="AZ188" s="39">
        <v>10696.652721697881</v>
      </c>
      <c r="BA188" s="47">
        <v>2.0614646049486005</v>
      </c>
      <c r="BB188" s="41">
        <f t="shared" si="196"/>
        <v>3.5308267610228539</v>
      </c>
      <c r="BC188" s="39">
        <v>10716.163249483832</v>
      </c>
      <c r="BD188" s="47">
        <v>1.9385586310621741</v>
      </c>
      <c r="BE188" s="46">
        <v>5.3590663337269673</v>
      </c>
      <c r="BF188" s="45">
        <v>46.945376209680369</v>
      </c>
      <c r="BG188" s="46">
        <v>10.72590769795379</v>
      </c>
      <c r="BH188" s="45">
        <v>93.958861621435801</v>
      </c>
      <c r="BI188" s="393">
        <v>22583.258121063012</v>
      </c>
      <c r="BJ188" s="295">
        <f t="shared" si="197"/>
        <v>14785.690250027521</v>
      </c>
      <c r="BK188" s="295">
        <f t="shared" si="202"/>
        <v>37368.948371090533</v>
      </c>
      <c r="BL188" s="39">
        <v>10062.658949602299</v>
      </c>
      <c r="BM188" s="41">
        <v>221.52070126262632</v>
      </c>
      <c r="BN188" s="39">
        <v>12520.599171460713</v>
      </c>
      <c r="BO188" s="47">
        <v>2.2442634927973542</v>
      </c>
      <c r="BP188" s="41">
        <f t="shared" si="171"/>
        <v>3.7136256488716084</v>
      </c>
      <c r="BQ188" s="39">
        <v>10700.638569238663</v>
      </c>
      <c r="BR188" s="47">
        <v>2.1104589202726229</v>
      </c>
      <c r="BS188" s="44">
        <v>5.3576377938549022</v>
      </c>
      <c r="BT188" s="45">
        <v>46.932862212362856</v>
      </c>
      <c r="BU188" s="46">
        <v>16.083545491808692</v>
      </c>
      <c r="BV188" s="45">
        <v>140.89172383379866</v>
      </c>
      <c r="BW188" s="393">
        <v>24623.526642325334</v>
      </c>
      <c r="BX188" s="295">
        <f t="shared" si="198"/>
        <v>14781.748901527084</v>
      </c>
      <c r="BY188" s="295">
        <f t="shared" si="203"/>
        <v>39405.275543852418</v>
      </c>
      <c r="BZ188" s="39">
        <v>10059.976596253166</v>
      </c>
      <c r="CA188" s="41">
        <v>221.46165158222769</v>
      </c>
      <c r="CB188" s="39">
        <v>14563.550046072169</v>
      </c>
      <c r="CC188" s="47">
        <v>2.4476723585516447</v>
      </c>
      <c r="CD188" s="41">
        <f t="shared" si="199"/>
        <v>3.9170345146258985</v>
      </c>
      <c r="CE188" s="39">
        <v>10697.786152809982</v>
      </c>
      <c r="CF188" s="47">
        <v>2.3017404059677791</v>
      </c>
    </row>
    <row r="189" spans="1:101" s="22" customFormat="1" ht="15" customHeight="1">
      <c r="A189" s="324" t="str">
        <f t="shared" si="182"/>
        <v>BNI- Direct Installation; DHW Pipe Insulation; COM-Other; Office</v>
      </c>
      <c r="B189" s="108" t="s">
        <v>125</v>
      </c>
      <c r="C189" s="15" t="s">
        <v>27</v>
      </c>
      <c r="D189" s="15" t="s">
        <v>64</v>
      </c>
      <c r="E189" s="37">
        <v>15</v>
      </c>
      <c r="F189" s="38">
        <v>49.863671206110659</v>
      </c>
      <c r="G189" s="38">
        <v>5.6922053503875372</v>
      </c>
      <c r="H189" s="39">
        <v>2.333333333333333</v>
      </c>
      <c r="I189" s="40">
        <v>0.99857142857142878</v>
      </c>
      <c r="J189" s="39">
        <v>6.2329589007638324</v>
      </c>
      <c r="K189" s="39">
        <v>8.5629589007638316</v>
      </c>
      <c r="L189" s="84">
        <v>3.3333333333329662E-3</v>
      </c>
      <c r="M189" s="39">
        <v>8.5662922340971654</v>
      </c>
      <c r="N189" s="39">
        <v>45.318200829695307</v>
      </c>
      <c r="O189" s="41">
        <v>0.82</v>
      </c>
      <c r="P189" s="41">
        <v>4.5616979617805971</v>
      </c>
      <c r="Q189" s="261">
        <f t="shared" si="183"/>
        <v>4.5616979617805971</v>
      </c>
      <c r="R189" s="262">
        <f t="shared" si="184"/>
        <v>0</v>
      </c>
      <c r="S189" s="262">
        <f t="shared" si="185"/>
        <v>26.684989473466285</v>
      </c>
      <c r="T189" s="261">
        <f t="shared" si="186"/>
        <v>7.2477900806778575</v>
      </c>
      <c r="U189" s="267">
        <f t="shared" si="187"/>
        <v>0.58883603022432041</v>
      </c>
      <c r="V189" s="42" t="s">
        <v>187</v>
      </c>
      <c r="W189" s="199">
        <f>(1.35*W3)/29.3001</f>
        <v>5.8054409370616483E-2</v>
      </c>
      <c r="X189" s="199"/>
      <c r="Y189" s="333">
        <v>0</v>
      </c>
      <c r="Z189" s="334">
        <f>W189*F189</f>
        <v>2.8948059809213698</v>
      </c>
      <c r="AA189" s="288">
        <f t="shared" si="236"/>
        <v>2.8948059809213698E-2</v>
      </c>
      <c r="AB189" s="288">
        <f t="shared" si="226"/>
        <v>0</v>
      </c>
      <c r="AC189" s="288">
        <f t="shared" si="237"/>
        <v>0</v>
      </c>
      <c r="AD189" s="288">
        <f t="shared" si="238"/>
        <v>0</v>
      </c>
      <c r="AE189" s="288">
        <f t="shared" si="239"/>
        <v>0</v>
      </c>
      <c r="AF189" s="288">
        <f t="shared" si="240"/>
        <v>2.865857921112156</v>
      </c>
      <c r="AG189" s="288" t="s">
        <v>38</v>
      </c>
      <c r="AH189" s="288">
        <f t="shared" si="241"/>
        <v>0</v>
      </c>
      <c r="AI189" s="288">
        <f t="shared" si="242"/>
        <v>0</v>
      </c>
      <c r="AJ189" s="288">
        <f t="shared" si="243"/>
        <v>0</v>
      </c>
      <c r="AK189" s="288">
        <f t="shared" si="194"/>
        <v>2.8948059809213698</v>
      </c>
      <c r="AL189" s="246" t="s">
        <v>464</v>
      </c>
      <c r="AM189" s="234" t="s">
        <v>298</v>
      </c>
      <c r="AN189" s="102" t="s">
        <v>187</v>
      </c>
      <c r="AO189" s="246" t="s">
        <v>430</v>
      </c>
      <c r="AP189" s="43" t="s">
        <v>125</v>
      </c>
      <c r="AQ189" s="44">
        <v>0.50886019751344136</v>
      </c>
      <c r="AR189" s="45">
        <v>4.457611069312402</v>
      </c>
      <c r="AS189" s="46">
        <v>0.50886019751344136</v>
      </c>
      <c r="AT189" s="45">
        <v>4.457611069312402</v>
      </c>
      <c r="AU189" s="393">
        <v>4051.2643528544763</v>
      </c>
      <c r="AV189" s="295">
        <f t="shared" si="195"/>
        <v>2385.5304189241297</v>
      </c>
      <c r="AW189" s="295">
        <f t="shared" si="168"/>
        <v>6436.7947717786064</v>
      </c>
      <c r="AX189" s="39">
        <v>888.10447048386345</v>
      </c>
      <c r="AY189" s="41">
        <v>109.01947106275028</v>
      </c>
      <c r="AZ189" s="39">
        <v>3163.1598823706126</v>
      </c>
      <c r="BA189" s="47">
        <v>4.5616979617805971</v>
      </c>
      <c r="BB189" s="41">
        <f t="shared" si="196"/>
        <v>7.2477900806778575</v>
      </c>
      <c r="BC189" s="39">
        <v>933.52925009334274</v>
      </c>
      <c r="BD189" s="47">
        <v>4.3397294219215885</v>
      </c>
      <c r="BE189" s="46">
        <v>0.50153792579061818</v>
      </c>
      <c r="BF189" s="45">
        <v>4.3934680303330023</v>
      </c>
      <c r="BG189" s="46">
        <v>1.0103981233040593</v>
      </c>
      <c r="BH189" s="45">
        <v>8.8510790996454034</v>
      </c>
      <c r="BI189" s="393">
        <v>4219.9184433682567</v>
      </c>
      <c r="BJ189" s="295">
        <f t="shared" si="197"/>
        <v>2351.2036981159822</v>
      </c>
      <c r="BK189" s="295">
        <f t="shared" si="202"/>
        <v>6571.1221414842385</v>
      </c>
      <c r="BL189" s="39">
        <v>875.32504249379133</v>
      </c>
      <c r="BM189" s="41">
        <v>107.45072940423449</v>
      </c>
      <c r="BN189" s="39">
        <v>3344.5934008744653</v>
      </c>
      <c r="BO189" s="47">
        <v>4.820973054016318</v>
      </c>
      <c r="BP189" s="41">
        <f t="shared" si="171"/>
        <v>7.5070651729135776</v>
      </c>
      <c r="BQ189" s="39">
        <v>920.09617974555567</v>
      </c>
      <c r="BR189" s="47">
        <v>4.5863883974990935</v>
      </c>
      <c r="BS189" s="44">
        <v>0.49524658268644622</v>
      </c>
      <c r="BT189" s="45">
        <v>4.3383559174205786</v>
      </c>
      <c r="BU189" s="46">
        <v>1.5056447059905056</v>
      </c>
      <c r="BV189" s="45">
        <v>13.189435017065982</v>
      </c>
      <c r="BW189" s="393">
        <v>4423.7857569047346</v>
      </c>
      <c r="BX189" s="295">
        <f t="shared" si="198"/>
        <v>2321.7099581374409</v>
      </c>
      <c r="BY189" s="295">
        <f t="shared" si="203"/>
        <v>6745.495715042176</v>
      </c>
      <c r="BZ189" s="39">
        <v>864.34487551774237</v>
      </c>
      <c r="CA189" s="41">
        <v>106.10285645043959</v>
      </c>
      <c r="CB189" s="39">
        <v>3559.4408813869923</v>
      </c>
      <c r="CC189" s="47">
        <v>5.1180794636572449</v>
      </c>
      <c r="CD189" s="41">
        <f t="shared" si="199"/>
        <v>7.8041715825545053</v>
      </c>
      <c r="CE189" s="39">
        <v>908.5543990387589</v>
      </c>
      <c r="CF189" s="47">
        <v>4.8690378491205966</v>
      </c>
    </row>
    <row r="190" spans="1:101" s="22" customFormat="1" ht="15" customHeight="1">
      <c r="A190" s="324" t="str">
        <f t="shared" si="182"/>
        <v>BNI- Direct Installation; DHW Pipe Insulation; COM-Other; Retail</v>
      </c>
      <c r="B190" s="108" t="s">
        <v>125</v>
      </c>
      <c r="C190" s="15" t="s">
        <v>27</v>
      </c>
      <c r="D190" s="15" t="s">
        <v>28</v>
      </c>
      <c r="E190" s="37">
        <v>15</v>
      </c>
      <c r="F190" s="38">
        <v>49.863671206110659</v>
      </c>
      <c r="G190" s="38">
        <v>5.6922053503875372</v>
      </c>
      <c r="H190" s="39">
        <v>2.333333333333333</v>
      </c>
      <c r="I190" s="40">
        <v>0.99857142857142878</v>
      </c>
      <c r="J190" s="39">
        <v>6.2329589007638324</v>
      </c>
      <c r="K190" s="39">
        <v>8.5629589007638316</v>
      </c>
      <c r="L190" s="84">
        <v>3.3333333333329662E-3</v>
      </c>
      <c r="M190" s="39">
        <v>8.5662922340971654</v>
      </c>
      <c r="N190" s="39">
        <v>45.318200829695307</v>
      </c>
      <c r="O190" s="41">
        <v>0.82</v>
      </c>
      <c r="P190" s="41">
        <v>4.5616979617805971</v>
      </c>
      <c r="Q190" s="261">
        <f t="shared" si="183"/>
        <v>4.5616979617805971</v>
      </c>
      <c r="R190" s="262">
        <f t="shared" si="184"/>
        <v>0</v>
      </c>
      <c r="S190" s="262">
        <f t="shared" si="185"/>
        <v>26.684989473466285</v>
      </c>
      <c r="T190" s="261">
        <f t="shared" si="186"/>
        <v>7.2477900806778575</v>
      </c>
      <c r="U190" s="267">
        <f t="shared" si="187"/>
        <v>0.58883603022432041</v>
      </c>
      <c r="V190" s="42" t="s">
        <v>187</v>
      </c>
      <c r="W190" s="199">
        <f>(1.35*W3)/29.3001</f>
        <v>5.8054409370616483E-2</v>
      </c>
      <c r="X190" s="199"/>
      <c r="Y190" s="333">
        <v>0</v>
      </c>
      <c r="Z190" s="334">
        <f>W190*F190</f>
        <v>2.8948059809213698</v>
      </c>
      <c r="AA190" s="288">
        <f t="shared" si="236"/>
        <v>2.8948059809213698E-2</v>
      </c>
      <c r="AB190" s="288">
        <f t="shared" si="226"/>
        <v>0</v>
      </c>
      <c r="AC190" s="288">
        <f t="shared" si="237"/>
        <v>0</v>
      </c>
      <c r="AD190" s="288">
        <f t="shared" si="238"/>
        <v>0</v>
      </c>
      <c r="AE190" s="288">
        <f t="shared" si="239"/>
        <v>0</v>
      </c>
      <c r="AF190" s="288">
        <f t="shared" si="240"/>
        <v>2.865857921112156</v>
      </c>
      <c r="AG190" s="288" t="s">
        <v>38</v>
      </c>
      <c r="AH190" s="288">
        <f t="shared" si="241"/>
        <v>0</v>
      </c>
      <c r="AI190" s="288">
        <f t="shared" si="242"/>
        <v>0</v>
      </c>
      <c r="AJ190" s="288">
        <f t="shared" si="243"/>
        <v>0</v>
      </c>
      <c r="AK190" s="288">
        <f t="shared" si="194"/>
        <v>2.8948059809213698</v>
      </c>
      <c r="AL190" s="246" t="s">
        <v>464</v>
      </c>
      <c r="AM190" s="234" t="s">
        <v>298</v>
      </c>
      <c r="AN190" s="102" t="s">
        <v>187</v>
      </c>
      <c r="AO190" s="246" t="s">
        <v>430</v>
      </c>
      <c r="AP190" s="43" t="s">
        <v>125</v>
      </c>
      <c r="AQ190" s="44">
        <v>0.98762369262895733</v>
      </c>
      <c r="AR190" s="45">
        <v>8.6515752776316148</v>
      </c>
      <c r="AS190" s="46">
        <v>0.98762369262895733</v>
      </c>
      <c r="AT190" s="45">
        <v>8.6515752776316148</v>
      </c>
      <c r="AU190" s="393">
        <v>7862.915353831565</v>
      </c>
      <c r="AV190" s="295">
        <f t="shared" si="195"/>
        <v>4629.967862940036</v>
      </c>
      <c r="AW190" s="295">
        <f t="shared" si="168"/>
        <v>12492.883216771601</v>
      </c>
      <c r="AX190" s="39">
        <v>1723.6817123162582</v>
      </c>
      <c r="AY190" s="41">
        <v>211.59094994181606</v>
      </c>
      <c r="AZ190" s="39">
        <v>6139.2336415153068</v>
      </c>
      <c r="BA190" s="47">
        <v>4.5616979617805971</v>
      </c>
      <c r="BB190" s="41">
        <f t="shared" si="196"/>
        <v>7.2477900806778575</v>
      </c>
      <c r="BC190" s="39">
        <v>1811.8446081253485</v>
      </c>
      <c r="BD190" s="47">
        <v>4.3397294219215885</v>
      </c>
      <c r="BE190" s="46">
        <v>0.9734122273332535</v>
      </c>
      <c r="BF190" s="45">
        <v>8.5270829606399623</v>
      </c>
      <c r="BG190" s="46">
        <v>1.9610359199622107</v>
      </c>
      <c r="BH190" s="45">
        <v>17.178658238271577</v>
      </c>
      <c r="BI190" s="393">
        <v>8190.248433652172</v>
      </c>
      <c r="BJ190" s="295">
        <f t="shared" si="197"/>
        <v>4563.3446864250545</v>
      </c>
      <c r="BK190" s="295">
        <f t="shared" si="202"/>
        <v>12753.593120077227</v>
      </c>
      <c r="BL190" s="39">
        <v>1698.8786997738841</v>
      </c>
      <c r="BM190" s="41">
        <v>208.54625036198038</v>
      </c>
      <c r="BN190" s="39">
        <v>6491.3697338782877</v>
      </c>
      <c r="BO190" s="47">
        <v>4.8209730540163171</v>
      </c>
      <c r="BP190" s="41">
        <f t="shared" si="171"/>
        <v>7.5070651729135767</v>
      </c>
      <c r="BQ190" s="39">
        <v>1785.7729707580427</v>
      </c>
      <c r="BR190" s="47">
        <v>4.5863883974990918</v>
      </c>
      <c r="BS190" s="44">
        <v>0.96120164466536051</v>
      </c>
      <c r="BT190" s="45">
        <v>8.4201183587136814</v>
      </c>
      <c r="BU190" s="46">
        <v>2.9222375646275713</v>
      </c>
      <c r="BV190" s="45">
        <v>25.59877659698526</v>
      </c>
      <c r="BW190" s="393">
        <v>8585.9252619541585</v>
      </c>
      <c r="BX190" s="295">
        <f t="shared" si="198"/>
        <v>4506.1016233413548</v>
      </c>
      <c r="BY190" s="295">
        <f t="shared" si="203"/>
        <v>13092.026885295512</v>
      </c>
      <c r="BZ190" s="39">
        <v>1677.5677913798709</v>
      </c>
      <c r="CA190" s="41">
        <v>205.9302248399872</v>
      </c>
      <c r="CB190" s="39">
        <v>6908.3574705742876</v>
      </c>
      <c r="CC190" s="47">
        <v>5.1180794636572449</v>
      </c>
      <c r="CD190" s="41">
        <f t="shared" si="199"/>
        <v>7.8041715825545053</v>
      </c>
      <c r="CE190" s="39">
        <v>1763.3720517298657</v>
      </c>
      <c r="CF190" s="47">
        <v>4.8690378491205966</v>
      </c>
    </row>
    <row r="191" spans="1:101" s="22" customFormat="1" ht="15" customHeight="1" thickBot="1">
      <c r="A191" s="324" t="str">
        <f t="shared" si="182"/>
        <v>BNI- Direct Installation; Low Flow Showerheads; COM-Other; Other Commercial</v>
      </c>
      <c r="B191" s="109" t="s">
        <v>126</v>
      </c>
      <c r="C191" s="16" t="s">
        <v>27</v>
      </c>
      <c r="D191" s="16" t="s">
        <v>54</v>
      </c>
      <c r="E191" s="54">
        <v>10</v>
      </c>
      <c r="F191" s="55">
        <v>421.863</v>
      </c>
      <c r="G191" s="55">
        <v>48.157922745091845</v>
      </c>
      <c r="H191" s="56">
        <v>7</v>
      </c>
      <c r="I191" s="57">
        <v>1</v>
      </c>
      <c r="J191" s="56">
        <v>52.732875</v>
      </c>
      <c r="K191" s="56">
        <v>59.732875</v>
      </c>
      <c r="L191" s="56">
        <v>0</v>
      </c>
      <c r="M191" s="56">
        <v>59.732875</v>
      </c>
      <c r="N191" s="56">
        <v>268.19254344789164</v>
      </c>
      <c r="O191" s="58">
        <v>0.82</v>
      </c>
      <c r="P191" s="58">
        <v>3.7610239897947744</v>
      </c>
      <c r="Q191" s="263">
        <f t="shared" si="183"/>
        <v>3.7610239897947744</v>
      </c>
      <c r="R191" s="264">
        <f t="shared" si="184"/>
        <v>0</v>
      </c>
      <c r="S191" s="264">
        <f t="shared" si="185"/>
        <v>534.34464349843097</v>
      </c>
      <c r="T191" s="263">
        <f t="shared" si="186"/>
        <v>11.254457614680046</v>
      </c>
      <c r="U191" s="268">
        <f t="shared" si="187"/>
        <v>1.9923918712611461</v>
      </c>
      <c r="V191" s="59" t="s">
        <v>186</v>
      </c>
      <c r="W191" s="201" t="s">
        <v>186</v>
      </c>
      <c r="X191" s="210">
        <f>7300/264.172</f>
        <v>27.633511500083277</v>
      </c>
      <c r="Y191" s="338">
        <v>0</v>
      </c>
      <c r="Z191" s="339">
        <f>(X191*Z3)</f>
        <v>75.411852883727263</v>
      </c>
      <c r="AA191" s="289">
        <f t="shared" si="236"/>
        <v>0.75411852883727271</v>
      </c>
      <c r="AB191" s="289">
        <f t="shared" si="226"/>
        <v>0</v>
      </c>
      <c r="AC191" s="289">
        <f t="shared" si="237"/>
        <v>0</v>
      </c>
      <c r="AD191" s="289">
        <f t="shared" si="238"/>
        <v>0</v>
      </c>
      <c r="AE191" s="289">
        <f t="shared" si="239"/>
        <v>0</v>
      </c>
      <c r="AF191" s="289">
        <f t="shared" si="240"/>
        <v>74.657734354889996</v>
      </c>
      <c r="AG191" s="289" t="s">
        <v>38</v>
      </c>
      <c r="AH191" s="289">
        <f t="shared" si="241"/>
        <v>0</v>
      </c>
      <c r="AI191" s="289">
        <f t="shared" si="242"/>
        <v>0</v>
      </c>
      <c r="AJ191" s="289">
        <f t="shared" si="243"/>
        <v>0</v>
      </c>
      <c r="AK191" s="289">
        <f t="shared" si="194"/>
        <v>75.411852883727263</v>
      </c>
      <c r="AL191" s="275" t="s">
        <v>465</v>
      </c>
      <c r="AM191" s="248" t="s">
        <v>285</v>
      </c>
      <c r="AN191" s="103" t="s">
        <v>186</v>
      </c>
      <c r="AO191" s="275" t="s">
        <v>427</v>
      </c>
      <c r="AP191" s="43" t="s">
        <v>126</v>
      </c>
      <c r="AQ191" s="44">
        <v>5.7734566636060336</v>
      </c>
      <c r="AR191" s="45">
        <v>50.575432029552488</v>
      </c>
      <c r="AS191" s="46">
        <v>5.7734566636060336</v>
      </c>
      <c r="AT191" s="45">
        <v>50.575432029552488</v>
      </c>
      <c r="AU191" s="393">
        <v>32152.508639017047</v>
      </c>
      <c r="AV191" s="295">
        <f t="shared" si="195"/>
        <v>64060.396853031321</v>
      </c>
      <c r="AW191" s="295">
        <f t="shared" si="168"/>
        <v>96212.905492048361</v>
      </c>
      <c r="AX191" s="39">
        <v>8548.8709261786662</v>
      </c>
      <c r="AY191" s="41">
        <v>146.20233614609626</v>
      </c>
      <c r="AZ191" s="39">
        <v>23603.637712838383</v>
      </c>
      <c r="BA191" s="47">
        <v>3.7610239897947757</v>
      </c>
      <c r="BB191" s="41">
        <f t="shared" si="196"/>
        <v>11.254457614680048</v>
      </c>
      <c r="BC191" s="39">
        <v>8733.0858697227486</v>
      </c>
      <c r="BD191" s="47">
        <v>3.6816892812755317</v>
      </c>
      <c r="BE191" s="46">
        <v>5.6192357591815281</v>
      </c>
      <c r="BF191" s="45">
        <v>49.224458198151794</v>
      </c>
      <c r="BG191" s="46">
        <v>11.392692422787562</v>
      </c>
      <c r="BH191" s="45">
        <v>99.799890227704282</v>
      </c>
      <c r="BI191" s="393">
        <v>33330.357883036071</v>
      </c>
      <c r="BJ191" s="295">
        <f t="shared" si="197"/>
        <v>62349.211870429113</v>
      </c>
      <c r="BK191" s="295">
        <f t="shared" si="202"/>
        <v>95679.569753465184</v>
      </c>
      <c r="BL191" s="39">
        <v>8320.512997322201</v>
      </c>
      <c r="BM191" s="41">
        <v>142.29697098564421</v>
      </c>
      <c r="BN191" s="39">
        <v>25009.844885713872</v>
      </c>
      <c r="BO191" s="47">
        <v>4.0058056388786136</v>
      </c>
      <c r="BP191" s="41">
        <f t="shared" si="171"/>
        <v>11.499239263763885</v>
      </c>
      <c r="BQ191" s="39">
        <v>8499.8071807641118</v>
      </c>
      <c r="BR191" s="47">
        <v>3.9213075278302671</v>
      </c>
      <c r="BS191" s="44">
        <v>5.4778758591068328</v>
      </c>
      <c r="BT191" s="45">
        <v>47.986146657164724</v>
      </c>
      <c r="BU191" s="46">
        <v>16.870568281894396</v>
      </c>
      <c r="BV191" s="45">
        <v>147.78603688486902</v>
      </c>
      <c r="BW191" s="393">
        <v>34770.791708386401</v>
      </c>
      <c r="BX191" s="295">
        <f t="shared" si="198"/>
        <v>60780.728408004754</v>
      </c>
      <c r="BY191" s="295">
        <f t="shared" si="203"/>
        <v>95551.520116391155</v>
      </c>
      <c r="BZ191" s="39">
        <v>8111.1986107617431</v>
      </c>
      <c r="CA191" s="41">
        <v>138.71728747323857</v>
      </c>
      <c r="CB191" s="39">
        <v>26659.59309762466</v>
      </c>
      <c r="CC191" s="47">
        <v>4.2867636926376518</v>
      </c>
      <c r="CD191" s="41">
        <f t="shared" si="199"/>
        <v>11.780197317522925</v>
      </c>
      <c r="CE191" s="39">
        <v>8285.982392978025</v>
      </c>
      <c r="CF191" s="47">
        <v>4.1963390771688083</v>
      </c>
    </row>
    <row r="192" spans="1:101" s="22" customFormat="1" ht="15" customHeight="1" thickBot="1">
      <c r="A192" s="324"/>
      <c r="B192" s="60"/>
      <c r="C192" s="15"/>
      <c r="D192" s="15"/>
      <c r="E192" s="15"/>
      <c r="F192" s="60"/>
      <c r="G192" s="60"/>
      <c r="H192" s="42"/>
      <c r="I192" s="40"/>
      <c r="J192" s="39"/>
      <c r="K192" s="39"/>
      <c r="L192" s="39"/>
      <c r="M192" s="39"/>
      <c r="N192" s="39"/>
      <c r="O192" s="41"/>
      <c r="P192" s="61"/>
      <c r="Q192"/>
      <c r="R192"/>
      <c r="S192"/>
      <c r="T192"/>
      <c r="U192"/>
      <c r="V192" s="42"/>
      <c r="W192" s="42"/>
      <c r="X192" s="42"/>
      <c r="Y192" s="42"/>
      <c r="Z192" s="276"/>
      <c r="AA192" s="276"/>
      <c r="AB192" s="276"/>
      <c r="AC192" s="276"/>
      <c r="AD192" s="276"/>
      <c r="AE192" s="276"/>
      <c r="AF192" s="276"/>
      <c r="AG192" s="276"/>
      <c r="AH192" s="276"/>
      <c r="AI192" s="276"/>
      <c r="AJ192" s="276"/>
      <c r="AK192" s="276"/>
      <c r="AL192" s="276"/>
      <c r="AM192" s="42"/>
      <c r="AN192" s="42"/>
      <c r="AO192" s="276"/>
      <c r="AP192" s="62" t="s">
        <v>101</v>
      </c>
      <c r="AQ192" s="63">
        <v>1266.5790094350507</v>
      </c>
      <c r="AR192" s="64">
        <v>9491.0288535703785</v>
      </c>
      <c r="AS192" s="65">
        <v>1266.5790094350507</v>
      </c>
      <c r="AT192" s="64">
        <v>9491.0288535703785</v>
      </c>
      <c r="AU192" s="371">
        <v>7308882.8865025658</v>
      </c>
      <c r="AV192" s="296">
        <f>SUM(AV151:AV191)</f>
        <v>6752039.1287585599</v>
      </c>
      <c r="AW192" s="373">
        <f t="shared" si="168"/>
        <v>14060922.015261125</v>
      </c>
      <c r="AX192" s="66">
        <v>7342146.576943364</v>
      </c>
      <c r="AY192" s="67"/>
      <c r="AZ192" s="66">
        <v>-33263.690440795966</v>
      </c>
      <c r="BA192" s="68">
        <v>0.99546948701007187</v>
      </c>
      <c r="BB192" s="67"/>
      <c r="BC192" s="66">
        <v>4154284.655473514</v>
      </c>
      <c r="BD192" s="68">
        <v>1.7593601528659533</v>
      </c>
      <c r="BE192" s="65">
        <v>1213.9143061628063</v>
      </c>
      <c r="BF192" s="64">
        <v>9032.2815408519709</v>
      </c>
      <c r="BG192" s="65">
        <v>2480.4933155978574</v>
      </c>
      <c r="BH192" s="64">
        <v>18523.310394422348</v>
      </c>
      <c r="BI192" s="371">
        <v>7514150.8871704116</v>
      </c>
      <c r="BJ192" s="296">
        <f>SUM(BJ151:BJ191)</f>
        <v>6521917.704852473</v>
      </c>
      <c r="BK192" s="373">
        <f t="shared" si="202"/>
        <v>14036068.592022885</v>
      </c>
      <c r="BL192" s="66">
        <v>6976154.4700852605</v>
      </c>
      <c r="BM192" s="67"/>
      <c r="BN192" s="66">
        <v>537996.41708515317</v>
      </c>
      <c r="BO192" s="68">
        <v>1.0771193383678868</v>
      </c>
      <c r="BP192" s="67"/>
      <c r="BQ192" s="66">
        <v>3973493.02954697</v>
      </c>
      <c r="BR192" s="68">
        <v>1.8910693516498058</v>
      </c>
      <c r="BS192" s="65">
        <v>1170.0003841379346</v>
      </c>
      <c r="BT192" s="64">
        <v>8637.6413565779803</v>
      </c>
      <c r="BU192" s="65">
        <v>3546.2176747488293</v>
      </c>
      <c r="BV192" s="64">
        <v>26329.528439173151</v>
      </c>
      <c r="BW192" s="371">
        <v>7682787.8571416168</v>
      </c>
      <c r="BX192" s="296">
        <f>SUM(BX151:BX191)</f>
        <v>6574019.7378357127</v>
      </c>
      <c r="BY192" s="373">
        <f t="shared" si="203"/>
        <v>14256807.59497733</v>
      </c>
      <c r="BZ192" s="66">
        <v>7007954.0264810547</v>
      </c>
      <c r="CA192" s="67"/>
      <c r="CB192" s="66">
        <v>674833.8306605625</v>
      </c>
      <c r="CC192" s="68">
        <v>1.0962954134845289</v>
      </c>
      <c r="CD192" s="67"/>
      <c r="CE192" s="66">
        <v>3933442.1788449716</v>
      </c>
      <c r="CF192" s="68">
        <v>1.9531971001026929</v>
      </c>
    </row>
    <row r="193" spans="1:101" s="22" customFormat="1" ht="15" customHeight="1" thickBot="1">
      <c r="A193" s="324"/>
      <c r="B193"/>
      <c r="C193" s="15"/>
      <c r="D193" s="15"/>
      <c r="E193" s="15"/>
      <c r="F193" s="60"/>
      <c r="G193" s="60"/>
      <c r="H193" s="42"/>
      <c r="I193" s="40"/>
      <c r="J193" s="39"/>
      <c r="K193" s="39"/>
      <c r="L193" s="39"/>
      <c r="M193" s="39"/>
      <c r="N193" s="39"/>
      <c r="O193" s="41"/>
      <c r="P193" s="61"/>
      <c r="Q193"/>
      <c r="R193"/>
      <c r="S193"/>
      <c r="T193"/>
      <c r="U193"/>
      <c r="V193" s="42"/>
      <c r="W193" s="42"/>
      <c r="X193" s="42"/>
      <c r="Y193" s="42"/>
      <c r="Z193" s="276"/>
      <c r="AA193" s="276"/>
      <c r="AB193" s="276"/>
      <c r="AC193" s="276"/>
      <c r="AD193" s="276"/>
      <c r="AE193" s="276"/>
      <c r="AF193" s="276"/>
      <c r="AG193" s="276"/>
      <c r="AH193" s="276"/>
      <c r="AI193" s="276"/>
      <c r="AJ193" s="276"/>
      <c r="AK193" s="276"/>
      <c r="AL193" s="276"/>
      <c r="AM193" s="42"/>
      <c r="AN193" s="42"/>
      <c r="AO193" s="276"/>
      <c r="AP193" s="69" t="s">
        <v>102</v>
      </c>
      <c r="AQ193" s="382">
        <v>1266.5790094350507</v>
      </c>
      <c r="AR193" s="70">
        <v>9491.0288535703785</v>
      </c>
      <c r="AS193" s="71">
        <v>1266.5790094350507</v>
      </c>
      <c r="AT193" s="70">
        <v>9491.0288535703785</v>
      </c>
      <c r="AU193" s="394">
        <v>7308882.8865025658</v>
      </c>
      <c r="AV193" s="372">
        <f>SUM(AU192:AV192)/AX192</f>
        <v>1.9150968818052225</v>
      </c>
      <c r="AW193" s="295"/>
      <c r="AX193" s="72"/>
      <c r="AY193" s="73"/>
      <c r="AZ193" s="72"/>
      <c r="BA193" s="372">
        <v>0.99546948701007221</v>
      </c>
      <c r="BB193" s="73"/>
      <c r="BC193" s="72"/>
      <c r="BD193" s="383">
        <v>1.7593601528659524</v>
      </c>
      <c r="BE193" s="70">
        <v>1213.9143061628063</v>
      </c>
      <c r="BF193" s="70">
        <v>9032.2815408519709</v>
      </c>
      <c r="BG193" s="71">
        <v>2480.4933155978574</v>
      </c>
      <c r="BH193" s="70">
        <v>18523.310394422348</v>
      </c>
      <c r="BI193" s="394">
        <v>7514150.8871704116</v>
      </c>
      <c r="BJ193" s="372">
        <f>SUM(BI192:BJ192)/BL192</f>
        <v>2.0120065649652021</v>
      </c>
      <c r="BK193" s="295"/>
      <c r="BL193" s="72"/>
      <c r="BM193" s="73"/>
      <c r="BN193" s="72"/>
      <c r="BO193" s="372">
        <v>1.0771193383678865</v>
      </c>
      <c r="BP193" s="73"/>
      <c r="BQ193" s="72"/>
      <c r="BR193" s="73">
        <v>1.8910693516498061</v>
      </c>
      <c r="BS193" s="70">
        <v>1170.0003841379346</v>
      </c>
      <c r="BT193" s="70">
        <v>8637.6413565779803</v>
      </c>
      <c r="BU193" s="71">
        <v>3546.2176747488293</v>
      </c>
      <c r="BV193" s="70">
        <v>26329.528439173151</v>
      </c>
      <c r="BW193" s="394">
        <v>7682787.8571416168</v>
      </c>
      <c r="BX193" s="372">
        <f>SUM(BW192:BX192)/BZ192</f>
        <v>2.0343751601544375</v>
      </c>
      <c r="BY193" s="295"/>
      <c r="BZ193" s="72"/>
      <c r="CA193" s="73"/>
      <c r="CB193" s="72"/>
      <c r="CC193" s="372">
        <v>1.0962954134845286</v>
      </c>
      <c r="CD193" s="73"/>
      <c r="CE193" s="72"/>
      <c r="CF193" s="73">
        <v>1.953197100102692</v>
      </c>
    </row>
    <row r="194" spans="1:101" s="22" customFormat="1" ht="15" customHeight="1" thickBot="1">
      <c r="A194" s="324"/>
      <c r="B194" s="74"/>
      <c r="C194" s="74"/>
      <c r="D194" s="74"/>
      <c r="E194" s="21"/>
      <c r="F194" s="75"/>
      <c r="G194" s="75"/>
      <c r="H194" s="21"/>
      <c r="I194" s="21"/>
      <c r="J194" s="21"/>
      <c r="K194" s="21"/>
      <c r="L194" s="21"/>
      <c r="M194" s="21"/>
      <c r="N194" s="21"/>
      <c r="O194" s="21"/>
      <c r="P194" s="21"/>
      <c r="Q194"/>
      <c r="R194"/>
      <c r="S194"/>
      <c r="T194"/>
      <c r="U194"/>
      <c r="V194" s="21"/>
      <c r="W194" s="21"/>
      <c r="X194" s="21"/>
      <c r="Y194" s="21"/>
      <c r="Z194" s="277"/>
      <c r="AA194" s="277"/>
      <c r="AB194" s="277"/>
      <c r="AC194" s="277"/>
      <c r="AD194" s="277"/>
      <c r="AE194" s="277"/>
      <c r="AF194" s="277"/>
      <c r="AG194" s="277"/>
      <c r="AH194" s="277"/>
      <c r="AI194" s="277"/>
      <c r="AJ194" s="277"/>
      <c r="AK194" s="277"/>
      <c r="AL194" s="277"/>
      <c r="AM194" s="21"/>
      <c r="AN194" s="21"/>
      <c r="AO194" s="277"/>
      <c r="AQ194" s="384"/>
      <c r="AR194" s="385"/>
      <c r="AS194" s="385"/>
      <c r="AT194" s="385"/>
      <c r="AU194" s="384"/>
      <c r="AV194" s="412" t="s">
        <v>372</v>
      </c>
      <c r="AW194" s="411"/>
      <c r="AX194" s="385"/>
      <c r="AY194" s="386"/>
      <c r="AZ194" s="385"/>
      <c r="BA194" s="413" t="s">
        <v>413</v>
      </c>
      <c r="BB194" s="385"/>
      <c r="BC194" s="385"/>
      <c r="BD194" s="387"/>
      <c r="BI194" s="384"/>
      <c r="BJ194" s="412" t="s">
        <v>372</v>
      </c>
      <c r="BK194" s="411"/>
      <c r="BL194" s="385"/>
      <c r="BM194" s="386"/>
      <c r="BN194" s="385"/>
      <c r="BO194" s="413" t="s">
        <v>413</v>
      </c>
      <c r="BW194" s="384"/>
      <c r="BX194" s="412" t="s">
        <v>372</v>
      </c>
      <c r="BY194" s="411"/>
      <c r="BZ194" s="385"/>
      <c r="CA194" s="386"/>
      <c r="CB194" s="385"/>
      <c r="CC194" s="413" t="s">
        <v>413</v>
      </c>
    </row>
    <row r="195" spans="1:101" s="22" customFormat="1" ht="15" customHeight="1" thickBot="1">
      <c r="A195" s="324"/>
      <c r="B195" s="76"/>
      <c r="C195" s="76"/>
      <c r="D195" s="76"/>
      <c r="E195" s="21"/>
      <c r="F195" s="75"/>
      <c r="G195" s="75"/>
      <c r="H195" s="21"/>
      <c r="I195" s="21"/>
      <c r="J195" s="21"/>
      <c r="K195" s="21"/>
      <c r="L195" s="21"/>
      <c r="M195" s="21"/>
      <c r="N195" s="21"/>
      <c r="O195" s="21"/>
      <c r="P195" s="21"/>
      <c r="Q195"/>
      <c r="R195"/>
      <c r="S195"/>
      <c r="T195"/>
      <c r="U195"/>
      <c r="V195" s="21"/>
      <c r="W195" s="21"/>
      <c r="X195" s="21"/>
      <c r="Y195" s="21"/>
      <c r="Z195" s="277"/>
      <c r="AA195" s="277"/>
      <c r="AB195" s="277"/>
      <c r="AC195" s="277"/>
      <c r="AD195" s="277"/>
      <c r="AE195" s="277"/>
      <c r="AF195" s="277"/>
      <c r="AG195" s="277"/>
      <c r="AH195" s="277"/>
      <c r="AI195" s="277"/>
      <c r="AJ195" s="277"/>
      <c r="AK195" s="277"/>
      <c r="AL195" s="277"/>
      <c r="AM195" s="21"/>
      <c r="AN195" s="21"/>
      <c r="AO195" s="277"/>
      <c r="AP195" s="76" t="s">
        <v>127</v>
      </c>
      <c r="AQ195" s="388"/>
      <c r="AR195" s="21"/>
      <c r="AS195" s="77"/>
      <c r="AT195" s="21"/>
      <c r="AU195" s="395"/>
      <c r="AV195" s="297"/>
      <c r="AW195" s="369"/>
      <c r="AX195" s="21"/>
      <c r="AY195" s="326"/>
      <c r="AZ195" s="21"/>
      <c r="BA195" s="389"/>
      <c r="BB195" s="21"/>
      <c r="BC195" s="21"/>
      <c r="BD195" s="389"/>
      <c r="BE195" s="77"/>
      <c r="BF195" s="21"/>
      <c r="BG195" s="77"/>
      <c r="BH195" s="21"/>
      <c r="BI195" s="395"/>
      <c r="BJ195" s="297"/>
      <c r="BK195" s="297"/>
      <c r="BL195" s="21"/>
      <c r="BM195" s="326"/>
      <c r="BN195" s="21"/>
      <c r="BO195" s="389"/>
      <c r="BP195" s="21"/>
      <c r="BQ195" s="21"/>
      <c r="BR195" s="21"/>
      <c r="BS195" s="77"/>
      <c r="BT195" s="21"/>
      <c r="BU195" s="77"/>
      <c r="BV195" s="21"/>
      <c r="BW195" s="395"/>
      <c r="BX195" s="297"/>
      <c r="BY195" s="297"/>
      <c r="BZ195" s="21"/>
      <c r="CA195" s="326"/>
      <c r="CB195" s="21"/>
      <c r="CC195" s="389"/>
      <c r="CD195" s="21"/>
      <c r="CE195" s="21"/>
      <c r="CF195" s="21"/>
    </row>
    <row r="196" spans="1:101" s="22" customFormat="1" ht="15" customHeight="1" thickBot="1">
      <c r="A196" s="324"/>
      <c r="B196" s="76" t="s">
        <v>400</v>
      </c>
      <c r="C196" s="76"/>
      <c r="D196" s="76"/>
      <c r="E196" s="21"/>
      <c r="F196" s="75"/>
      <c r="G196" s="75"/>
      <c r="H196" s="21"/>
      <c r="I196" s="21"/>
      <c r="J196" s="21"/>
      <c r="K196" s="21"/>
      <c r="L196" s="21"/>
      <c r="M196" s="21"/>
      <c r="N196" s="21"/>
      <c r="O196" s="21"/>
      <c r="P196" s="21"/>
      <c r="Q196"/>
      <c r="R196"/>
      <c r="S196"/>
      <c r="T196"/>
      <c r="U196"/>
      <c r="V196" s="21"/>
      <c r="W196" s="21"/>
      <c r="X196" s="21"/>
      <c r="Y196" s="21"/>
      <c r="Z196" s="277"/>
      <c r="AA196" s="277"/>
      <c r="AB196" s="277"/>
      <c r="AC196" s="277"/>
      <c r="AD196" s="277"/>
      <c r="AE196" s="277"/>
      <c r="AF196" s="277"/>
      <c r="AG196" s="277"/>
      <c r="AH196" s="277"/>
      <c r="AI196" s="277"/>
      <c r="AJ196" s="277"/>
      <c r="AK196" s="277"/>
      <c r="AL196" s="277"/>
      <c r="AM196" s="21"/>
      <c r="AN196" s="21"/>
      <c r="AO196" s="277"/>
      <c r="AP196" s="377" t="s">
        <v>0</v>
      </c>
      <c r="AQ196" s="5" t="s">
        <v>104</v>
      </c>
      <c r="AR196" s="6"/>
      <c r="AS196" s="7"/>
      <c r="AT196" s="6"/>
      <c r="AU196" s="396"/>
      <c r="AV196" s="298"/>
      <c r="AW196" s="370"/>
      <c r="AX196" s="6"/>
      <c r="AY196" s="327"/>
      <c r="AZ196" s="6"/>
      <c r="BA196" s="8"/>
      <c r="BB196" s="6"/>
      <c r="BC196" s="6"/>
      <c r="BD196" s="8"/>
      <c r="BE196" s="7" t="s">
        <v>105</v>
      </c>
      <c r="BF196" s="6"/>
      <c r="BG196" s="7"/>
      <c r="BH196" s="6"/>
      <c r="BI196" s="396"/>
      <c r="BJ196" s="298"/>
      <c r="BK196" s="298"/>
      <c r="BL196" s="6"/>
      <c r="BM196" s="327"/>
      <c r="BN196" s="6"/>
      <c r="BO196" s="8"/>
      <c r="BP196" s="6"/>
      <c r="BQ196" s="6"/>
      <c r="BR196" s="8"/>
      <c r="BS196" s="5" t="s">
        <v>106</v>
      </c>
      <c r="BT196" s="6"/>
      <c r="BU196" s="7"/>
      <c r="BV196" s="6"/>
      <c r="BW196" s="396"/>
      <c r="BX196" s="298"/>
      <c r="BY196" s="298"/>
      <c r="BZ196" s="6"/>
      <c r="CA196" s="327"/>
      <c r="CB196" s="6"/>
      <c r="CC196" s="8"/>
      <c r="CD196" s="6"/>
      <c r="CE196" s="6"/>
      <c r="CF196" s="8"/>
    </row>
    <row r="197" spans="1:101" s="22" customFormat="1" ht="15" customHeight="1" thickBot="1">
      <c r="A197" s="324"/>
      <c r="B197" s="76"/>
      <c r="C197" s="76"/>
      <c r="D197" s="76"/>
      <c r="E197" s="21"/>
      <c r="F197" s="75"/>
      <c r="G197" s="75"/>
      <c r="H197" s="21"/>
      <c r="I197" s="21"/>
      <c r="J197" s="21"/>
      <c r="K197" s="21"/>
      <c r="L197" s="21"/>
      <c r="M197" s="21"/>
      <c r="N197" s="21"/>
      <c r="O197" s="21"/>
      <c r="P197" s="21"/>
      <c r="Q197"/>
      <c r="R197"/>
      <c r="S197"/>
      <c r="T197"/>
      <c r="U197"/>
      <c r="V197" s="21"/>
      <c r="W197" s="21"/>
      <c r="X197" s="21"/>
      <c r="Y197" s="21"/>
      <c r="Z197" s="277"/>
      <c r="AA197" s="277"/>
      <c r="AB197" s="277"/>
      <c r="AC197" s="277"/>
      <c r="AD197" s="277"/>
      <c r="AE197" s="277"/>
      <c r="AF197" s="277"/>
      <c r="AG197" s="277"/>
      <c r="AH197" s="277"/>
      <c r="AI197" s="277"/>
      <c r="AJ197" s="277"/>
      <c r="AK197" s="277"/>
      <c r="AL197" s="277"/>
      <c r="AM197" s="21"/>
      <c r="AN197" s="21"/>
      <c r="AO197" s="277"/>
      <c r="AP197" s="378"/>
      <c r="AQ197" s="9"/>
      <c r="AR197" s="10"/>
      <c r="AS197" s="11"/>
      <c r="AT197" s="10"/>
      <c r="AU197" s="397" t="s">
        <v>107</v>
      </c>
      <c r="AV197" s="299"/>
      <c r="AW197" s="370"/>
      <c r="AX197" s="10" t="s">
        <v>108</v>
      </c>
      <c r="AY197" s="328"/>
      <c r="AZ197" s="10" t="s">
        <v>109</v>
      </c>
      <c r="BA197" s="12" t="s">
        <v>110</v>
      </c>
      <c r="BB197" s="10"/>
      <c r="BC197" s="10" t="s">
        <v>111</v>
      </c>
      <c r="BD197" s="12" t="s">
        <v>112</v>
      </c>
      <c r="BE197" s="11"/>
      <c r="BF197" s="10"/>
      <c r="BG197" s="11"/>
      <c r="BH197" s="10"/>
      <c r="BI197" s="397" t="s">
        <v>107</v>
      </c>
      <c r="BJ197" s="299"/>
      <c r="BK197" s="299"/>
      <c r="BL197" s="10" t="s">
        <v>108</v>
      </c>
      <c r="BM197" s="328"/>
      <c r="BN197" s="10" t="s">
        <v>109</v>
      </c>
      <c r="BO197" s="12" t="s">
        <v>110</v>
      </c>
      <c r="BP197" s="10"/>
      <c r="BQ197" s="10" t="s">
        <v>111</v>
      </c>
      <c r="BR197" s="12" t="s">
        <v>112</v>
      </c>
      <c r="BS197" s="9"/>
      <c r="BT197" s="10"/>
      <c r="BU197" s="11"/>
      <c r="BV197" s="10"/>
      <c r="BW197" s="397" t="s">
        <v>107</v>
      </c>
      <c r="BX197" s="299"/>
      <c r="BY197" s="299"/>
      <c r="BZ197" s="10" t="s">
        <v>108</v>
      </c>
      <c r="CA197" s="328"/>
      <c r="CB197" s="10" t="s">
        <v>109</v>
      </c>
      <c r="CC197" s="12" t="s">
        <v>110</v>
      </c>
      <c r="CD197" s="10"/>
      <c r="CE197" s="10" t="s">
        <v>111</v>
      </c>
      <c r="CF197" s="12" t="s">
        <v>112</v>
      </c>
    </row>
    <row r="198" spans="1:101" s="22" customFormat="1" ht="15" customHeight="1" thickBot="1">
      <c r="A198" s="324"/>
      <c r="B198" s="85" t="s">
        <v>0</v>
      </c>
      <c r="C198" s="17" t="s">
        <v>1</v>
      </c>
      <c r="D198" s="18" t="s">
        <v>2</v>
      </c>
      <c r="E198" s="19" t="s">
        <v>3</v>
      </c>
      <c r="F198" s="19" t="s">
        <v>4</v>
      </c>
      <c r="G198" s="19" t="s">
        <v>5</v>
      </c>
      <c r="H198" s="19" t="s">
        <v>6</v>
      </c>
      <c r="I198" s="19" t="s">
        <v>7</v>
      </c>
      <c r="J198" s="19" t="s">
        <v>8</v>
      </c>
      <c r="K198" s="19" t="s">
        <v>9</v>
      </c>
      <c r="L198" s="19" t="s">
        <v>10</v>
      </c>
      <c r="M198" s="19" t="s">
        <v>11</v>
      </c>
      <c r="N198" s="19" t="s">
        <v>12</v>
      </c>
      <c r="O198" s="19" t="s">
        <v>13</v>
      </c>
      <c r="P198" s="19" t="s">
        <v>14</v>
      </c>
      <c r="Q198" s="258" t="s">
        <v>342</v>
      </c>
      <c r="R198" s="258" t="s">
        <v>343</v>
      </c>
      <c r="S198" s="258" t="s">
        <v>344</v>
      </c>
      <c r="T198" s="258" t="s">
        <v>345</v>
      </c>
      <c r="U198" s="269" t="s">
        <v>346</v>
      </c>
      <c r="V198" s="177"/>
      <c r="W198" s="182"/>
      <c r="X198" s="208"/>
      <c r="Y198" s="100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  <c r="AL198" s="278"/>
      <c r="AM198" s="177"/>
      <c r="AN198" s="100"/>
      <c r="AO198" s="278"/>
      <c r="AP198" s="376"/>
      <c r="AQ198" s="13" t="s">
        <v>15</v>
      </c>
      <c r="AR198" s="1" t="s">
        <v>16</v>
      </c>
      <c r="AS198" s="14" t="s">
        <v>17</v>
      </c>
      <c r="AT198" s="1" t="s">
        <v>18</v>
      </c>
      <c r="AU198" s="398" t="s">
        <v>19</v>
      </c>
      <c r="AV198" s="293"/>
      <c r="AW198" s="370"/>
      <c r="AX198" s="1" t="s">
        <v>20</v>
      </c>
      <c r="AY198" s="329"/>
      <c r="AZ198" s="2" t="s">
        <v>21</v>
      </c>
      <c r="BA198" s="4" t="s">
        <v>22</v>
      </c>
      <c r="BB198" s="3"/>
      <c r="BC198" s="1" t="s">
        <v>23</v>
      </c>
      <c r="BD198" s="4" t="s">
        <v>24</v>
      </c>
      <c r="BE198" s="14" t="s">
        <v>15</v>
      </c>
      <c r="BF198" s="1" t="s">
        <v>16</v>
      </c>
      <c r="BG198" s="14" t="s">
        <v>17</v>
      </c>
      <c r="BH198" s="1" t="s">
        <v>18</v>
      </c>
      <c r="BI198" s="398" t="s">
        <v>19</v>
      </c>
      <c r="BJ198" s="293"/>
      <c r="BK198" s="293"/>
      <c r="BL198" s="1" t="s">
        <v>20</v>
      </c>
      <c r="BM198" s="329"/>
      <c r="BN198" s="2" t="s">
        <v>21</v>
      </c>
      <c r="BO198" s="4" t="s">
        <v>22</v>
      </c>
      <c r="BP198" s="3"/>
      <c r="BQ198" s="1" t="s">
        <v>23</v>
      </c>
      <c r="BR198" s="4" t="s">
        <v>24</v>
      </c>
      <c r="BS198" s="13" t="s">
        <v>15</v>
      </c>
      <c r="BT198" s="1" t="s">
        <v>16</v>
      </c>
      <c r="BU198" s="14" t="s">
        <v>17</v>
      </c>
      <c r="BV198" s="1" t="s">
        <v>18</v>
      </c>
      <c r="BW198" s="398" t="s">
        <v>19</v>
      </c>
      <c r="BX198" s="293"/>
      <c r="BY198" s="293"/>
      <c r="BZ198" s="1" t="s">
        <v>20</v>
      </c>
      <c r="CA198" s="329"/>
      <c r="CB198" s="2" t="s">
        <v>21</v>
      </c>
      <c r="CC198" s="4" t="s">
        <v>22</v>
      </c>
      <c r="CD198" s="3"/>
      <c r="CE198" s="1" t="s">
        <v>23</v>
      </c>
      <c r="CF198" s="4" t="s">
        <v>24</v>
      </c>
    </row>
    <row r="199" spans="1:101" s="22" customFormat="1" ht="15" customHeight="1">
      <c r="A199" s="324" t="str">
        <f t="shared" ref="A199:A208" si="244">CONCATENATE($B$196,"; ",B199,"; ",C199,"; ",D199)</f>
        <v>Custom Incentives; Custom Efficiency; COM-Other; COM</v>
      </c>
      <c r="B199" s="36" t="s">
        <v>128</v>
      </c>
      <c r="C199" s="15" t="s">
        <v>27</v>
      </c>
      <c r="D199" s="15" t="s">
        <v>129</v>
      </c>
      <c r="E199" s="37">
        <v>15</v>
      </c>
      <c r="F199" s="38">
        <v>37581615</v>
      </c>
      <c r="G199" s="38">
        <v>4941061.9581209496</v>
      </c>
      <c r="H199" s="39">
        <v>10728000.000000002</v>
      </c>
      <c r="I199" s="40">
        <v>0.5</v>
      </c>
      <c r="J199" s="39">
        <v>2254896.9</v>
      </c>
      <c r="K199" s="39">
        <v>7618896.9000000004</v>
      </c>
      <c r="L199" s="39">
        <v>5364000.0000000009</v>
      </c>
      <c r="M199" s="39">
        <v>12982896.900000002</v>
      </c>
      <c r="N199" s="39">
        <v>35175370.804489881</v>
      </c>
      <c r="O199" s="41">
        <v>0.88</v>
      </c>
      <c r="P199" s="41">
        <v>2.6466785212700317</v>
      </c>
      <c r="Q199" s="261">
        <f>N199*O199/(O199*H199+J199)</f>
        <v>2.6466785212700317</v>
      </c>
      <c r="R199" s="262">
        <f t="shared" ref="R199:R200" si="245">Y199</f>
        <v>0</v>
      </c>
      <c r="S199" s="262">
        <f>-PV(RDR,E199,Z199)</f>
        <v>15967163.115466638</v>
      </c>
      <c r="T199" s="261">
        <f>(N199+SUM(R199:S199))*O199/(O199*H199+J199)</f>
        <v>3.848085832601813</v>
      </c>
      <c r="U199" s="267">
        <f t="shared" ref="U199:U200" si="246">(T199-Q199)/Q199</f>
        <v>0.4539302003158569</v>
      </c>
      <c r="V199" s="42" t="s">
        <v>350</v>
      </c>
      <c r="W199" s="198">
        <f>0.0368*W3</f>
        <v>4.6367999999999999E-2</v>
      </c>
      <c r="X199" s="198"/>
      <c r="Y199" s="353"/>
      <c r="Z199" s="354">
        <f>W199*F199-CW199</f>
        <v>1732128.8183740799</v>
      </c>
      <c r="AA199" s="246">
        <f>CV199*0.024</f>
        <v>41822.023783680001</v>
      </c>
      <c r="AB199" s="246">
        <f>CV199*0.004</f>
        <v>6970.3372972799998</v>
      </c>
      <c r="AC199" s="246">
        <f>CV199*0.002</f>
        <v>3485.1686486399999</v>
      </c>
      <c r="AD199" s="246">
        <f>CV199*0.076</f>
        <v>132436.40864831998</v>
      </c>
      <c r="AE199" s="246">
        <f>CV199*0.054</f>
        <v>94099.55351328</v>
      </c>
      <c r="AF199" s="246">
        <f>CV199*0.408</f>
        <v>710974.40432255995</v>
      </c>
      <c r="AG199" s="246">
        <f>CV199*0.078</f>
        <v>135921.57729695999</v>
      </c>
      <c r="AH199" s="246">
        <v>0</v>
      </c>
      <c r="AI199" s="246">
        <f>CV199*0.343</f>
        <v>597706.42324176</v>
      </c>
      <c r="AJ199" s="246">
        <f>CV199*0.006</f>
        <v>10455.50594592</v>
      </c>
      <c r="AK199" s="246">
        <f>SUM(AA199:AJ199)</f>
        <v>1733871.4026984</v>
      </c>
      <c r="AL199" s="246" t="s">
        <v>466</v>
      </c>
      <c r="AM199" s="252" t="s">
        <v>351</v>
      </c>
      <c r="AN199" s="102" t="s">
        <v>188</v>
      </c>
      <c r="AO199" s="246" t="s">
        <v>435</v>
      </c>
      <c r="AP199" s="43" t="s">
        <v>128</v>
      </c>
      <c r="AQ199" s="78">
        <v>2588.7979308687973</v>
      </c>
      <c r="AR199" s="79">
        <v>19690.343487962837</v>
      </c>
      <c r="AS199" s="80">
        <v>2588.7979308687973</v>
      </c>
      <c r="AT199" s="79">
        <v>19690.343487962837</v>
      </c>
      <c r="AU199" s="392">
        <v>18429626.652736064</v>
      </c>
      <c r="AV199" s="294">
        <f t="shared" ref="AV199:AV208" si="247">SUM(R199:S199)*O199*AY199</f>
        <v>8365764.1182229379</v>
      </c>
      <c r="AW199" s="295">
        <f t="shared" ref="AW199:AW262" si="248">AU199+AV199</f>
        <v>26795390.770959001</v>
      </c>
      <c r="AX199" s="81">
        <v>6963303.8182107769</v>
      </c>
      <c r="AY199" s="82">
        <v>0.59538128755857078</v>
      </c>
      <c r="AZ199" s="81">
        <v>11466322.834525287</v>
      </c>
      <c r="BA199" s="83">
        <v>2.6466785212700317</v>
      </c>
      <c r="BB199" s="82">
        <f t="shared" ref="BB199:BB200" si="249">SUM(AU199:AV199)/AX199</f>
        <v>3.848085832601813</v>
      </c>
      <c r="BC199" s="81">
        <v>4536148.6460980037</v>
      </c>
      <c r="BD199" s="83">
        <v>4.0628356984265128</v>
      </c>
      <c r="BE199" s="80">
        <v>2633.0657774684037</v>
      </c>
      <c r="BF199" s="79">
        <v>20027.043813092569</v>
      </c>
      <c r="BG199" s="80">
        <v>5221.8637083372014</v>
      </c>
      <c r="BH199" s="79">
        <v>39717.387301055409</v>
      </c>
      <c r="BI199" s="392">
        <v>19842400.481319495</v>
      </c>
      <c r="BJ199" s="294">
        <f t="shared" ref="BJ199:BJ208" si="250">SUM(R199:S199)*O199*BM199</f>
        <v>8508816.7521338817</v>
      </c>
      <c r="BK199" s="294">
        <f>BI199+BJ199</f>
        <v>28351217.233453378</v>
      </c>
      <c r="BL199" s="81">
        <v>7082374.7049630536</v>
      </c>
      <c r="BM199" s="82">
        <v>0.60556217004138158</v>
      </c>
      <c r="BN199" s="81">
        <v>12760025.77635644</v>
      </c>
      <c r="BO199" s="83">
        <v>2.801659232660298</v>
      </c>
      <c r="BP199" s="82">
        <f t="shared" ref="BP199:BP200" si="251">SUM(BI199:BJ199)/BL199</f>
        <v>4.0030665439920803</v>
      </c>
      <c r="BQ199" s="81">
        <v>4613715.7400855552</v>
      </c>
      <c r="BR199" s="83">
        <v>4.300741874693724</v>
      </c>
      <c r="BS199" s="78">
        <v>2686.679588355164</v>
      </c>
      <c r="BT199" s="79">
        <v>20434.829349179083</v>
      </c>
      <c r="BU199" s="80">
        <v>7908.5432966923654</v>
      </c>
      <c r="BV199" s="79">
        <v>60152.216650234492</v>
      </c>
      <c r="BW199" s="392">
        <v>21524618.284485668</v>
      </c>
      <c r="BX199" s="294">
        <f t="shared" ref="BX199:BX208" si="252">SUM(R199:S199)*O199*CA199</f>
        <v>8682071.099261364</v>
      </c>
      <c r="BY199" s="294">
        <f>BW199+BX199</f>
        <v>30206689.383747034</v>
      </c>
      <c r="BZ199" s="81">
        <v>7226584.2045168951</v>
      </c>
      <c r="CA199" s="82">
        <v>0.6178924718297365</v>
      </c>
      <c r="CB199" s="81">
        <v>14298034.079968773</v>
      </c>
      <c r="CC199" s="83">
        <v>2.9785328275884404</v>
      </c>
      <c r="CD199" s="82">
        <f t="shared" ref="CD199:CD200" si="253">SUM(BW199:BX199)/BZ199</f>
        <v>4.1799401389202222</v>
      </c>
      <c r="CE199" s="81">
        <v>4707659.0381569173</v>
      </c>
      <c r="CF199" s="83">
        <v>4.5722551506008626</v>
      </c>
      <c r="CV199" s="497">
        <f>W199*F199</f>
        <v>1742584.3243199999</v>
      </c>
      <c r="CW199" s="22">
        <v>10455.50594592</v>
      </c>
    </row>
    <row r="200" spans="1:101" s="22" customFormat="1" ht="14.25" customHeight="1">
      <c r="A200" s="324" t="str">
        <f t="shared" si="244"/>
        <v xml:space="preserve">Custom Incentives; Custom Efficiency; IND; Industrial </v>
      </c>
      <c r="B200" s="36" t="s">
        <v>128</v>
      </c>
      <c r="C200" s="15" t="s">
        <v>67</v>
      </c>
      <c r="D200" s="15" t="s">
        <v>68</v>
      </c>
      <c r="E200" s="37">
        <v>15</v>
      </c>
      <c r="F200" s="38">
        <v>37581615</v>
      </c>
      <c r="G200" s="38">
        <v>4290138.6986301569</v>
      </c>
      <c r="H200" s="39">
        <v>10728000.000000002</v>
      </c>
      <c r="I200" s="40">
        <v>0.5</v>
      </c>
      <c r="J200" s="39">
        <v>2254896.9</v>
      </c>
      <c r="K200" s="39">
        <v>7618896.9000000004</v>
      </c>
      <c r="L200" s="39">
        <v>5364000.0000000009</v>
      </c>
      <c r="M200" s="39">
        <v>12982896.900000002</v>
      </c>
      <c r="N200" s="39">
        <v>34155745.346699707</v>
      </c>
      <c r="O200" s="41">
        <v>0.88</v>
      </c>
      <c r="P200" s="41">
        <v>2.569959477883887</v>
      </c>
      <c r="Q200" s="261">
        <f>N200*O200/(O200*H200+J200)</f>
        <v>2.569959477883887</v>
      </c>
      <c r="R200" s="262">
        <f t="shared" si="245"/>
        <v>0</v>
      </c>
      <c r="S200" s="262">
        <f>-PV(RDR,E200,Z200)</f>
        <v>15967163.115466638</v>
      </c>
      <c r="T200" s="261">
        <f>(N200+SUM(R200:S200))*O200/(O200*H200+J200)</f>
        <v>3.7713667892156688</v>
      </c>
      <c r="U200" s="267">
        <f t="shared" si="246"/>
        <v>0.46748103293870785</v>
      </c>
      <c r="V200" s="42" t="s">
        <v>350</v>
      </c>
      <c r="W200" s="198">
        <f>0.0368*W3</f>
        <v>4.6367999999999999E-2</v>
      </c>
      <c r="X200" s="198"/>
      <c r="Y200" s="340"/>
      <c r="Z200" s="334">
        <f>W200*F200-CW200</f>
        <v>1732128.8183740799</v>
      </c>
      <c r="AA200" s="246">
        <f>CV200*0.024</f>
        <v>41822.023783680001</v>
      </c>
      <c r="AB200" s="246">
        <f>CV200*0.004</f>
        <v>6970.3372972799998</v>
      </c>
      <c r="AC200" s="246">
        <f>CV200*0.002</f>
        <v>3485.1686486399999</v>
      </c>
      <c r="AD200" s="246">
        <f>CV200*0.076</f>
        <v>132436.40864831998</v>
      </c>
      <c r="AE200" s="246">
        <f>CV200*0.054</f>
        <v>94099.55351328</v>
      </c>
      <c r="AF200" s="246">
        <f>CV200*0.408</f>
        <v>710974.40432255995</v>
      </c>
      <c r="AG200" s="246">
        <f>CV200*0.078</f>
        <v>135921.57729695999</v>
      </c>
      <c r="AH200" s="246">
        <v>0</v>
      </c>
      <c r="AI200" s="246">
        <f>CV200*0.343</f>
        <v>597706.42324176</v>
      </c>
      <c r="AJ200" s="246">
        <f>CV200*0.006</f>
        <v>10455.50594592</v>
      </c>
      <c r="AK200" s="246">
        <f>SUM(AA200:AJ200)</f>
        <v>1733871.4026984</v>
      </c>
      <c r="AL200" s="246" t="s">
        <v>466</v>
      </c>
      <c r="AM200" s="252" t="s">
        <v>351</v>
      </c>
      <c r="AN200" s="102" t="s">
        <v>188</v>
      </c>
      <c r="AO200" s="246" t="s">
        <v>435</v>
      </c>
      <c r="AP200" s="43" t="s">
        <v>128</v>
      </c>
      <c r="AQ200" s="44">
        <v>1490.4589217815271</v>
      </c>
      <c r="AR200" s="45">
        <v>13056.420154806117</v>
      </c>
      <c r="AS200" s="46">
        <v>1490.4589217815271</v>
      </c>
      <c r="AT200" s="45">
        <v>13056.420154806117</v>
      </c>
      <c r="AU200" s="393">
        <v>11866221.341128506</v>
      </c>
      <c r="AV200" s="295">
        <f t="shared" si="247"/>
        <v>5547233.4096300928</v>
      </c>
      <c r="AW200" s="295">
        <f t="shared" si="248"/>
        <v>17413454.750758599</v>
      </c>
      <c r="AX200" s="39">
        <v>4617279.5498313429</v>
      </c>
      <c r="AY200" s="41">
        <v>0.39478987491641726</v>
      </c>
      <c r="AZ200" s="39">
        <v>7248941.7912971629</v>
      </c>
      <c r="BA200" s="47">
        <v>2.5699594778838866</v>
      </c>
      <c r="BB200" s="41">
        <f t="shared" si="249"/>
        <v>3.7713667892156688</v>
      </c>
      <c r="BC200" s="39">
        <v>3007863.3541520797</v>
      </c>
      <c r="BD200" s="47">
        <v>3.9450666283587235</v>
      </c>
      <c r="BE200" s="46">
        <v>1476.7999739023849</v>
      </c>
      <c r="BF200" s="45">
        <v>12936.767771384832</v>
      </c>
      <c r="BG200" s="46">
        <v>2967.2588956839118</v>
      </c>
      <c r="BH200" s="45">
        <v>25993.187926190949</v>
      </c>
      <c r="BI200" s="393">
        <v>12425740.598499876</v>
      </c>
      <c r="BJ200" s="295">
        <f t="shared" si="250"/>
        <v>5496397.139734772</v>
      </c>
      <c r="BK200" s="295">
        <f>BI200+BJ200</f>
        <v>17922137.738234647</v>
      </c>
      <c r="BL200" s="39">
        <v>4574965.6156511297</v>
      </c>
      <c r="BM200" s="41">
        <v>0.39117191923451833</v>
      </c>
      <c r="BN200" s="39">
        <v>7850774.9828487458</v>
      </c>
      <c r="BO200" s="47">
        <v>2.716029286863042</v>
      </c>
      <c r="BP200" s="41">
        <f t="shared" si="251"/>
        <v>3.9174365981948234</v>
      </c>
      <c r="BQ200" s="39">
        <v>2980298.5228229226</v>
      </c>
      <c r="BR200" s="47">
        <v>4.16929394936259</v>
      </c>
      <c r="BS200" s="44">
        <v>1467.7465415684089</v>
      </c>
      <c r="BT200" s="45">
        <v>12857.459704139204</v>
      </c>
      <c r="BU200" s="46">
        <v>4435.0054372523209</v>
      </c>
      <c r="BV200" s="45">
        <v>38850.647630330153</v>
      </c>
      <c r="BW200" s="393">
        <v>13110642.918822603</v>
      </c>
      <c r="BX200" s="295">
        <f t="shared" si="252"/>
        <v>5462701.8116845191</v>
      </c>
      <c r="BY200" s="295">
        <f>BW200+BX200</f>
        <v>18573344.73050712</v>
      </c>
      <c r="BZ200" s="39">
        <v>4546919.0674634874</v>
      </c>
      <c r="CA200" s="41">
        <v>0.38877386359778715</v>
      </c>
      <c r="CB200" s="39">
        <v>8563723.8513591159</v>
      </c>
      <c r="CC200" s="47">
        <v>2.8834124215314909</v>
      </c>
      <c r="CD200" s="41">
        <f t="shared" si="253"/>
        <v>4.0848197328632718</v>
      </c>
      <c r="CE200" s="39">
        <v>2962027.9841662035</v>
      </c>
      <c r="CF200" s="47">
        <v>4.4262387083804633</v>
      </c>
      <c r="CV200" s="497">
        <f>W200*F200</f>
        <v>1742584.3243199999</v>
      </c>
      <c r="CW200" s="22">
        <v>10455.50594592</v>
      </c>
    </row>
    <row r="201" spans="1:101" s="22" customFormat="1" ht="35.25" customHeight="1">
      <c r="A201" s="324" t="str">
        <f t="shared" si="244"/>
        <v xml:space="preserve">Custom Incentives; Compressed Air-Custom; ; </v>
      </c>
      <c r="B201" s="36" t="s">
        <v>255</v>
      </c>
      <c r="C201" s="15"/>
      <c r="D201" s="15"/>
      <c r="E201" s="37"/>
      <c r="F201" s="38"/>
      <c r="G201" s="38"/>
      <c r="H201" s="39"/>
      <c r="I201" s="40"/>
      <c r="J201" s="39"/>
      <c r="K201" s="39"/>
      <c r="L201" s="39"/>
      <c r="M201" s="39"/>
      <c r="N201" s="39"/>
      <c r="O201" s="41"/>
      <c r="P201" s="41"/>
      <c r="Q201" s="261"/>
      <c r="R201" s="261"/>
      <c r="S201" s="261"/>
      <c r="T201" s="261"/>
      <c r="U201" s="267"/>
      <c r="V201" s="42" t="s">
        <v>260</v>
      </c>
      <c r="W201" s="199">
        <f>0.056*W3</f>
        <v>7.0559999999999998E-2</v>
      </c>
      <c r="X201" s="199"/>
      <c r="Y201" s="341"/>
      <c r="Z201" s="334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  <c r="AM201" s="252" t="s">
        <v>268</v>
      </c>
      <c r="AN201" s="102"/>
      <c r="AO201" s="246" t="s">
        <v>435</v>
      </c>
      <c r="AP201" s="43"/>
      <c r="AQ201" s="44"/>
      <c r="AR201" s="45"/>
      <c r="AS201" s="46"/>
      <c r="AT201" s="45"/>
      <c r="AU201" s="393"/>
      <c r="AV201" s="295">
        <f t="shared" si="247"/>
        <v>0</v>
      </c>
      <c r="AW201" s="295">
        <f t="shared" si="248"/>
        <v>0</v>
      </c>
      <c r="AX201" s="39"/>
      <c r="AY201" s="41"/>
      <c r="AZ201" s="39"/>
      <c r="BA201" s="47"/>
      <c r="BB201" s="41"/>
      <c r="BC201" s="39"/>
      <c r="BD201" s="47"/>
      <c r="BE201" s="46"/>
      <c r="BF201" s="45"/>
      <c r="BG201" s="46"/>
      <c r="BH201" s="45"/>
      <c r="BI201" s="393"/>
      <c r="BJ201" s="295">
        <f t="shared" si="250"/>
        <v>0</v>
      </c>
      <c r="BK201" s="295"/>
      <c r="BL201" s="39"/>
      <c r="BM201" s="41"/>
      <c r="BN201" s="39"/>
      <c r="BO201" s="47"/>
      <c r="BP201" s="41"/>
      <c r="BQ201" s="39"/>
      <c r="BR201" s="47"/>
      <c r="BS201" s="44"/>
      <c r="BT201" s="45"/>
      <c r="BU201" s="46"/>
      <c r="BV201" s="45"/>
      <c r="BW201" s="393"/>
      <c r="BX201" s="295">
        <f t="shared" si="252"/>
        <v>0</v>
      </c>
      <c r="BY201" s="295"/>
      <c r="BZ201" s="39"/>
      <c r="CA201" s="41"/>
      <c r="CB201" s="39"/>
      <c r="CC201" s="47"/>
      <c r="CD201" s="41"/>
      <c r="CE201" s="39"/>
      <c r="CF201" s="47"/>
    </row>
    <row r="202" spans="1:101" s="22" customFormat="1" ht="15" customHeight="1">
      <c r="A202" s="324" t="str">
        <f t="shared" si="244"/>
        <v xml:space="preserve">Custom Incentives; HVAC-Custom; ; </v>
      </c>
      <c r="B202" s="36" t="s">
        <v>256</v>
      </c>
      <c r="C202" s="15"/>
      <c r="D202" s="15"/>
      <c r="E202" s="37"/>
      <c r="F202" s="38"/>
      <c r="G202" s="38"/>
      <c r="H202" s="39"/>
      <c r="I202" s="40"/>
      <c r="J202" s="39"/>
      <c r="K202" s="39"/>
      <c r="L202" s="39"/>
      <c r="M202" s="39"/>
      <c r="N202" s="39"/>
      <c r="O202" s="41"/>
      <c r="P202" s="41"/>
      <c r="Q202" s="261"/>
      <c r="R202" s="261"/>
      <c r="S202" s="261"/>
      <c r="T202" s="261"/>
      <c r="U202" s="267"/>
      <c r="V202" s="42" t="s">
        <v>261</v>
      </c>
      <c r="W202" s="199">
        <f>0.024*W3</f>
        <v>3.024E-2</v>
      </c>
      <c r="X202" s="199"/>
      <c r="Y202" s="341"/>
      <c r="Z202" s="334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  <c r="AM202" s="252" t="s">
        <v>268</v>
      </c>
      <c r="AN202" s="102"/>
      <c r="AO202" s="246" t="s">
        <v>435</v>
      </c>
      <c r="AP202" s="43"/>
      <c r="AQ202" s="44"/>
      <c r="AR202" s="45"/>
      <c r="AS202" s="46"/>
      <c r="AT202" s="45"/>
      <c r="AU202" s="393"/>
      <c r="AV202" s="295">
        <f t="shared" si="247"/>
        <v>0</v>
      </c>
      <c r="AW202" s="295">
        <f t="shared" si="248"/>
        <v>0</v>
      </c>
      <c r="AX202" s="39"/>
      <c r="AY202" s="41"/>
      <c r="AZ202" s="39"/>
      <c r="BA202" s="47"/>
      <c r="BB202" s="41"/>
      <c r="BC202" s="39"/>
      <c r="BD202" s="47"/>
      <c r="BE202" s="46"/>
      <c r="BF202" s="45"/>
      <c r="BG202" s="46"/>
      <c r="BH202" s="45"/>
      <c r="BI202" s="393"/>
      <c r="BJ202" s="295">
        <f t="shared" si="250"/>
        <v>0</v>
      </c>
      <c r="BK202" s="295"/>
      <c r="BL202" s="39"/>
      <c r="BM202" s="41"/>
      <c r="BN202" s="39"/>
      <c r="BO202" s="47"/>
      <c r="BP202" s="41"/>
      <c r="BQ202" s="39"/>
      <c r="BR202" s="47"/>
      <c r="BS202" s="44"/>
      <c r="BT202" s="45"/>
      <c r="BU202" s="46"/>
      <c r="BV202" s="45"/>
      <c r="BW202" s="393"/>
      <c r="BX202" s="295">
        <f t="shared" si="252"/>
        <v>0</v>
      </c>
      <c r="BY202" s="295"/>
      <c r="BZ202" s="39"/>
      <c r="CA202" s="41"/>
      <c r="CB202" s="39"/>
      <c r="CC202" s="47"/>
      <c r="CD202" s="41"/>
      <c r="CE202" s="39"/>
      <c r="CF202" s="47"/>
    </row>
    <row r="203" spans="1:101" s="22" customFormat="1" ht="15" customHeight="1">
      <c r="A203" s="324" t="str">
        <f t="shared" si="244"/>
        <v xml:space="preserve">Custom Incentives; Lighting-Custom; ; </v>
      </c>
      <c r="B203" s="36" t="s">
        <v>257</v>
      </c>
      <c r="C203" s="15"/>
      <c r="D203" s="15"/>
      <c r="E203" s="37"/>
      <c r="F203" s="38"/>
      <c r="G203" s="38"/>
      <c r="H203" s="39"/>
      <c r="I203" s="40"/>
      <c r="J203" s="39"/>
      <c r="K203" s="39"/>
      <c r="L203" s="39"/>
      <c r="M203" s="39"/>
      <c r="N203" s="39"/>
      <c r="O203" s="41"/>
      <c r="P203" s="41"/>
      <c r="Q203" s="261"/>
      <c r="R203" s="261"/>
      <c r="S203" s="261"/>
      <c r="T203" s="261"/>
      <c r="U203" s="267"/>
      <c r="V203" s="42" t="s">
        <v>262</v>
      </c>
      <c r="W203" s="199">
        <f>0.059*W3</f>
        <v>7.4340000000000003E-2</v>
      </c>
      <c r="X203" s="199"/>
      <c r="Y203" s="341"/>
      <c r="Z203" s="334"/>
      <c r="AA203" s="246"/>
      <c r="AB203" s="246"/>
      <c r="AC203" s="246"/>
      <c r="AD203" s="246"/>
      <c r="AE203" s="246"/>
      <c r="AF203" s="246"/>
      <c r="AG203" s="246"/>
      <c r="AH203" s="246"/>
      <c r="AI203" s="246"/>
      <c r="AJ203" s="246"/>
      <c r="AK203" s="246"/>
      <c r="AL203" s="246"/>
      <c r="AM203" s="252" t="s">
        <v>268</v>
      </c>
      <c r="AN203" s="102"/>
      <c r="AO203" s="246" t="s">
        <v>435</v>
      </c>
      <c r="AP203" s="43"/>
      <c r="AQ203" s="44"/>
      <c r="AR203" s="45"/>
      <c r="AS203" s="46"/>
      <c r="AT203" s="45"/>
      <c r="AU203" s="393"/>
      <c r="AV203" s="295">
        <f t="shared" si="247"/>
        <v>0</v>
      </c>
      <c r="AW203" s="295">
        <f t="shared" si="248"/>
        <v>0</v>
      </c>
      <c r="AX203" s="39"/>
      <c r="AY203" s="41"/>
      <c r="AZ203" s="39"/>
      <c r="BA203" s="47"/>
      <c r="BB203" s="41"/>
      <c r="BC203" s="39"/>
      <c r="BD203" s="47"/>
      <c r="BE203" s="46"/>
      <c r="BF203" s="45"/>
      <c r="BG203" s="46"/>
      <c r="BH203" s="45"/>
      <c r="BI203" s="393"/>
      <c r="BJ203" s="295">
        <f t="shared" si="250"/>
        <v>0</v>
      </c>
      <c r="BK203" s="295"/>
      <c r="BL203" s="39"/>
      <c r="BM203" s="41"/>
      <c r="BN203" s="39"/>
      <c r="BO203" s="47"/>
      <c r="BP203" s="41"/>
      <c r="BQ203" s="39"/>
      <c r="BR203" s="47"/>
      <c r="BS203" s="44"/>
      <c r="BT203" s="45"/>
      <c r="BU203" s="46"/>
      <c r="BV203" s="45"/>
      <c r="BW203" s="393"/>
      <c r="BX203" s="295">
        <f t="shared" si="252"/>
        <v>0</v>
      </c>
      <c r="BY203" s="295"/>
      <c r="BZ203" s="39"/>
      <c r="CA203" s="41"/>
      <c r="CB203" s="39"/>
      <c r="CC203" s="47"/>
      <c r="CD203" s="41"/>
      <c r="CE203" s="39"/>
      <c r="CF203" s="47"/>
    </row>
    <row r="204" spans="1:101" s="22" customFormat="1" ht="15" customHeight="1">
      <c r="A204" s="324" t="str">
        <f t="shared" si="244"/>
        <v xml:space="preserve">Custom Incentives; Process-Custom; ; </v>
      </c>
      <c r="B204" s="36" t="s">
        <v>258</v>
      </c>
      <c r="C204" s="15"/>
      <c r="D204" s="15"/>
      <c r="E204" s="37"/>
      <c r="F204" s="38"/>
      <c r="G204" s="38"/>
      <c r="H204" s="39"/>
      <c r="I204" s="40"/>
      <c r="J204" s="39"/>
      <c r="K204" s="39"/>
      <c r="L204" s="39"/>
      <c r="M204" s="39"/>
      <c r="N204" s="39"/>
      <c r="O204" s="41"/>
      <c r="P204" s="41"/>
      <c r="Q204" s="261"/>
      <c r="R204" s="261"/>
      <c r="S204" s="261"/>
      <c r="T204" s="261"/>
      <c r="U204" s="267"/>
      <c r="V204" s="42" t="s">
        <v>260</v>
      </c>
      <c r="W204" s="199">
        <f>0.056*W3</f>
        <v>7.0559999999999998E-2</v>
      </c>
      <c r="X204" s="199"/>
      <c r="Y204" s="341"/>
      <c r="Z204" s="334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  <c r="AM204" s="252" t="s">
        <v>268</v>
      </c>
      <c r="AN204" s="102"/>
      <c r="AO204" s="246" t="s">
        <v>435</v>
      </c>
      <c r="AP204" s="43"/>
      <c r="AQ204" s="44"/>
      <c r="AR204" s="45"/>
      <c r="AS204" s="46"/>
      <c r="AT204" s="45"/>
      <c r="AU204" s="393"/>
      <c r="AV204" s="295">
        <f t="shared" si="247"/>
        <v>0</v>
      </c>
      <c r="AW204" s="295">
        <f t="shared" si="248"/>
        <v>0</v>
      </c>
      <c r="AX204" s="39"/>
      <c r="AY204" s="41"/>
      <c r="AZ204" s="39"/>
      <c r="BA204" s="47"/>
      <c r="BB204" s="41"/>
      <c r="BC204" s="39"/>
      <c r="BD204" s="47"/>
      <c r="BE204" s="46"/>
      <c r="BF204" s="45"/>
      <c r="BG204" s="46"/>
      <c r="BH204" s="45"/>
      <c r="BI204" s="393"/>
      <c r="BJ204" s="295">
        <f t="shared" si="250"/>
        <v>0</v>
      </c>
      <c r="BK204" s="295"/>
      <c r="BL204" s="39"/>
      <c r="BM204" s="41"/>
      <c r="BN204" s="39"/>
      <c r="BO204" s="47"/>
      <c r="BP204" s="41"/>
      <c r="BQ204" s="39"/>
      <c r="BR204" s="47"/>
      <c r="BS204" s="44"/>
      <c r="BT204" s="45"/>
      <c r="BU204" s="46"/>
      <c r="BV204" s="45"/>
      <c r="BW204" s="393"/>
      <c r="BX204" s="295">
        <f t="shared" si="252"/>
        <v>0</v>
      </c>
      <c r="BY204" s="295"/>
      <c r="BZ204" s="39"/>
      <c r="CA204" s="41"/>
      <c r="CB204" s="39"/>
      <c r="CC204" s="47"/>
      <c r="CD204" s="41"/>
      <c r="CE204" s="39"/>
      <c r="CF204" s="47"/>
    </row>
    <row r="205" spans="1:101" s="22" customFormat="1" ht="15" customHeight="1">
      <c r="A205" s="324" t="str">
        <f t="shared" si="244"/>
        <v xml:space="preserve">Custom Incentives; Refrigeration-Custom; ; </v>
      </c>
      <c r="B205" s="36" t="s">
        <v>259</v>
      </c>
      <c r="C205" s="15"/>
      <c r="D205" s="15"/>
      <c r="E205" s="37"/>
      <c r="F205" s="38"/>
      <c r="G205" s="38"/>
      <c r="H205" s="39"/>
      <c r="I205" s="40"/>
      <c r="J205" s="39"/>
      <c r="K205" s="39"/>
      <c r="L205" s="39"/>
      <c r="M205" s="39"/>
      <c r="N205" s="39"/>
      <c r="O205" s="41"/>
      <c r="P205" s="41"/>
      <c r="Q205" s="261"/>
      <c r="R205" s="261"/>
      <c r="S205" s="261"/>
      <c r="T205" s="261"/>
      <c r="U205" s="267"/>
      <c r="V205" s="42" t="s">
        <v>263</v>
      </c>
      <c r="W205" s="199">
        <f>0.047*W3</f>
        <v>5.9220000000000002E-2</v>
      </c>
      <c r="X205" s="199"/>
      <c r="Y205" s="341"/>
      <c r="Z205" s="334"/>
      <c r="AA205" s="246"/>
      <c r="AB205" s="246"/>
      <c r="AC205" s="246"/>
      <c r="AD205" s="246"/>
      <c r="AE205" s="246"/>
      <c r="AF205" s="246"/>
      <c r="AG205" s="246"/>
      <c r="AH205" s="246"/>
      <c r="AI205" s="246"/>
      <c r="AJ205" s="246"/>
      <c r="AK205" s="246"/>
      <c r="AL205" s="246"/>
      <c r="AM205" s="252" t="s">
        <v>268</v>
      </c>
      <c r="AN205" s="102"/>
      <c r="AO205" s="246" t="s">
        <v>435</v>
      </c>
      <c r="AP205" s="43"/>
      <c r="AQ205" s="44"/>
      <c r="AR205" s="45"/>
      <c r="AS205" s="46"/>
      <c r="AT205" s="45"/>
      <c r="AU205" s="393"/>
      <c r="AV205" s="295">
        <f t="shared" si="247"/>
        <v>0</v>
      </c>
      <c r="AW205" s="295">
        <f t="shared" si="248"/>
        <v>0</v>
      </c>
      <c r="AX205" s="39"/>
      <c r="AY205" s="41"/>
      <c r="AZ205" s="39"/>
      <c r="BA205" s="47"/>
      <c r="BB205" s="41"/>
      <c r="BC205" s="39"/>
      <c r="BD205" s="47"/>
      <c r="BE205" s="46"/>
      <c r="BF205" s="45"/>
      <c r="BG205" s="46"/>
      <c r="BH205" s="45"/>
      <c r="BI205" s="393"/>
      <c r="BJ205" s="295">
        <f t="shared" si="250"/>
        <v>0</v>
      </c>
      <c r="BK205" s="295"/>
      <c r="BL205" s="39"/>
      <c r="BM205" s="41"/>
      <c r="BN205" s="39"/>
      <c r="BO205" s="47"/>
      <c r="BP205" s="41"/>
      <c r="BQ205" s="39"/>
      <c r="BR205" s="47"/>
      <c r="BS205" s="44"/>
      <c r="BT205" s="45"/>
      <c r="BU205" s="46"/>
      <c r="BV205" s="45"/>
      <c r="BW205" s="393"/>
      <c r="BX205" s="295">
        <f t="shared" si="252"/>
        <v>0</v>
      </c>
      <c r="BY205" s="295"/>
      <c r="BZ205" s="39"/>
      <c r="CA205" s="41"/>
      <c r="CB205" s="39"/>
      <c r="CC205" s="47"/>
      <c r="CD205" s="41"/>
      <c r="CE205" s="39"/>
      <c r="CF205" s="47"/>
    </row>
    <row r="206" spans="1:101" s="22" customFormat="1" ht="15" customHeight="1" thickBot="1">
      <c r="A206" s="324" t="str">
        <f t="shared" si="244"/>
        <v xml:space="preserve">Custom Incentives; Motors and Drives-Custom; ; </v>
      </c>
      <c r="B206" s="36" t="s">
        <v>325</v>
      </c>
      <c r="C206" s="15"/>
      <c r="D206" s="15"/>
      <c r="E206" s="37"/>
      <c r="F206" s="38"/>
      <c r="G206" s="38"/>
      <c r="H206" s="39"/>
      <c r="I206" s="40"/>
      <c r="J206" s="39"/>
      <c r="K206" s="39"/>
      <c r="L206" s="39"/>
      <c r="M206" s="39"/>
      <c r="N206" s="39"/>
      <c r="O206" s="41"/>
      <c r="P206" s="41"/>
      <c r="Q206" s="261"/>
      <c r="R206" s="261"/>
      <c r="S206" s="261"/>
      <c r="T206" s="261"/>
      <c r="U206" s="267"/>
      <c r="V206" s="42" t="s">
        <v>38</v>
      </c>
      <c r="W206" s="199">
        <v>0</v>
      </c>
      <c r="X206" s="199"/>
      <c r="Y206" s="341"/>
      <c r="Z206" s="334"/>
      <c r="AA206" s="246"/>
      <c r="AB206" s="246"/>
      <c r="AC206" s="246"/>
      <c r="AD206" s="246"/>
      <c r="AE206" s="246"/>
      <c r="AF206" s="246"/>
      <c r="AG206" s="246"/>
      <c r="AH206" s="246"/>
      <c r="AI206" s="246"/>
      <c r="AJ206" s="246"/>
      <c r="AK206" s="246"/>
      <c r="AL206" s="246"/>
      <c r="AM206" s="256" t="s">
        <v>326</v>
      </c>
      <c r="AN206" s="102"/>
      <c r="AO206" s="246" t="s">
        <v>435</v>
      </c>
      <c r="AP206" s="43"/>
      <c r="AQ206" s="44"/>
      <c r="AR206" s="45"/>
      <c r="AS206" s="46"/>
      <c r="AT206" s="45"/>
      <c r="AU206" s="393"/>
      <c r="AV206" s="295">
        <f t="shared" si="247"/>
        <v>0</v>
      </c>
      <c r="AW206" s="369">
        <f t="shared" si="248"/>
        <v>0</v>
      </c>
      <c r="AX206" s="39"/>
      <c r="AY206" s="41"/>
      <c r="AZ206" s="39"/>
      <c r="BA206" s="47"/>
      <c r="BB206" s="41"/>
      <c r="BC206" s="39"/>
      <c r="BD206" s="47"/>
      <c r="BE206" s="46"/>
      <c r="BF206" s="45"/>
      <c r="BG206" s="46"/>
      <c r="BH206" s="45"/>
      <c r="BI206" s="393"/>
      <c r="BJ206" s="295">
        <f t="shared" si="250"/>
        <v>0</v>
      </c>
      <c r="BK206" s="295"/>
      <c r="BL206" s="39"/>
      <c r="BM206" s="41"/>
      <c r="BN206" s="39"/>
      <c r="BO206" s="47"/>
      <c r="BP206" s="41"/>
      <c r="BQ206" s="39"/>
      <c r="BR206" s="47"/>
      <c r="BS206" s="44"/>
      <c r="BT206" s="45"/>
      <c r="BU206" s="46"/>
      <c r="BV206" s="45"/>
      <c r="BW206" s="393"/>
      <c r="BX206" s="295">
        <f t="shared" si="252"/>
        <v>0</v>
      </c>
      <c r="BY206" s="295"/>
      <c r="BZ206" s="39"/>
      <c r="CA206" s="41"/>
      <c r="CB206" s="39"/>
      <c r="CC206" s="47"/>
      <c r="CD206" s="41"/>
      <c r="CE206" s="39"/>
      <c r="CF206" s="47"/>
    </row>
    <row r="207" spans="1:101" s="22" customFormat="1" ht="27.75" customHeight="1">
      <c r="A207" s="324" t="str">
        <f t="shared" si="244"/>
        <v>Custom Incentives; Whole Building 20% Over Baseline; COM-Other; New Construction - BNI</v>
      </c>
      <c r="B207" s="36" t="s">
        <v>130</v>
      </c>
      <c r="C207" s="15" t="s">
        <v>27</v>
      </c>
      <c r="D207" s="15" t="s">
        <v>131</v>
      </c>
      <c r="E207" s="37">
        <v>25</v>
      </c>
      <c r="F207" s="38">
        <v>2378.3673599999997</v>
      </c>
      <c r="G207" s="38">
        <v>312.69705905221349</v>
      </c>
      <c r="H207" s="39">
        <v>1737</v>
      </c>
      <c r="I207" s="40">
        <v>0.5</v>
      </c>
      <c r="J207" s="39">
        <v>126.05347007999998</v>
      </c>
      <c r="K207" s="39">
        <v>994.55347008000001</v>
      </c>
      <c r="L207" s="39">
        <v>868.5</v>
      </c>
      <c r="M207" s="39">
        <v>1863.0534700799999</v>
      </c>
      <c r="N207" s="39">
        <v>3321.2166515288218</v>
      </c>
      <c r="O207" s="41">
        <v>0.76</v>
      </c>
      <c r="P207" s="41">
        <v>1.7453816622858349</v>
      </c>
      <c r="Q207" s="261">
        <f>N207*O207/(O207*H207+J207)</f>
        <v>1.7453816622858349</v>
      </c>
      <c r="R207" s="262">
        <f t="shared" ref="R207:R208" si="254">Y207</f>
        <v>0</v>
      </c>
      <c r="S207" s="262">
        <f>-PV(RDR,E207,Z207)</f>
        <v>211.89358728614445</v>
      </c>
      <c r="T207" s="261">
        <f>(N207+SUM(R207:S207))*O207/(O207*H207+J207)</f>
        <v>1.856736993903529</v>
      </c>
      <c r="U207" s="267">
        <f t="shared" ref="U207:U208" si="255">(T207-Q207)/Q207</f>
        <v>6.3799989437185803E-2</v>
      </c>
      <c r="V207" s="42" t="s">
        <v>340</v>
      </c>
      <c r="W207" s="211">
        <f>0.006*W3</f>
        <v>7.5599999999999999E-3</v>
      </c>
      <c r="X207" s="198"/>
      <c r="Y207" s="340"/>
      <c r="Z207" s="334">
        <f>W207*F207-CW207</f>
        <v>17.872574498150396</v>
      </c>
      <c r="AA207" s="246">
        <f t="shared" ref="AA207:AA208" si="256">CV207*0.024</f>
        <v>0.43153097379839994</v>
      </c>
      <c r="AB207" s="246">
        <f t="shared" ref="AB207:AB208" si="257">CV207*0.004</f>
        <v>7.1921828966399981E-2</v>
      </c>
      <c r="AC207" s="246">
        <f t="shared" ref="AC207:AC208" si="258">CV207*0.002</f>
        <v>3.5960914483199991E-2</v>
      </c>
      <c r="AD207" s="246">
        <f t="shared" ref="AD207:AD208" si="259">CV207*0.076</f>
        <v>1.3665147503615998</v>
      </c>
      <c r="AE207" s="246">
        <f t="shared" ref="AE207:AE208" si="260">CV207*0.054</f>
        <v>0.9709446910463998</v>
      </c>
      <c r="AF207" s="246">
        <f t="shared" ref="AF207:AF208" si="261">CV207*0.408</f>
        <v>7.3360265545727978</v>
      </c>
      <c r="AG207" s="246">
        <f t="shared" ref="AG207:AG208" si="262">CV207*0.078</f>
        <v>1.4024756648447998</v>
      </c>
      <c r="AH207" s="246">
        <v>0</v>
      </c>
      <c r="AI207" s="246">
        <f t="shared" ref="AI207:AI208" si="263">CV207*0.343</f>
        <v>6.1672968338687992</v>
      </c>
      <c r="AJ207" s="246">
        <f t="shared" ref="AJ207:AJ208" si="264">CV207*0.006</f>
        <v>0.10788274344959999</v>
      </c>
      <c r="AK207" s="246">
        <f>SUM(AA207:AJ207)</f>
        <v>17.890554955391998</v>
      </c>
      <c r="AL207" s="246" t="s">
        <v>467</v>
      </c>
      <c r="AM207" s="252" t="s">
        <v>341</v>
      </c>
      <c r="AN207" s="102" t="s">
        <v>188</v>
      </c>
      <c r="AO207" s="246" t="s">
        <v>435</v>
      </c>
      <c r="AP207" s="43" t="s">
        <v>130</v>
      </c>
      <c r="AQ207" s="78">
        <v>54.711233213228482</v>
      </c>
      <c r="AR207" s="79">
        <v>416.13250759087822</v>
      </c>
      <c r="AS207" s="80">
        <v>54.711233213228482</v>
      </c>
      <c r="AT207" s="79">
        <v>416.13250759087822</v>
      </c>
      <c r="AU207" s="392">
        <v>581098.71363743767</v>
      </c>
      <c r="AV207" s="294">
        <f t="shared" si="247"/>
        <v>37074.091792030791</v>
      </c>
      <c r="AW207" s="295">
        <f t="shared" si="248"/>
        <v>618172.80542946851</v>
      </c>
      <c r="AX207" s="81">
        <v>332935.04005101282</v>
      </c>
      <c r="AY207" s="82">
        <v>230.21791433678794</v>
      </c>
      <c r="AZ207" s="81">
        <v>248163.67358642485</v>
      </c>
      <c r="BA207" s="83">
        <v>1.7453816622858345</v>
      </c>
      <c r="BB207" s="82">
        <f t="shared" ref="BB207:BB208" si="265">SUM(AU207:AV207)/AX207</f>
        <v>1.8567369939035288</v>
      </c>
      <c r="BC207" s="81">
        <v>228964.02557823263</v>
      </c>
      <c r="BD207" s="83">
        <v>2.537947663044068</v>
      </c>
      <c r="BE207" s="80">
        <v>48.90708553253441</v>
      </c>
      <c r="BF207" s="79">
        <v>371.98628044623001</v>
      </c>
      <c r="BG207" s="80">
        <v>103.61831874576289</v>
      </c>
      <c r="BH207" s="79">
        <v>788.11878803710829</v>
      </c>
      <c r="BI207" s="392">
        <v>545771.20110480092</v>
      </c>
      <c r="BJ207" s="294">
        <f t="shared" si="250"/>
        <v>33141.014592876629</v>
      </c>
      <c r="BK207" s="294">
        <f>BI207+BJ207</f>
        <v>578912.21569767757</v>
      </c>
      <c r="BL207" s="81">
        <v>297614.97820918536</v>
      </c>
      <c r="BM207" s="82">
        <v>205.79479873373819</v>
      </c>
      <c r="BN207" s="81">
        <v>248156.22289561556</v>
      </c>
      <c r="BO207" s="83">
        <v>1.8338163098807259</v>
      </c>
      <c r="BP207" s="82">
        <f t="shared" ref="BP207:BP208" si="266">SUM(BI207:BJ207)/BL207</f>
        <v>1.9451716414984199</v>
      </c>
      <c r="BQ207" s="81">
        <v>204673.93120505448</v>
      </c>
      <c r="BR207" s="83">
        <v>2.6665398856194096</v>
      </c>
      <c r="BS207" s="78">
        <v>50.082174441622186</v>
      </c>
      <c r="BT207" s="79">
        <v>380.923982370717</v>
      </c>
      <c r="BU207" s="80">
        <v>153.70049318738506</v>
      </c>
      <c r="BV207" s="79">
        <v>1169.0427704078252</v>
      </c>
      <c r="BW207" s="392">
        <v>588198.14620748593</v>
      </c>
      <c r="BX207" s="294">
        <f t="shared" si="252"/>
        <v>33937.292642569431</v>
      </c>
      <c r="BY207" s="294">
        <f>BW207+BX207</f>
        <v>622135.43885005533</v>
      </c>
      <c r="BZ207" s="81">
        <v>304765.76334111416</v>
      </c>
      <c r="CA207" s="82">
        <v>210.73942348303135</v>
      </c>
      <c r="CB207" s="81">
        <v>283432.38286637177</v>
      </c>
      <c r="CC207" s="83">
        <v>1.9300007315754013</v>
      </c>
      <c r="CD207" s="82">
        <f t="shared" ref="CD207:CD208" si="267">SUM(BW207:BX207)/BZ207</f>
        <v>2.0413560631930951</v>
      </c>
      <c r="CE207" s="81">
        <v>209591.62490770748</v>
      </c>
      <c r="CF207" s="83">
        <v>2.8064010022656953</v>
      </c>
      <c r="CV207" s="497">
        <f>W207*F207</f>
        <v>17.980457241599996</v>
      </c>
      <c r="CW207" s="22">
        <v>0.10788274344959999</v>
      </c>
    </row>
    <row r="208" spans="1:101" s="22" customFormat="1" ht="35.25" customHeight="1" thickBot="1">
      <c r="A208" s="324" t="str">
        <f t="shared" si="244"/>
        <v>Custom Incentives; Whole Building 40% Over Baseline; COM-Other; New Construction - BNI</v>
      </c>
      <c r="B208" s="53" t="s">
        <v>132</v>
      </c>
      <c r="C208" s="16" t="s">
        <v>27</v>
      </c>
      <c r="D208" s="16" t="s">
        <v>131</v>
      </c>
      <c r="E208" s="54">
        <v>25</v>
      </c>
      <c r="F208" s="55">
        <v>4756.7347199999995</v>
      </c>
      <c r="G208" s="55">
        <v>625.39411810442698</v>
      </c>
      <c r="H208" s="56">
        <v>3473</v>
      </c>
      <c r="I208" s="57">
        <v>0.5</v>
      </c>
      <c r="J208" s="56">
        <v>252.10694015999997</v>
      </c>
      <c r="K208" s="56">
        <v>1988.60694016</v>
      </c>
      <c r="L208" s="56">
        <v>1736.5</v>
      </c>
      <c r="M208" s="56">
        <v>3725.1069401599998</v>
      </c>
      <c r="N208" s="56">
        <v>6642.4333030576436</v>
      </c>
      <c r="O208" s="58">
        <v>0.76</v>
      </c>
      <c r="P208" s="58">
        <v>1.7458404034860093</v>
      </c>
      <c r="Q208" s="263">
        <f>N208*O208/(O208*H208+J208)</f>
        <v>1.7458404034860093</v>
      </c>
      <c r="R208" s="264">
        <f t="shared" si="254"/>
        <v>0</v>
      </c>
      <c r="S208" s="264">
        <f>-PV(RDR,E208,Z208)</f>
        <v>423.7871745722889</v>
      </c>
      <c r="T208" s="263">
        <f>(N208+SUM(R208:S208))*O208/(O208*H208+J208)</f>
        <v>1.8572250027874289</v>
      </c>
      <c r="U208" s="268">
        <f t="shared" si="255"/>
        <v>6.3799989437185761E-2</v>
      </c>
      <c r="V208" s="59" t="s">
        <v>340</v>
      </c>
      <c r="W208" s="212">
        <f>0.006*W3</f>
        <v>7.5599999999999999E-3</v>
      </c>
      <c r="X208" s="201"/>
      <c r="Y208" s="342"/>
      <c r="Z208" s="339">
        <f>W208*F208-CW208</f>
        <v>35.745148996300792</v>
      </c>
      <c r="AA208" s="275">
        <f t="shared" si="256"/>
        <v>0.86306194759679988</v>
      </c>
      <c r="AB208" s="275">
        <f t="shared" si="257"/>
        <v>0.14384365793279996</v>
      </c>
      <c r="AC208" s="275">
        <f t="shared" si="258"/>
        <v>7.1921828966399981E-2</v>
      </c>
      <c r="AD208" s="275">
        <f t="shared" si="259"/>
        <v>2.7330295007231995</v>
      </c>
      <c r="AE208" s="275">
        <f t="shared" si="260"/>
        <v>1.9418893820927996</v>
      </c>
      <c r="AF208" s="275">
        <f t="shared" si="261"/>
        <v>14.672053109145596</v>
      </c>
      <c r="AG208" s="275">
        <f t="shared" si="262"/>
        <v>2.8049513296895996</v>
      </c>
      <c r="AH208" s="275">
        <v>0</v>
      </c>
      <c r="AI208" s="275">
        <f t="shared" si="263"/>
        <v>12.334593667737598</v>
      </c>
      <c r="AJ208" s="275">
        <f t="shared" si="264"/>
        <v>0.21576548689919997</v>
      </c>
      <c r="AK208" s="275">
        <f>SUM(AA208:AJ208)</f>
        <v>35.781109910783996</v>
      </c>
      <c r="AL208" s="246" t="s">
        <v>467</v>
      </c>
      <c r="AM208" s="253" t="s">
        <v>341</v>
      </c>
      <c r="AN208" s="103" t="s">
        <v>188</v>
      </c>
      <c r="AO208" s="246" t="s">
        <v>435</v>
      </c>
      <c r="AP208" s="43" t="s">
        <v>132</v>
      </c>
      <c r="AQ208" s="44">
        <v>109.42238984271037</v>
      </c>
      <c r="AR208" s="45">
        <v>832.26443268736477</v>
      </c>
      <c r="AS208" s="46">
        <v>109.42238984271037</v>
      </c>
      <c r="AT208" s="45">
        <v>832.26443268736477</v>
      </c>
      <c r="AU208" s="393">
        <v>1162196.6138639173</v>
      </c>
      <c r="AV208" s="295">
        <f t="shared" si="247"/>
        <v>74148.131688451031</v>
      </c>
      <c r="AW208" s="295">
        <f t="shared" si="248"/>
        <v>1236344.7455523682</v>
      </c>
      <c r="AX208" s="39">
        <v>665694.64857343177</v>
      </c>
      <c r="AY208" s="41">
        <v>230.21775320945284</v>
      </c>
      <c r="AZ208" s="39">
        <v>496501.96529048553</v>
      </c>
      <c r="BA208" s="47">
        <v>1.7458404034860093</v>
      </c>
      <c r="BB208" s="41">
        <f t="shared" si="265"/>
        <v>1.8572250027874289</v>
      </c>
      <c r="BC208" s="39">
        <v>457812.62178036</v>
      </c>
      <c r="BD208" s="47">
        <v>2.5385857850408771</v>
      </c>
      <c r="BE208" s="46">
        <v>97.814215032223473</v>
      </c>
      <c r="BF208" s="45">
        <v>743.97289530572846</v>
      </c>
      <c r="BG208" s="46">
        <v>207.23660487493385</v>
      </c>
      <c r="BH208" s="45">
        <v>1576.2373279930932</v>
      </c>
      <c r="BI208" s="393">
        <v>1091542.8928543935</v>
      </c>
      <c r="BJ208" s="295">
        <f t="shared" si="250"/>
        <v>66282.058979311754</v>
      </c>
      <c r="BK208" s="369">
        <f>BI208+BJ208</f>
        <v>1157824.9518337052</v>
      </c>
      <c r="BL208" s="39">
        <v>595073.81985497696</v>
      </c>
      <c r="BM208" s="41">
        <v>205.79489123783694</v>
      </c>
      <c r="BN208" s="39">
        <v>496469.0729994165</v>
      </c>
      <c r="BO208" s="47">
        <v>1.8342982944879158</v>
      </c>
      <c r="BP208" s="41">
        <f t="shared" si="266"/>
        <v>1.9456828937893353</v>
      </c>
      <c r="BQ208" s="39">
        <v>409245.14896503487</v>
      </c>
      <c r="BR208" s="47">
        <v>2.6672103398534182</v>
      </c>
      <c r="BS208" s="44">
        <v>100.1644875509926</v>
      </c>
      <c r="BT208" s="45">
        <v>761.84901944545732</v>
      </c>
      <c r="BU208" s="46">
        <v>307.40109242592644</v>
      </c>
      <c r="BV208" s="45">
        <v>2338.0863474385505</v>
      </c>
      <c r="BW208" s="393">
        <v>1176397.9210206254</v>
      </c>
      <c r="BX208" s="295">
        <f t="shared" si="252"/>
        <v>67874.679250866277</v>
      </c>
      <c r="BY208" s="295">
        <f>BW208+BX208</f>
        <v>1244272.6002714916</v>
      </c>
      <c r="BZ208" s="39">
        <v>609372.20833545888</v>
      </c>
      <c r="CA208" s="41">
        <v>210.73971523115972</v>
      </c>
      <c r="CB208" s="39">
        <v>567025.71268516651</v>
      </c>
      <c r="CC208" s="47">
        <v>1.9305079964740028</v>
      </c>
      <c r="CD208" s="41">
        <f t="shared" si="267"/>
        <v>2.0418925957754221</v>
      </c>
      <c r="CE208" s="39">
        <v>419078.46027602628</v>
      </c>
      <c r="CF208" s="47">
        <v>2.8071066221007643</v>
      </c>
      <c r="CV208" s="497">
        <f>W208*F208</f>
        <v>35.960914483199993</v>
      </c>
      <c r="CW208" s="22">
        <v>0.21576548689919997</v>
      </c>
    </row>
    <row r="209" spans="1:84" s="22" customFormat="1" ht="15" customHeight="1" thickBot="1">
      <c r="A209" s="324"/>
      <c r="B209" s="60"/>
      <c r="C209" s="15"/>
      <c r="D209" s="15"/>
      <c r="E209" s="15"/>
      <c r="F209" s="60"/>
      <c r="G209" s="60"/>
      <c r="H209" s="42"/>
      <c r="I209" s="40"/>
      <c r="J209" s="39"/>
      <c r="K209" s="39"/>
      <c r="L209" s="39"/>
      <c r="M209" s="39"/>
      <c r="N209" s="39"/>
      <c r="O209" s="41"/>
      <c r="P209" s="61"/>
      <c r="Q209"/>
      <c r="R209"/>
      <c r="S209"/>
      <c r="T209"/>
      <c r="U209"/>
      <c r="V209" s="42"/>
      <c r="W209" s="42"/>
      <c r="X209" s="42"/>
      <c r="Y209" s="42"/>
      <c r="Z209" s="276"/>
      <c r="AA209" s="276"/>
      <c r="AB209" s="276"/>
      <c r="AC209" s="276"/>
      <c r="AD209" s="276"/>
      <c r="AE209" s="276"/>
      <c r="AF209" s="276"/>
      <c r="AG209" s="276"/>
      <c r="AH209" s="276"/>
      <c r="AI209" s="276"/>
      <c r="AJ209" s="276"/>
      <c r="AK209" s="276"/>
      <c r="AL209" s="276"/>
      <c r="AM209" s="42"/>
      <c r="AN209" s="42"/>
      <c r="AO209" s="276"/>
      <c r="AP209" s="62" t="s">
        <v>101</v>
      </c>
      <c r="AQ209" s="63">
        <v>4243.3904757062637</v>
      </c>
      <c r="AR209" s="64">
        <v>33995.160583047196</v>
      </c>
      <c r="AS209" s="65">
        <v>4243.3904757062637</v>
      </c>
      <c r="AT209" s="64">
        <v>33995.160583047196</v>
      </c>
      <c r="AU209" s="371">
        <v>32039143.321365926</v>
      </c>
      <c r="AV209" s="296">
        <f>SUM(AV199:AV208)</f>
        <v>14024219.751333512</v>
      </c>
      <c r="AW209" s="373">
        <f t="shared" si="248"/>
        <v>46063363.072699443</v>
      </c>
      <c r="AX209" s="66">
        <v>12579213.056666564</v>
      </c>
      <c r="AY209" s="67"/>
      <c r="AZ209" s="66">
        <v>19459930.264699362</v>
      </c>
      <c r="BA209" s="68">
        <v>2.5469910698735041</v>
      </c>
      <c r="BB209" s="67"/>
      <c r="BC209" s="66">
        <v>8230788.647608676</v>
      </c>
      <c r="BD209" s="68">
        <v>3.8925970150715008</v>
      </c>
      <c r="BE209" s="65">
        <v>4256.5870519355467</v>
      </c>
      <c r="BF209" s="64">
        <v>34079.770760229359</v>
      </c>
      <c r="BG209" s="65">
        <v>8499.9775276418095</v>
      </c>
      <c r="BH209" s="64">
        <v>68074.931343276563</v>
      </c>
      <c r="BI209" s="371">
        <v>33905455.173778564</v>
      </c>
      <c r="BJ209" s="296">
        <f>SUM(BJ199:BJ208)</f>
        <v>14104636.965440843</v>
      </c>
      <c r="BK209" s="373">
        <f>BI209+BJ209</f>
        <v>48010092.139219403</v>
      </c>
      <c r="BL209" s="66">
        <v>12550029.118678344</v>
      </c>
      <c r="BM209" s="67"/>
      <c r="BN209" s="66">
        <v>21355426.055100217</v>
      </c>
      <c r="BO209" s="68">
        <v>2.7016236259816089</v>
      </c>
      <c r="BP209" s="67"/>
      <c r="BQ209" s="66">
        <v>8207933.3430785667</v>
      </c>
      <c r="BR209" s="68">
        <v>4.1308151219782658</v>
      </c>
      <c r="BS209" s="65">
        <v>4304.6727919161885</v>
      </c>
      <c r="BT209" s="64">
        <v>34435.062055134462</v>
      </c>
      <c r="BU209" s="65">
        <v>12804.650319557997</v>
      </c>
      <c r="BV209" s="64">
        <v>102509.99339841104</v>
      </c>
      <c r="BW209" s="371">
        <v>36399857.270536385</v>
      </c>
      <c r="BX209" s="296">
        <f>SUM(BX199:BX208)</f>
        <v>14246584.882839318</v>
      </c>
      <c r="BY209" s="373">
        <f>BW209+BX209</f>
        <v>50646442.1533757</v>
      </c>
      <c r="BZ209" s="66">
        <v>12687641.243656956</v>
      </c>
      <c r="CA209" s="67"/>
      <c r="CB209" s="66">
        <v>23712216.026879426</v>
      </c>
      <c r="CC209" s="68">
        <v>2.8689223293363599</v>
      </c>
      <c r="CD209" s="67"/>
      <c r="CE209" s="66">
        <v>8298357.1075068545</v>
      </c>
      <c r="CF209" s="68">
        <v>4.3863932100015761</v>
      </c>
    </row>
    <row r="210" spans="1:84" s="22" customFormat="1" ht="15" customHeight="1" thickBot="1">
      <c r="A210" s="324"/>
      <c r="B210"/>
      <c r="C210" s="74"/>
      <c r="D210" s="74"/>
      <c r="E210" s="21"/>
      <c r="F210" s="75"/>
      <c r="G210" s="75"/>
      <c r="H210" s="21"/>
      <c r="I210" s="21"/>
      <c r="J210" s="21"/>
      <c r="K210" s="21"/>
      <c r="L210" s="21"/>
      <c r="M210" s="21"/>
      <c r="N210" s="21"/>
      <c r="O210" s="21"/>
      <c r="P210" s="21"/>
      <c r="Q210"/>
      <c r="R210"/>
      <c r="S210"/>
      <c r="T210"/>
      <c r="U210"/>
      <c r="V210" s="21"/>
      <c r="W210" s="21"/>
      <c r="X210" s="21"/>
      <c r="Y210" s="21"/>
      <c r="Z210" s="277"/>
      <c r="AA210" s="277"/>
      <c r="AB210" s="277"/>
      <c r="AC210" s="277"/>
      <c r="AD210" s="277"/>
      <c r="AE210" s="277"/>
      <c r="AF210" s="277"/>
      <c r="AG210" s="277"/>
      <c r="AH210" s="277"/>
      <c r="AI210" s="277"/>
      <c r="AJ210" s="277"/>
      <c r="AK210" s="277"/>
      <c r="AL210" s="277"/>
      <c r="AM210" s="21"/>
      <c r="AN210" s="21"/>
      <c r="AO210" s="277"/>
      <c r="AP210" s="69" t="s">
        <v>102</v>
      </c>
      <c r="AQ210" s="382">
        <v>4243.3904757062637</v>
      </c>
      <c r="AR210" s="70">
        <v>33995.160583047196</v>
      </c>
      <c r="AS210" s="71">
        <v>4243.3904757062637</v>
      </c>
      <c r="AT210" s="70">
        <v>33995.160583047196</v>
      </c>
      <c r="AU210" s="394">
        <v>32039143.321365926</v>
      </c>
      <c r="AV210" s="372">
        <f>SUM(AU209:AV209)/AX209</f>
        <v>3.6618636527733659</v>
      </c>
      <c r="AW210" s="295"/>
      <c r="AX210" s="72"/>
      <c r="AY210" s="73"/>
      <c r="AZ210" s="72"/>
      <c r="BA210" s="372">
        <f>BA209</f>
        <v>2.5469910698735041</v>
      </c>
      <c r="BB210" s="73"/>
      <c r="BC210" s="72"/>
      <c r="BD210" s="383">
        <v>3.8925970150714999</v>
      </c>
      <c r="BE210" s="70">
        <v>4256.5870519355467</v>
      </c>
      <c r="BF210" s="70">
        <v>34079.770760229359</v>
      </c>
      <c r="BG210" s="71">
        <v>8499.9775276418095</v>
      </c>
      <c r="BH210" s="70">
        <v>68074.931343276563</v>
      </c>
      <c r="BI210" s="394">
        <v>33905455.173778564</v>
      </c>
      <c r="BJ210" s="372">
        <f>SUM(BI209:BJ209)/BL209</f>
        <v>3.8254964737703645</v>
      </c>
      <c r="BK210" s="295"/>
      <c r="BL210" s="72"/>
      <c r="BM210" s="73"/>
      <c r="BN210" s="72"/>
      <c r="BO210" s="372">
        <v>2.7016236259816084</v>
      </c>
      <c r="BP210" s="73"/>
      <c r="BQ210" s="72"/>
      <c r="BR210" s="73">
        <v>4.1308151219782649</v>
      </c>
      <c r="BS210" s="70">
        <v>4304.6727919161885</v>
      </c>
      <c r="BT210" s="70">
        <v>34435.062055134462</v>
      </c>
      <c r="BU210" s="71">
        <v>12804.650319557997</v>
      </c>
      <c r="BV210" s="70">
        <v>102509.99339841104</v>
      </c>
      <c r="BW210" s="394">
        <v>36399857.270536385</v>
      </c>
      <c r="BX210" s="372">
        <f>SUM(BW209:BX209)/BZ209</f>
        <v>3.9917933665326344</v>
      </c>
      <c r="BY210" s="295"/>
      <c r="BZ210" s="72"/>
      <c r="CA210" s="73"/>
      <c r="CB210" s="72"/>
      <c r="CC210" s="372">
        <v>2.8689223293363599</v>
      </c>
      <c r="CD210" s="73"/>
      <c r="CE210" s="72"/>
      <c r="CF210" s="73">
        <v>4.3863932100015761</v>
      </c>
    </row>
    <row r="211" spans="1:84" s="22" customFormat="1" ht="15" customHeight="1" thickBot="1">
      <c r="A211" s="324"/>
      <c r="B211" s="76"/>
      <c r="C211" s="76"/>
      <c r="D211" s="76"/>
      <c r="E211" s="21"/>
      <c r="F211" s="75"/>
      <c r="G211" s="75"/>
      <c r="H211" s="21"/>
      <c r="I211" s="21"/>
      <c r="J211" s="21"/>
      <c r="K211" s="21"/>
      <c r="L211" s="21"/>
      <c r="M211" s="21"/>
      <c r="N211" s="21"/>
      <c r="O211" s="21"/>
      <c r="P211" s="21"/>
      <c r="Q211"/>
      <c r="R211"/>
      <c r="S211"/>
      <c r="T211"/>
      <c r="U211"/>
      <c r="V211" s="21"/>
      <c r="W211" s="21"/>
      <c r="X211" s="21"/>
      <c r="Y211" s="21"/>
      <c r="Z211" s="277"/>
      <c r="AA211" s="277"/>
      <c r="AB211" s="277"/>
      <c r="AC211" s="277"/>
      <c r="AD211" s="277"/>
      <c r="AE211" s="277"/>
      <c r="AF211" s="277"/>
      <c r="AG211" s="277"/>
      <c r="AH211" s="277"/>
      <c r="AI211" s="277"/>
      <c r="AJ211" s="277"/>
      <c r="AK211" s="277"/>
      <c r="AL211" s="277"/>
      <c r="AM211" s="21"/>
      <c r="AN211" s="21"/>
      <c r="AO211" s="277"/>
      <c r="AP211" s="76" t="s">
        <v>133</v>
      </c>
      <c r="AQ211" s="388"/>
      <c r="AR211" s="21"/>
      <c r="AS211" s="77"/>
      <c r="AT211" s="21"/>
      <c r="AU211" s="384"/>
      <c r="AV211" s="412" t="s">
        <v>372</v>
      </c>
      <c r="AW211" s="411"/>
      <c r="AX211" s="385"/>
      <c r="AY211" s="386"/>
      <c r="AZ211" s="385"/>
      <c r="BA211" s="413" t="s">
        <v>413</v>
      </c>
      <c r="BB211" s="21"/>
      <c r="BC211" s="21"/>
      <c r="BD211" s="389"/>
      <c r="BE211" s="77"/>
      <c r="BF211" s="21"/>
      <c r="BG211" s="77"/>
      <c r="BH211" s="21"/>
      <c r="BI211" s="384"/>
      <c r="BJ211" s="412" t="s">
        <v>372</v>
      </c>
      <c r="BK211" s="411"/>
      <c r="BL211" s="385"/>
      <c r="BM211" s="386"/>
      <c r="BN211" s="385"/>
      <c r="BO211" s="413" t="s">
        <v>413</v>
      </c>
      <c r="BP211" s="21"/>
      <c r="BQ211" s="21"/>
      <c r="BR211" s="21"/>
      <c r="BS211" s="77"/>
      <c r="BT211" s="21"/>
      <c r="BU211" s="77"/>
      <c r="BV211" s="21"/>
      <c r="BW211" s="384"/>
      <c r="BX211" s="412" t="s">
        <v>372</v>
      </c>
      <c r="BY211" s="411"/>
      <c r="BZ211" s="385"/>
      <c r="CA211" s="386"/>
      <c r="CB211" s="385"/>
      <c r="CC211" s="413" t="s">
        <v>413</v>
      </c>
      <c r="CD211" s="21"/>
      <c r="CE211" s="21"/>
      <c r="CF211" s="21"/>
    </row>
    <row r="212" spans="1:84" s="22" customFormat="1" ht="15" customHeight="1" thickBot="1">
      <c r="A212" s="324"/>
      <c r="B212" s="76"/>
      <c r="C212" s="76"/>
      <c r="D212" s="76"/>
      <c r="E212" s="21"/>
      <c r="F212" s="75"/>
      <c r="G212" s="75"/>
      <c r="H212" s="21"/>
      <c r="I212" s="21"/>
      <c r="J212" s="21"/>
      <c r="K212" s="21"/>
      <c r="L212" s="21"/>
      <c r="M212" s="21"/>
      <c r="N212" s="21"/>
      <c r="O212" s="21"/>
      <c r="P212" s="21"/>
      <c r="Q212"/>
      <c r="R212"/>
      <c r="S212"/>
      <c r="T212"/>
      <c r="U212"/>
      <c r="V212" s="21"/>
      <c r="W212" s="21"/>
      <c r="X212" s="21"/>
      <c r="Y212" s="21"/>
      <c r="Z212" s="277"/>
      <c r="AA212" s="277"/>
      <c r="AB212" s="277"/>
      <c r="AC212" s="277"/>
      <c r="AD212" s="277"/>
      <c r="AE212" s="277"/>
      <c r="AF212" s="277"/>
      <c r="AG212" s="277"/>
      <c r="AH212" s="277"/>
      <c r="AI212" s="277"/>
      <c r="AJ212" s="277"/>
      <c r="AK212" s="277"/>
      <c r="AL212" s="277"/>
      <c r="AM212" s="21"/>
      <c r="AN212" s="21"/>
      <c r="AO212" s="277"/>
      <c r="AP212" s="76"/>
      <c r="AQ212" s="388"/>
      <c r="AR212" s="21"/>
      <c r="AS212" s="77"/>
      <c r="AT212" s="21"/>
      <c r="AU212" s="415"/>
      <c r="AV212" s="414"/>
      <c r="AW212" s="295"/>
      <c r="AX212" s="401"/>
      <c r="AY212" s="416"/>
      <c r="AZ212" s="401"/>
      <c r="BA212" s="417"/>
      <c r="BB212" s="21"/>
      <c r="BC212" s="21"/>
      <c r="BD212" s="389"/>
      <c r="BE212" s="77"/>
      <c r="BF212" s="21"/>
      <c r="BG212" s="77"/>
      <c r="BH212" s="21"/>
      <c r="BI212" s="415"/>
      <c r="BJ212" s="414"/>
      <c r="BK212" s="295"/>
      <c r="BL212" s="401"/>
      <c r="BM212" s="416"/>
      <c r="BN212" s="401"/>
      <c r="BO212" s="417"/>
      <c r="BP212" s="21"/>
      <c r="BQ212" s="21"/>
      <c r="BR212" s="21"/>
      <c r="BS212" s="77"/>
      <c r="BT212" s="21"/>
      <c r="BU212" s="77"/>
      <c r="BV212" s="21"/>
      <c r="BW212" s="415"/>
      <c r="BX212" s="414"/>
      <c r="BY212" s="295"/>
      <c r="BZ212" s="401"/>
      <c r="CA212" s="416"/>
      <c r="CB212" s="401"/>
      <c r="CC212" s="417"/>
      <c r="CD212" s="21"/>
      <c r="CE212" s="21"/>
      <c r="CF212" s="21"/>
    </row>
    <row r="213" spans="1:84" s="22" customFormat="1" ht="15" customHeight="1" thickBot="1">
      <c r="A213" s="324"/>
      <c r="B213" s="76" t="s">
        <v>401</v>
      </c>
      <c r="C213" s="76"/>
      <c r="D213" s="76"/>
      <c r="E213" s="21"/>
      <c r="F213" s="75"/>
      <c r="G213" s="75"/>
      <c r="H213" s="21"/>
      <c r="I213" s="21"/>
      <c r="J213" s="21"/>
      <c r="K213" s="21"/>
      <c r="L213" s="21"/>
      <c r="M213" s="21"/>
      <c r="N213" s="21"/>
      <c r="O213" s="21"/>
      <c r="P213" s="21"/>
      <c r="Q213"/>
      <c r="R213"/>
      <c r="S213"/>
      <c r="T213"/>
      <c r="U213"/>
      <c r="V213" s="21"/>
      <c r="W213" s="21"/>
      <c r="X213" s="21"/>
      <c r="Y213" s="21"/>
      <c r="Z213" s="277"/>
      <c r="AA213" s="472" t="s">
        <v>382</v>
      </c>
      <c r="AB213" s="479" t="s">
        <v>197</v>
      </c>
      <c r="AC213" s="479" t="s">
        <v>198</v>
      </c>
      <c r="AD213" s="479" t="s">
        <v>201</v>
      </c>
      <c r="AE213" s="479" t="s">
        <v>199</v>
      </c>
      <c r="AF213" s="479" t="s">
        <v>200</v>
      </c>
      <c r="AG213" s="484" t="s">
        <v>383</v>
      </c>
      <c r="AH213" s="277"/>
      <c r="AI213" s="277"/>
      <c r="AJ213" s="277"/>
      <c r="AK213" s="277"/>
      <c r="AL213" s="277"/>
      <c r="AM213" s="21"/>
      <c r="AN213" s="21"/>
      <c r="AO213" s="277"/>
      <c r="AP213" s="377" t="s">
        <v>0</v>
      </c>
      <c r="AQ213" s="5" t="s">
        <v>104</v>
      </c>
      <c r="AR213" s="6"/>
      <c r="AS213" s="7"/>
      <c r="AT213" s="6"/>
      <c r="AU213" s="396"/>
      <c r="AV213" s="298"/>
      <c r="AW213" s="370"/>
      <c r="AX213" s="6"/>
      <c r="AY213" s="327"/>
      <c r="AZ213" s="6"/>
      <c r="BA213" s="8"/>
      <c r="BB213" s="6"/>
      <c r="BC213" s="6"/>
      <c r="BD213" s="8"/>
      <c r="BE213" s="7" t="s">
        <v>105</v>
      </c>
      <c r="BF213" s="6"/>
      <c r="BG213" s="7"/>
      <c r="BH213" s="6"/>
      <c r="BI213" s="396"/>
      <c r="BJ213" s="298"/>
      <c r="BK213" s="298"/>
      <c r="BL213" s="6"/>
      <c r="BM213" s="327"/>
      <c r="BN213" s="6"/>
      <c r="BO213" s="8"/>
      <c r="BP213" s="6"/>
      <c r="BQ213" s="6"/>
      <c r="BR213" s="8"/>
      <c r="BS213" s="5" t="s">
        <v>106</v>
      </c>
      <c r="BT213" s="6"/>
      <c r="BU213" s="7"/>
      <c r="BV213" s="6"/>
      <c r="BW213" s="396"/>
      <c r="BX213" s="298"/>
      <c r="BY213" s="298"/>
      <c r="BZ213" s="6"/>
      <c r="CA213" s="327"/>
      <c r="CB213" s="6"/>
      <c r="CC213" s="8"/>
      <c r="CD213" s="6"/>
      <c r="CE213" s="6"/>
      <c r="CF213" s="8"/>
    </row>
    <row r="214" spans="1:84" s="22" customFormat="1" ht="15" customHeight="1" thickBot="1">
      <c r="A214" s="324"/>
      <c r="B214" s="76"/>
      <c r="C214" s="76"/>
      <c r="D214" s="76"/>
      <c r="E214" s="21"/>
      <c r="F214" s="75"/>
      <c r="G214" s="75"/>
      <c r="H214" s="21"/>
      <c r="I214" s="21"/>
      <c r="J214" s="21"/>
      <c r="K214" s="21"/>
      <c r="L214" s="21"/>
      <c r="M214" s="21"/>
      <c r="N214" s="21"/>
      <c r="O214" s="21"/>
      <c r="P214" s="21"/>
      <c r="Q214"/>
      <c r="R214"/>
      <c r="S214"/>
      <c r="T214"/>
      <c r="U214"/>
      <c r="V214" s="21"/>
      <c r="W214" s="21"/>
      <c r="X214" s="21"/>
      <c r="Y214" s="21"/>
      <c r="Z214" s="277"/>
      <c r="AA214" s="473"/>
      <c r="AB214" s="480"/>
      <c r="AC214" s="480"/>
      <c r="AD214" s="480"/>
      <c r="AE214" s="480"/>
      <c r="AF214" s="480"/>
      <c r="AG214" s="485"/>
      <c r="AH214" s="277"/>
      <c r="AI214" s="277"/>
      <c r="AJ214" s="277"/>
      <c r="AK214" s="277"/>
      <c r="AL214" s="277"/>
      <c r="AM214" s="21"/>
      <c r="AN214" s="21"/>
      <c r="AO214" s="437"/>
      <c r="AP214" s="378"/>
      <c r="AQ214" s="9"/>
      <c r="AR214" s="10"/>
      <c r="AS214" s="11"/>
      <c r="AT214" s="10"/>
      <c r="AU214" s="397" t="s">
        <v>107</v>
      </c>
      <c r="AV214" s="299"/>
      <c r="AW214" s="370"/>
      <c r="AX214" s="10" t="s">
        <v>108</v>
      </c>
      <c r="AY214" s="328"/>
      <c r="AZ214" s="10" t="s">
        <v>109</v>
      </c>
      <c r="BA214" s="12" t="s">
        <v>110</v>
      </c>
      <c r="BB214" s="10"/>
      <c r="BC214" s="10" t="s">
        <v>111</v>
      </c>
      <c r="BD214" s="12" t="s">
        <v>112</v>
      </c>
      <c r="BE214" s="11"/>
      <c r="BF214" s="10"/>
      <c r="BG214" s="11"/>
      <c r="BH214" s="10"/>
      <c r="BI214" s="397" t="s">
        <v>107</v>
      </c>
      <c r="BJ214" s="299"/>
      <c r="BK214" s="299"/>
      <c r="BL214" s="10" t="s">
        <v>108</v>
      </c>
      <c r="BM214" s="328"/>
      <c r="BN214" s="10" t="s">
        <v>109</v>
      </c>
      <c r="BO214" s="12" t="s">
        <v>110</v>
      </c>
      <c r="BP214" s="10"/>
      <c r="BQ214" s="10" t="s">
        <v>111</v>
      </c>
      <c r="BR214" s="12" t="s">
        <v>112</v>
      </c>
      <c r="BS214" s="9"/>
      <c r="BT214" s="10"/>
      <c r="BU214" s="11"/>
      <c r="BV214" s="10"/>
      <c r="BW214" s="397" t="s">
        <v>107</v>
      </c>
      <c r="BX214" s="299"/>
      <c r="BY214" s="299"/>
      <c r="BZ214" s="10" t="s">
        <v>108</v>
      </c>
      <c r="CA214" s="328"/>
      <c r="CB214" s="10" t="s">
        <v>109</v>
      </c>
      <c r="CC214" s="12" t="s">
        <v>110</v>
      </c>
      <c r="CD214" s="10"/>
      <c r="CE214" s="10" t="s">
        <v>111</v>
      </c>
      <c r="CF214" s="12" t="s">
        <v>112</v>
      </c>
    </row>
    <row r="215" spans="1:84" s="22" customFormat="1" ht="75.75" thickBot="1">
      <c r="A215" s="324"/>
      <c r="B215" s="17" t="s">
        <v>0</v>
      </c>
      <c r="C215" s="18" t="s">
        <v>1</v>
      </c>
      <c r="D215" s="18" t="s">
        <v>2</v>
      </c>
      <c r="E215" s="19" t="s">
        <v>3</v>
      </c>
      <c r="F215" s="19" t="s">
        <v>4</v>
      </c>
      <c r="G215" s="19" t="s">
        <v>5</v>
      </c>
      <c r="H215" s="19" t="s">
        <v>6</v>
      </c>
      <c r="I215" s="19" t="s">
        <v>7</v>
      </c>
      <c r="J215" s="19" t="s">
        <v>8</v>
      </c>
      <c r="K215" s="19" t="s">
        <v>9</v>
      </c>
      <c r="L215" s="19" t="s">
        <v>10</v>
      </c>
      <c r="M215" s="19" t="s">
        <v>11</v>
      </c>
      <c r="N215" s="19" t="s">
        <v>12</v>
      </c>
      <c r="O215" s="19" t="s">
        <v>13</v>
      </c>
      <c r="P215" s="19" t="s">
        <v>14</v>
      </c>
      <c r="Q215" s="258" t="s">
        <v>342</v>
      </c>
      <c r="R215" s="258" t="s">
        <v>343</v>
      </c>
      <c r="S215" s="258" t="s">
        <v>344</v>
      </c>
      <c r="T215" s="258" t="s">
        <v>345</v>
      </c>
      <c r="U215" s="269" t="s">
        <v>346</v>
      </c>
      <c r="V215" s="177"/>
      <c r="W215" s="182"/>
      <c r="X215" s="208"/>
      <c r="Y215" s="100"/>
      <c r="Z215" s="278"/>
      <c r="AA215" s="314"/>
      <c r="AB215" s="314"/>
      <c r="AC215" s="314"/>
      <c r="AD215" s="314"/>
      <c r="AE215" s="314"/>
      <c r="AF215" s="314"/>
      <c r="AG215" s="314"/>
      <c r="AH215" s="278"/>
      <c r="AI215" s="278"/>
      <c r="AJ215" s="278"/>
      <c r="AK215" s="278"/>
      <c r="AL215" s="278"/>
      <c r="AM215" s="177"/>
      <c r="AN215" s="100"/>
      <c r="AO215" s="438"/>
      <c r="AP215" s="376"/>
      <c r="AQ215" s="13" t="s">
        <v>15</v>
      </c>
      <c r="AR215" s="1" t="s">
        <v>16</v>
      </c>
      <c r="AS215" s="14" t="s">
        <v>17</v>
      </c>
      <c r="AT215" s="1" t="s">
        <v>18</v>
      </c>
      <c r="AU215" s="398" t="s">
        <v>19</v>
      </c>
      <c r="AV215" s="293"/>
      <c r="AW215" s="369"/>
      <c r="AX215" s="1" t="s">
        <v>20</v>
      </c>
      <c r="AY215" s="329"/>
      <c r="AZ215" s="2" t="s">
        <v>21</v>
      </c>
      <c r="BA215" s="4" t="s">
        <v>22</v>
      </c>
      <c r="BB215" s="3"/>
      <c r="BC215" s="1" t="s">
        <v>23</v>
      </c>
      <c r="BD215" s="4" t="s">
        <v>24</v>
      </c>
      <c r="BE215" s="14" t="s">
        <v>15</v>
      </c>
      <c r="BF215" s="1" t="s">
        <v>16</v>
      </c>
      <c r="BG215" s="14" t="s">
        <v>17</v>
      </c>
      <c r="BH215" s="1" t="s">
        <v>18</v>
      </c>
      <c r="BI215" s="398" t="s">
        <v>19</v>
      </c>
      <c r="BJ215" s="293"/>
      <c r="BK215" s="293"/>
      <c r="BL215" s="1" t="s">
        <v>20</v>
      </c>
      <c r="BM215" s="329"/>
      <c r="BN215" s="2" t="s">
        <v>21</v>
      </c>
      <c r="BO215" s="4" t="s">
        <v>22</v>
      </c>
      <c r="BP215" s="3"/>
      <c r="BQ215" s="1" t="s">
        <v>23</v>
      </c>
      <c r="BR215" s="4" t="s">
        <v>24</v>
      </c>
      <c r="BS215" s="13" t="s">
        <v>15</v>
      </c>
      <c r="BT215" s="1" t="s">
        <v>16</v>
      </c>
      <c r="BU215" s="14" t="s">
        <v>17</v>
      </c>
      <c r="BV215" s="1" t="s">
        <v>18</v>
      </c>
      <c r="BW215" s="398" t="s">
        <v>19</v>
      </c>
      <c r="BX215" s="293"/>
      <c r="BY215" s="293"/>
      <c r="BZ215" s="1" t="s">
        <v>20</v>
      </c>
      <c r="CA215" s="329"/>
      <c r="CB215" s="2" t="s">
        <v>21</v>
      </c>
      <c r="CC215" s="4" t="s">
        <v>22</v>
      </c>
      <c r="CD215" s="3"/>
      <c r="CE215" s="1" t="s">
        <v>23</v>
      </c>
      <c r="CF215" s="4" t="s">
        <v>24</v>
      </c>
    </row>
    <row r="216" spans="1:84" s="22" customFormat="1" ht="15" customHeight="1">
      <c r="A216" s="324" t="str">
        <f t="shared" ref="A216:A227" si="268">CONCATENATE($B$213,"; ",B216,"; ",C216,"; ",D216)</f>
        <v>Residential - Efficient Product Rebates; Refrigerator Retirement; RES-Appliance; RES-SF</v>
      </c>
      <c r="B216" s="108" t="s">
        <v>134</v>
      </c>
      <c r="C216" s="15" t="s">
        <v>135</v>
      </c>
      <c r="D216" s="15" t="s">
        <v>136</v>
      </c>
      <c r="E216" s="37">
        <v>5</v>
      </c>
      <c r="F216" s="38">
        <v>967.81862399999989</v>
      </c>
      <c r="G216" s="38">
        <v>133.92913350161183</v>
      </c>
      <c r="H216" s="39">
        <v>100</v>
      </c>
      <c r="I216" s="40">
        <v>0.45</v>
      </c>
      <c r="J216" s="39">
        <v>96.781862399999994</v>
      </c>
      <c r="K216" s="39">
        <v>141.78186239999999</v>
      </c>
      <c r="L216" s="39">
        <v>55</v>
      </c>
      <c r="M216" s="39">
        <v>196.78186239999999</v>
      </c>
      <c r="N216" s="39">
        <v>313.01353220416979</v>
      </c>
      <c r="O216" s="41">
        <v>0.6</v>
      </c>
      <c r="P216" s="41">
        <v>1.1978944276305643</v>
      </c>
      <c r="Q216" s="261">
        <f t="shared" ref="Q216:Q227" si="269">N216*O216/(O216*H216+J216)</f>
        <v>1.1978944276305643</v>
      </c>
      <c r="R216" s="262">
        <f t="shared" ref="R216:R227" si="270">Y216</f>
        <v>0</v>
      </c>
      <c r="S216" s="262">
        <f t="shared" ref="S216:S227" si="271">-PV(RDR,E216,Z216)</f>
        <v>0</v>
      </c>
      <c r="T216" s="261">
        <f t="shared" ref="T216:T227" si="272">(N216+SUM(R216:S216))*O216/(O216*H216+J216)</f>
        <v>1.1978944276305643</v>
      </c>
      <c r="U216" s="267">
        <f t="shared" ref="U216:U227" si="273">(T216-Q216)/Q216</f>
        <v>0</v>
      </c>
      <c r="V216" s="42">
        <v>1.44</v>
      </c>
      <c r="W216" s="198">
        <f>V216*W3</f>
        <v>1.8144</v>
      </c>
      <c r="X216" s="198"/>
      <c r="Y216" s="359"/>
      <c r="Z216" s="354">
        <v>0</v>
      </c>
      <c r="AA216" s="246">
        <v>0</v>
      </c>
      <c r="AB216" s="246">
        <v>0</v>
      </c>
      <c r="AC216" s="246">
        <v>0</v>
      </c>
      <c r="AD216" s="246">
        <f>Y216</f>
        <v>0</v>
      </c>
      <c r="AE216" s="246">
        <v>0</v>
      </c>
      <c r="AF216" s="246">
        <v>0</v>
      </c>
      <c r="AG216" s="246">
        <v>0</v>
      </c>
      <c r="AH216" s="246"/>
      <c r="AI216" s="246"/>
      <c r="AJ216" s="246"/>
      <c r="AK216" s="246"/>
      <c r="AL216" s="246" t="s">
        <v>470</v>
      </c>
      <c r="AM216" s="252" t="s">
        <v>332</v>
      </c>
      <c r="AN216" s="102" t="s">
        <v>189</v>
      </c>
      <c r="AO216" s="246" t="s">
        <v>433</v>
      </c>
      <c r="AP216" s="43" t="s">
        <v>134</v>
      </c>
      <c r="AQ216" s="78">
        <v>293.01855520113452</v>
      </c>
      <c r="AR216" s="79">
        <v>2117.4542647049761</v>
      </c>
      <c r="AS216" s="80">
        <v>293.01855520113452</v>
      </c>
      <c r="AT216" s="79">
        <v>2117.4542647049761</v>
      </c>
      <c r="AU216" s="392">
        <v>684830.63069892721</v>
      </c>
      <c r="AV216" s="294">
        <f>SUM(R216:S216)*O216*AY216</f>
        <v>0</v>
      </c>
      <c r="AW216" s="295">
        <f t="shared" si="248"/>
        <v>684830.63069892721</v>
      </c>
      <c r="AX216" s="81">
        <v>571695.31379616016</v>
      </c>
      <c r="AY216" s="82">
        <v>3646.4378279777357</v>
      </c>
      <c r="AZ216" s="81">
        <v>113135.31690276705</v>
      </c>
      <c r="BA216" s="83">
        <v>1.1978944276305645</v>
      </c>
      <c r="BB216" s="82">
        <f t="shared" ref="BB216:BB227" si="274">SUM(AU216:AV216)/AX216</f>
        <v>1.1978944276305645</v>
      </c>
      <c r="BC216" s="81">
        <v>516998.74637649406</v>
      </c>
      <c r="BD216" s="83">
        <v>1.3246272558661349</v>
      </c>
      <c r="BE216" s="80">
        <v>323.62538699141197</v>
      </c>
      <c r="BF216" s="79">
        <v>2338.6299047901057</v>
      </c>
      <c r="BG216" s="80">
        <v>616.64394219254643</v>
      </c>
      <c r="BH216" s="79">
        <v>4456.0841694950814</v>
      </c>
      <c r="BI216" s="392">
        <v>814822.84639575332</v>
      </c>
      <c r="BJ216" s="294">
        <f t="shared" ref="BJ216:BJ227" si="275">SUM(R216:S216)*O216*BM216</f>
        <v>0</v>
      </c>
      <c r="BK216" s="294">
        <f>BI216+BJ216</f>
        <v>814822.84639575332</v>
      </c>
      <c r="BL216" s="81">
        <v>637826.12762419716</v>
      </c>
      <c r="BM216" s="82">
        <v>4134.2412804307696</v>
      </c>
      <c r="BN216" s="81">
        <v>176996.71877155616</v>
      </c>
      <c r="BO216" s="83">
        <v>1.2774999503874847</v>
      </c>
      <c r="BP216" s="82">
        <f t="shared" ref="BP216:BP227" si="276">SUM(BI216:BJ216)/BL216</f>
        <v>1.2774999503874847</v>
      </c>
      <c r="BQ216" s="81">
        <v>575812.50841773557</v>
      </c>
      <c r="BR216" s="83">
        <v>1.4150836157324713</v>
      </c>
      <c r="BS216" s="78">
        <v>318.41715786399834</v>
      </c>
      <c r="BT216" s="79">
        <v>2300.9934248414802</v>
      </c>
      <c r="BU216" s="80">
        <v>935.06110005654477</v>
      </c>
      <c r="BV216" s="79">
        <v>6757.0775943365616</v>
      </c>
      <c r="BW216" s="392">
        <v>907529.48810142372</v>
      </c>
      <c r="BX216" s="294">
        <f t="shared" ref="BX216:BX227" si="277">SUM(R216:S216)*O216*CA216</f>
        <v>0</v>
      </c>
      <c r="BY216" s="294">
        <f>BW216+BX216</f>
        <v>907529.48810142372</v>
      </c>
      <c r="BZ216" s="81">
        <v>634217.59222219477</v>
      </c>
      <c r="CA216" s="82">
        <v>4178.6448013658</v>
      </c>
      <c r="CB216" s="81">
        <v>273311.89587922895</v>
      </c>
      <c r="CC216" s="83">
        <v>1.4309434163148782</v>
      </c>
      <c r="CD216" s="82">
        <f t="shared" ref="CD216:CD227" si="278">SUM(BW216:BX216)/BZ216</f>
        <v>1.4309434163148782</v>
      </c>
      <c r="CE216" s="81">
        <v>571537.92020170775</v>
      </c>
      <c r="CF216" s="83">
        <v>1.5878727482878783</v>
      </c>
    </row>
    <row r="217" spans="1:84" s="22" customFormat="1" ht="15" customHeight="1">
      <c r="A217" s="324" t="str">
        <f t="shared" si="268"/>
        <v>Residential - Efficient Product Rebates; Freezer Retirement; RES-Appliance; RES-SF</v>
      </c>
      <c r="B217" s="108" t="s">
        <v>137</v>
      </c>
      <c r="C217" s="15" t="s">
        <v>135</v>
      </c>
      <c r="D217" s="15" t="s">
        <v>136</v>
      </c>
      <c r="E217" s="37">
        <v>4</v>
      </c>
      <c r="F217" s="38">
        <v>1050.8931839999998</v>
      </c>
      <c r="G217" s="38">
        <v>145.42519646312354</v>
      </c>
      <c r="H217" s="39">
        <v>140</v>
      </c>
      <c r="I217" s="40">
        <v>0.32142857142857145</v>
      </c>
      <c r="J217" s="39">
        <v>105.08931839999998</v>
      </c>
      <c r="K217" s="39">
        <v>150.08931839999997</v>
      </c>
      <c r="L217" s="39">
        <v>95</v>
      </c>
      <c r="M217" s="39">
        <v>245.08931839999997</v>
      </c>
      <c r="N217" s="39">
        <v>269.86545010462379</v>
      </c>
      <c r="O217" s="41">
        <v>0.6</v>
      </c>
      <c r="P217" s="41">
        <v>0.8563110356146606</v>
      </c>
      <c r="Q217" s="261">
        <f t="shared" si="269"/>
        <v>0.8563110356146606</v>
      </c>
      <c r="R217" s="262">
        <f t="shared" si="270"/>
        <v>0</v>
      </c>
      <c r="S217" s="262">
        <f t="shared" si="271"/>
        <v>0</v>
      </c>
      <c r="T217" s="261">
        <f t="shared" si="272"/>
        <v>0.8563110356146606</v>
      </c>
      <c r="U217" s="267">
        <f t="shared" si="273"/>
        <v>0</v>
      </c>
      <c r="V217" s="42">
        <v>1.44</v>
      </c>
      <c r="W217" s="198">
        <f>V217*W3</f>
        <v>1.8144</v>
      </c>
      <c r="X217" s="198"/>
      <c r="Y217" s="343"/>
      <c r="Z217" s="334">
        <v>0</v>
      </c>
      <c r="AA217" s="246">
        <v>0</v>
      </c>
      <c r="AB217" s="246">
        <v>0</v>
      </c>
      <c r="AC217" s="246">
        <v>0</v>
      </c>
      <c r="AD217" s="246">
        <f>Y217</f>
        <v>0</v>
      </c>
      <c r="AE217" s="246">
        <v>0</v>
      </c>
      <c r="AF217" s="246">
        <v>0</v>
      </c>
      <c r="AG217" s="246">
        <v>0</v>
      </c>
      <c r="AH217" s="246"/>
      <c r="AI217" s="246"/>
      <c r="AJ217" s="246"/>
      <c r="AK217" s="246"/>
      <c r="AL217" s="246" t="s">
        <v>470</v>
      </c>
      <c r="AM217" s="252" t="s">
        <v>332</v>
      </c>
      <c r="AN217" s="102" t="s">
        <v>189</v>
      </c>
      <c r="AO217" s="246" t="s">
        <v>433</v>
      </c>
      <c r="AP217" s="43" t="s">
        <v>137</v>
      </c>
      <c r="AQ217" s="44">
        <v>278.07305041075807</v>
      </c>
      <c r="AR217" s="45">
        <v>2009.4528351203257</v>
      </c>
      <c r="AS217" s="46">
        <v>278.07305041075807</v>
      </c>
      <c r="AT217" s="45">
        <v>2009.4528351203257</v>
      </c>
      <c r="AU217" s="393">
        <v>516019.99334478431</v>
      </c>
      <c r="AV217" s="295">
        <f t="shared" ref="AV217:AV227" si="279">SUM(R217:S217)*O217*AY217</f>
        <v>0</v>
      </c>
      <c r="AW217" s="295">
        <f t="shared" si="248"/>
        <v>516019.99334478431</v>
      </c>
      <c r="AX217" s="39">
        <v>602608.13172211999</v>
      </c>
      <c r="AY217" s="41">
        <v>3186.8967365325275</v>
      </c>
      <c r="AZ217" s="39">
        <v>-86588.138377335679</v>
      </c>
      <c r="BA217" s="47">
        <v>0.85631103561466049</v>
      </c>
      <c r="BB217" s="41">
        <f t="shared" si="274"/>
        <v>0.85631103561466049</v>
      </c>
      <c r="BC217" s="39">
        <v>478319.15899735142</v>
      </c>
      <c r="BD217" s="47">
        <v>1.0788194109273421</v>
      </c>
      <c r="BE217" s="46">
        <v>308.0699107760671</v>
      </c>
      <c r="BF217" s="45">
        <v>2226.2206089723395</v>
      </c>
      <c r="BG217" s="46">
        <v>586.14296118682512</v>
      </c>
      <c r="BH217" s="45">
        <v>4235.6734440926648</v>
      </c>
      <c r="BI217" s="393">
        <v>627158.1368272861</v>
      </c>
      <c r="BJ217" s="295">
        <f t="shared" si="275"/>
        <v>0</v>
      </c>
      <c r="BK217" s="295">
        <f t="shared" ref="BK217:BK228" si="280">BI217+BJ217</f>
        <v>627158.1368272861</v>
      </c>
      <c r="BL217" s="39">
        <v>675487.62806720915</v>
      </c>
      <c r="BM217" s="41">
        <v>3624.4149988708637</v>
      </c>
      <c r="BN217" s="39">
        <v>-48329.491239923052</v>
      </c>
      <c r="BO217" s="47">
        <v>0.92845244053068809</v>
      </c>
      <c r="BP217" s="41">
        <f t="shared" si="276"/>
        <v>0.92845244053068809</v>
      </c>
      <c r="BQ217" s="39">
        <v>534135.44311124552</v>
      </c>
      <c r="BR217" s="47">
        <v>1.1741556283443759</v>
      </c>
      <c r="BS217" s="44">
        <v>304.00691712778234</v>
      </c>
      <c r="BT217" s="45">
        <v>2196.8599999756689</v>
      </c>
      <c r="BU217" s="46">
        <v>890.14987831460746</v>
      </c>
      <c r="BV217" s="45">
        <v>6432.5334440683337</v>
      </c>
      <c r="BW217" s="393">
        <v>680578.04056436475</v>
      </c>
      <c r="BX217" s="295">
        <f t="shared" si="277"/>
        <v>0</v>
      </c>
      <c r="BY217" s="295">
        <f t="shared" ref="BY217:BY228" si="281">BW217+BX217</f>
        <v>680578.04056436475</v>
      </c>
      <c r="BZ217" s="39">
        <v>674772.62767875008</v>
      </c>
      <c r="CA217" s="41">
        <v>3674.1582660651411</v>
      </c>
      <c r="CB217" s="39">
        <v>5805.4128856146708</v>
      </c>
      <c r="CC217" s="47">
        <v>1.0086035097564428</v>
      </c>
      <c r="CD217" s="41">
        <f t="shared" si="278"/>
        <v>1.0086035097564428</v>
      </c>
      <c r="CE217" s="39">
        <v>531480.45530220959</v>
      </c>
      <c r="CF217" s="47">
        <v>1.2805325836062504</v>
      </c>
    </row>
    <row r="218" spans="1:84" ht="15" customHeight="1">
      <c r="A218" s="325" t="str">
        <f t="shared" si="268"/>
        <v>Residential - Efficient Product Rebates; Room A/C Retirement; RES-HVAC/Shell; RES-SF</v>
      </c>
      <c r="B218" s="108" t="s">
        <v>138</v>
      </c>
      <c r="C218" s="15" t="s">
        <v>139</v>
      </c>
      <c r="D218" s="15" t="s">
        <v>136</v>
      </c>
      <c r="E218" s="37">
        <v>3</v>
      </c>
      <c r="F218" s="38">
        <v>220.44300000000001</v>
      </c>
      <c r="G218" s="38">
        <v>60.226538461961034</v>
      </c>
      <c r="H218" s="39">
        <v>50</v>
      </c>
      <c r="I218" s="40">
        <v>0.3</v>
      </c>
      <c r="J218" s="39">
        <v>22.044300000000003</v>
      </c>
      <c r="K218" s="39">
        <v>37.044300000000007</v>
      </c>
      <c r="L218" s="39">
        <v>35</v>
      </c>
      <c r="M218" s="39">
        <v>72.044300000000007</v>
      </c>
      <c r="N218" s="39">
        <v>35.814336248747317</v>
      </c>
      <c r="O218" s="41">
        <v>0.6</v>
      </c>
      <c r="P218" s="41">
        <v>0.41289059030957059</v>
      </c>
      <c r="Q218" s="261">
        <f t="shared" si="269"/>
        <v>0.41289059030957059</v>
      </c>
      <c r="R218" s="262">
        <f t="shared" si="270"/>
        <v>0</v>
      </c>
      <c r="S218" s="262">
        <f t="shared" si="271"/>
        <v>164.24844711847186</v>
      </c>
      <c r="T218" s="261">
        <f t="shared" si="272"/>
        <v>2.306451811636077</v>
      </c>
      <c r="U218" s="267">
        <f t="shared" si="273"/>
        <v>4.5861089251435398</v>
      </c>
      <c r="V218" s="42">
        <v>49.5</v>
      </c>
      <c r="W218" s="198">
        <f>49.5*W3</f>
        <v>62.37</v>
      </c>
      <c r="X218" s="42"/>
      <c r="Y218" s="344"/>
      <c r="Z218" s="335">
        <f>W218</f>
        <v>62.37</v>
      </c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 t="s">
        <v>478</v>
      </c>
      <c r="AM218" s="252" t="s">
        <v>384</v>
      </c>
      <c r="AN218" s="198" t="s">
        <v>265</v>
      </c>
      <c r="AO218" s="241" t="s">
        <v>428</v>
      </c>
      <c r="AP218" s="48" t="s">
        <v>138</v>
      </c>
      <c r="AQ218" s="44">
        <v>0</v>
      </c>
      <c r="AR218" s="45">
        <v>0</v>
      </c>
      <c r="AS218" s="46">
        <v>0</v>
      </c>
      <c r="AT218" s="45">
        <v>0</v>
      </c>
      <c r="AU218" s="393">
        <v>0</v>
      </c>
      <c r="AV218" s="316">
        <f t="shared" si="279"/>
        <v>0</v>
      </c>
      <c r="AW218" s="295">
        <f t="shared" si="248"/>
        <v>0</v>
      </c>
      <c r="AX218" s="39">
        <v>0</v>
      </c>
      <c r="AY218" s="41">
        <v>0</v>
      </c>
      <c r="AZ218" s="39">
        <v>0</v>
      </c>
      <c r="BA218" s="47">
        <v>0</v>
      </c>
      <c r="BB218" s="41" t="e">
        <f t="shared" si="274"/>
        <v>#DIV/0!</v>
      </c>
      <c r="BC218" s="39">
        <v>0</v>
      </c>
      <c r="BD218" s="47">
        <v>0</v>
      </c>
      <c r="BE218" s="46">
        <v>0</v>
      </c>
      <c r="BF218" s="45">
        <v>0</v>
      </c>
      <c r="BG218" s="46">
        <v>0</v>
      </c>
      <c r="BH218" s="45">
        <v>0</v>
      </c>
      <c r="BI218" s="393">
        <v>0</v>
      </c>
      <c r="BJ218" s="316">
        <f t="shared" si="275"/>
        <v>0</v>
      </c>
      <c r="BK218" s="295">
        <f t="shared" si="280"/>
        <v>0</v>
      </c>
      <c r="BL218" s="39">
        <v>0</v>
      </c>
      <c r="BM218" s="41">
        <v>0</v>
      </c>
      <c r="BN218" s="39">
        <v>0</v>
      </c>
      <c r="BO218" s="47">
        <v>0</v>
      </c>
      <c r="BP218" s="41" t="e">
        <f t="shared" si="276"/>
        <v>#DIV/0!</v>
      </c>
      <c r="BQ218" s="39">
        <v>0</v>
      </c>
      <c r="BR218" s="47">
        <v>0</v>
      </c>
      <c r="BS218" s="44">
        <v>1.3545880598158309</v>
      </c>
      <c r="BT218" s="45">
        <v>4.9581042393559169</v>
      </c>
      <c r="BU218" s="46">
        <v>1.3545880598158309</v>
      </c>
      <c r="BV218" s="45">
        <v>4.9581042393559169</v>
      </c>
      <c r="BW218" s="393">
        <v>1558.8855491863023</v>
      </c>
      <c r="BX218" s="316">
        <f t="shared" si="277"/>
        <v>3694.2017753601676</v>
      </c>
      <c r="BY218" s="295">
        <f t="shared" si="281"/>
        <v>5253.08732454647</v>
      </c>
      <c r="BZ218" s="39">
        <v>1950.9280892287434</v>
      </c>
      <c r="CA218" s="41">
        <v>37.485912755647469</v>
      </c>
      <c r="CB218" s="39">
        <v>-392.04254004244103</v>
      </c>
      <c r="CC218" s="47">
        <v>0.79904818521659271</v>
      </c>
      <c r="CD218" s="41">
        <f t="shared" si="278"/>
        <v>2.6926094065430997</v>
      </c>
      <c r="CE218" s="39">
        <v>1388.6393978940314</v>
      </c>
      <c r="CF218" s="47">
        <v>1.1225992518651431</v>
      </c>
    </row>
    <row r="219" spans="1:84" s="22" customFormat="1" ht="15" customHeight="1">
      <c r="A219" s="324" t="str">
        <f t="shared" si="268"/>
        <v>Residential - Efficient Product Rebates; ENERGY STAR® LED Lamps; RES-Lighting; RES-SF</v>
      </c>
      <c r="B219" s="108" t="s">
        <v>140</v>
      </c>
      <c r="C219" s="15" t="s">
        <v>141</v>
      </c>
      <c r="D219" s="15" t="s">
        <v>136</v>
      </c>
      <c r="E219" s="37">
        <v>25</v>
      </c>
      <c r="F219" s="38">
        <v>33.754591838708237</v>
      </c>
      <c r="G219" s="38">
        <v>8.4617675430582633</v>
      </c>
      <c r="H219" s="39">
        <v>23.75</v>
      </c>
      <c r="I219" s="40">
        <v>0.42105263157894735</v>
      </c>
      <c r="J219" s="39">
        <v>3.3754591838708237</v>
      </c>
      <c r="K219" s="39">
        <v>13.375459183870824</v>
      </c>
      <c r="L219" s="39">
        <v>13.75</v>
      </c>
      <c r="M219" s="39">
        <v>27.125459183870824</v>
      </c>
      <c r="N219" s="39">
        <v>55.587516103317192</v>
      </c>
      <c r="O219" s="41">
        <v>1.2</v>
      </c>
      <c r="P219" s="41">
        <v>2.09267634198455</v>
      </c>
      <c r="Q219" s="261">
        <f t="shared" si="269"/>
        <v>2.09267634198455</v>
      </c>
      <c r="R219" s="262">
        <f t="shared" si="270"/>
        <v>3.7800000000000002</v>
      </c>
      <c r="S219" s="262">
        <f t="shared" si="271"/>
        <v>0</v>
      </c>
      <c r="T219" s="261">
        <f t="shared" si="272"/>
        <v>2.2349801743414259</v>
      </c>
      <c r="U219" s="267">
        <f t="shared" si="273"/>
        <v>6.8000879783409213E-2</v>
      </c>
      <c r="V219" s="42" t="s">
        <v>299</v>
      </c>
      <c r="W219" s="198">
        <f>3*W3</f>
        <v>3.7800000000000002</v>
      </c>
      <c r="X219" s="198"/>
      <c r="Y219" s="344">
        <f>W219</f>
        <v>3.7800000000000002</v>
      </c>
      <c r="Z219" s="335">
        <v>0</v>
      </c>
      <c r="AA219" s="246">
        <v>0</v>
      </c>
      <c r="AB219" s="246">
        <v>0</v>
      </c>
      <c r="AC219" s="246">
        <v>0</v>
      </c>
      <c r="AD219" s="246">
        <v>0</v>
      </c>
      <c r="AE219" s="246">
        <v>0</v>
      </c>
      <c r="AF219" s="241">
        <f>Y219</f>
        <v>3.7800000000000002</v>
      </c>
      <c r="AG219" s="246">
        <v>0</v>
      </c>
      <c r="AH219" s="241"/>
      <c r="AI219" s="241"/>
      <c r="AJ219" s="241"/>
      <c r="AK219" s="241"/>
      <c r="AL219" s="246" t="s">
        <v>469</v>
      </c>
      <c r="AM219" s="252" t="s">
        <v>431</v>
      </c>
      <c r="AN219" s="102" t="s">
        <v>190</v>
      </c>
      <c r="AO219" s="241"/>
      <c r="AP219" s="43" t="s">
        <v>140</v>
      </c>
      <c r="AQ219" s="44">
        <v>363.35001113381975</v>
      </c>
      <c r="AR219" s="45">
        <v>1449.4290061742163</v>
      </c>
      <c r="AS219" s="46">
        <v>363.35001113381975</v>
      </c>
      <c r="AT219" s="45">
        <v>1449.4290061742163</v>
      </c>
      <c r="AU219" s="393">
        <v>2386939.1935271476</v>
      </c>
      <c r="AV219" s="295">
        <f t="shared" si="279"/>
        <v>162313.9651493475</v>
      </c>
      <c r="AW219" s="295">
        <f t="shared" si="248"/>
        <v>2549253.1586764953</v>
      </c>
      <c r="AX219" s="39">
        <v>1140615.5580004975</v>
      </c>
      <c r="AY219" s="41">
        <v>35783.502017051913</v>
      </c>
      <c r="AZ219" s="39">
        <v>1246323.6355266501</v>
      </c>
      <c r="BA219" s="47">
        <v>2.09267634198455</v>
      </c>
      <c r="BB219" s="41">
        <f t="shared" si="274"/>
        <v>2.2349801743414264</v>
      </c>
      <c r="BC219" s="39">
        <v>478620.77068503713</v>
      </c>
      <c r="BD219" s="47">
        <v>4.9871199490794877</v>
      </c>
      <c r="BE219" s="46">
        <v>351.61282619038724</v>
      </c>
      <c r="BF219" s="45">
        <v>1402.6085416453825</v>
      </c>
      <c r="BG219" s="86">
        <v>714.96283732420704</v>
      </c>
      <c r="BH219" s="45">
        <v>2852.0375478195988</v>
      </c>
      <c r="BI219" s="393">
        <v>2438948.6230390202</v>
      </c>
      <c r="BJ219" s="295">
        <f t="shared" si="275"/>
        <v>162023.23411219634</v>
      </c>
      <c r="BK219" s="295">
        <f t="shared" si="280"/>
        <v>2600971.8571512164</v>
      </c>
      <c r="BL219" s="39">
        <v>1134887.1695193013</v>
      </c>
      <c r="BM219" s="41">
        <v>35719.407873059157</v>
      </c>
      <c r="BN219" s="39">
        <v>1304061.453519719</v>
      </c>
      <c r="BO219" s="47">
        <v>2.1490670513722292</v>
      </c>
      <c r="BP219" s="41">
        <f t="shared" si="276"/>
        <v>2.2918329918672864</v>
      </c>
      <c r="BQ219" s="39">
        <v>474078.12386770674</v>
      </c>
      <c r="BR219" s="47">
        <v>5.1446133036917301</v>
      </c>
      <c r="BS219" s="44">
        <v>338.26942951773748</v>
      </c>
      <c r="BT219" s="45">
        <v>1349.3807844261755</v>
      </c>
      <c r="BU219" s="46">
        <v>1053.2322668419445</v>
      </c>
      <c r="BV219" s="45">
        <v>4201.4183322457739</v>
      </c>
      <c r="BW219" s="393">
        <v>2480930.7729197224</v>
      </c>
      <c r="BX219" s="295">
        <f t="shared" si="277"/>
        <v>161114.97616734382</v>
      </c>
      <c r="BY219" s="295">
        <f t="shared" si="281"/>
        <v>2642045.7490870664</v>
      </c>
      <c r="BZ219" s="39">
        <v>1124744.8759440901</v>
      </c>
      <c r="CA219" s="41">
        <v>35519.174640066973</v>
      </c>
      <c r="CB219" s="39">
        <v>1356185.8969756323</v>
      </c>
      <c r="CC219" s="47">
        <v>2.205772016375958</v>
      </c>
      <c r="CD219" s="41">
        <f t="shared" si="278"/>
        <v>2.3490178133680155</v>
      </c>
      <c r="CE219" s="39">
        <v>467640.14510285103</v>
      </c>
      <c r="CF219" s="47">
        <v>5.3052134186941453</v>
      </c>
    </row>
    <row r="220" spans="1:84" ht="15" customHeight="1">
      <c r="A220" s="324" t="str">
        <f t="shared" si="268"/>
        <v>Residential - Efficient Product Rebates; Hardwired Dimmer Switch; RES-Lighting; RES-SF</v>
      </c>
      <c r="B220" s="36" t="s">
        <v>142</v>
      </c>
      <c r="C220" s="15" t="s">
        <v>141</v>
      </c>
      <c r="D220" s="15" t="s">
        <v>136</v>
      </c>
      <c r="E220" s="37">
        <v>10</v>
      </c>
      <c r="F220" s="38">
        <v>20.765095350400003</v>
      </c>
      <c r="G220" s="38">
        <v>0</v>
      </c>
      <c r="H220" s="39">
        <v>13</v>
      </c>
      <c r="I220" s="40">
        <v>0.38461538461538464</v>
      </c>
      <c r="J220" s="39">
        <v>2.0765095350400005</v>
      </c>
      <c r="K220" s="39">
        <v>7.0765095350400005</v>
      </c>
      <c r="L220" s="39">
        <v>8</v>
      </c>
      <c r="M220" s="39">
        <v>15.07650953504</v>
      </c>
      <c r="N220" s="39">
        <v>10.551661000660895</v>
      </c>
      <c r="O220" s="41">
        <v>1</v>
      </c>
      <c r="P220" s="41">
        <v>0.69987426308041001</v>
      </c>
      <c r="Q220" s="261">
        <f t="shared" si="269"/>
        <v>0.69987426308041001</v>
      </c>
      <c r="R220" s="262">
        <f t="shared" si="270"/>
        <v>4.41</v>
      </c>
      <c r="S220" s="262">
        <f t="shared" si="271"/>
        <v>0</v>
      </c>
      <c r="T220" s="261">
        <f t="shared" si="272"/>
        <v>0.99238228622399771</v>
      </c>
      <c r="U220" s="267">
        <f t="shared" si="273"/>
        <v>0.41794367727732951</v>
      </c>
      <c r="V220" s="42" t="s">
        <v>266</v>
      </c>
      <c r="W220" s="198">
        <f>3.5*W3</f>
        <v>4.41</v>
      </c>
      <c r="X220" s="198"/>
      <c r="Y220" s="344">
        <f>W220</f>
        <v>4.41</v>
      </c>
      <c r="Z220" s="335">
        <v>0</v>
      </c>
      <c r="AA220" s="246">
        <v>0</v>
      </c>
      <c r="AB220" s="246">
        <v>0</v>
      </c>
      <c r="AC220" s="246">
        <v>0</v>
      </c>
      <c r="AD220" s="246">
        <v>0</v>
      </c>
      <c r="AE220" s="246">
        <v>0</v>
      </c>
      <c r="AF220" s="241">
        <f>Y220</f>
        <v>4.41</v>
      </c>
      <c r="AG220" s="246">
        <v>0</v>
      </c>
      <c r="AH220" s="241"/>
      <c r="AI220" s="241"/>
      <c r="AJ220" s="241"/>
      <c r="AK220" s="241"/>
      <c r="AL220" s="246" t="s">
        <v>469</v>
      </c>
      <c r="AM220" s="252" t="s">
        <v>431</v>
      </c>
      <c r="AN220" s="42"/>
      <c r="AO220" s="241" t="s">
        <v>428</v>
      </c>
      <c r="AP220" s="48" t="s">
        <v>142</v>
      </c>
      <c r="AQ220" s="44">
        <v>0</v>
      </c>
      <c r="AR220" s="45">
        <v>203.29190980858215</v>
      </c>
      <c r="AS220" s="46">
        <v>0</v>
      </c>
      <c r="AT220" s="45">
        <v>203.29190980858215</v>
      </c>
      <c r="AU220" s="393">
        <v>103301.5876055569</v>
      </c>
      <c r="AV220" s="295">
        <f t="shared" si="279"/>
        <v>43174.245392452656</v>
      </c>
      <c r="AW220" s="295">
        <f t="shared" si="248"/>
        <v>146475.83299800954</v>
      </c>
      <c r="AX220" s="39">
        <v>147600.20914455084</v>
      </c>
      <c r="AY220" s="41">
        <v>9790.0783202840485</v>
      </c>
      <c r="AZ220" s="39">
        <v>-44298.621538993946</v>
      </c>
      <c r="BA220" s="47">
        <v>0.6998742630804099</v>
      </c>
      <c r="BB220" s="41">
        <f t="shared" si="274"/>
        <v>0.99238228622399749</v>
      </c>
      <c r="BC220" s="39">
        <v>69279.582582278454</v>
      </c>
      <c r="BD220" s="47">
        <v>1.491082707995143</v>
      </c>
      <c r="BE220" s="46">
        <v>0</v>
      </c>
      <c r="BF220" s="45">
        <v>197.57012251588884</v>
      </c>
      <c r="BG220" s="45">
        <v>0</v>
      </c>
      <c r="BH220" s="45">
        <v>400.86203232447099</v>
      </c>
      <c r="BI220" s="393">
        <v>104332.17006187527</v>
      </c>
      <c r="BJ220" s="295">
        <f t="shared" si="275"/>
        <v>43707.372154680779</v>
      </c>
      <c r="BK220" s="295">
        <f t="shared" si="280"/>
        <v>148039.54221655603</v>
      </c>
      <c r="BL220" s="39">
        <v>148599.60590484287</v>
      </c>
      <c r="BM220" s="41">
        <v>9910.9687425579996</v>
      </c>
      <c r="BN220" s="39">
        <v>-44267.435842967607</v>
      </c>
      <c r="BO220" s="47">
        <v>0.70210260267234714</v>
      </c>
      <c r="BP220" s="41">
        <f t="shared" si="276"/>
        <v>0.99623105535928891</v>
      </c>
      <c r="BQ220" s="39">
        <v>69311.85596437889</v>
      </c>
      <c r="BR220" s="47">
        <v>1.505257197491497</v>
      </c>
      <c r="BS220" s="44">
        <v>0</v>
      </c>
      <c r="BT220" s="45">
        <v>190.5470667859708</v>
      </c>
      <c r="BU220" s="46">
        <v>0</v>
      </c>
      <c r="BV220" s="45">
        <v>591.40909911044173</v>
      </c>
      <c r="BW220" s="393">
        <v>105353.90559148967</v>
      </c>
      <c r="BX220" s="295">
        <f t="shared" si="277"/>
        <v>43986.468971037859</v>
      </c>
      <c r="BY220" s="295">
        <f t="shared" si="281"/>
        <v>149340.37456252752</v>
      </c>
      <c r="BZ220" s="39">
        <v>148720.034711135</v>
      </c>
      <c r="CA220" s="41">
        <v>9974.2560025029161</v>
      </c>
      <c r="CB220" s="39">
        <v>-43366.129119645324</v>
      </c>
      <c r="CC220" s="47">
        <v>0.70840425633387505</v>
      </c>
      <c r="CD220" s="41">
        <f t="shared" si="278"/>
        <v>1.0041711922176284</v>
      </c>
      <c r="CE220" s="39">
        <v>68925.98669111167</v>
      </c>
      <c r="CF220" s="47">
        <v>1.5285077609933664</v>
      </c>
    </row>
    <row r="221" spans="1:84" ht="15" customHeight="1">
      <c r="A221" s="324" t="str">
        <f t="shared" si="268"/>
        <v>Residential - Efficient Product Rebates; Indoor Motion Sensor; RES-Lighting; RES-SF</v>
      </c>
      <c r="B221" s="36" t="s">
        <v>143</v>
      </c>
      <c r="C221" s="15" t="s">
        <v>141</v>
      </c>
      <c r="D221" s="15" t="s">
        <v>136</v>
      </c>
      <c r="E221" s="37">
        <v>10</v>
      </c>
      <c r="F221" s="38">
        <v>56.108128169600015</v>
      </c>
      <c r="G221" s="38">
        <v>0</v>
      </c>
      <c r="H221" s="39">
        <v>34</v>
      </c>
      <c r="I221" s="40">
        <v>8.8235294117647065E-2</v>
      </c>
      <c r="J221" s="39">
        <v>5.610812816960002</v>
      </c>
      <c r="K221" s="39">
        <v>8.6108128169600029</v>
      </c>
      <c r="L221" s="39">
        <v>31</v>
      </c>
      <c r="M221" s="39">
        <v>39.610812816960006</v>
      </c>
      <c r="N221" s="39">
        <v>28.511015135591318</v>
      </c>
      <c r="O221" s="41">
        <v>1</v>
      </c>
      <c r="P221" s="41">
        <v>0.71977859346990913</v>
      </c>
      <c r="Q221" s="261">
        <f t="shared" si="269"/>
        <v>0.71977859346990913</v>
      </c>
      <c r="R221" s="262">
        <f t="shared" si="270"/>
        <v>4.41</v>
      </c>
      <c r="S221" s="262">
        <f t="shared" si="271"/>
        <v>0</v>
      </c>
      <c r="T221" s="261">
        <f t="shared" si="272"/>
        <v>0.8311118301893482</v>
      </c>
      <c r="U221" s="267">
        <f t="shared" si="273"/>
        <v>0.15467706004248297</v>
      </c>
      <c r="V221" s="42" t="s">
        <v>266</v>
      </c>
      <c r="W221" s="198">
        <f>3.5*W3</f>
        <v>4.41</v>
      </c>
      <c r="X221" s="198"/>
      <c r="Y221" s="344">
        <f>W221</f>
        <v>4.41</v>
      </c>
      <c r="Z221" s="335">
        <v>0</v>
      </c>
      <c r="AA221" s="246">
        <v>0</v>
      </c>
      <c r="AB221" s="246">
        <v>0</v>
      </c>
      <c r="AC221" s="246">
        <v>0</v>
      </c>
      <c r="AD221" s="246">
        <v>0</v>
      </c>
      <c r="AE221" s="246">
        <v>0</v>
      </c>
      <c r="AF221" s="241">
        <f>Y221</f>
        <v>4.41</v>
      </c>
      <c r="AG221" s="246">
        <v>0</v>
      </c>
      <c r="AH221" s="241"/>
      <c r="AI221" s="241"/>
      <c r="AJ221" s="241"/>
      <c r="AK221" s="241"/>
      <c r="AL221" s="246" t="s">
        <v>469</v>
      </c>
      <c r="AM221" s="252" t="s">
        <v>431</v>
      </c>
      <c r="AN221" s="42"/>
      <c r="AO221" s="241"/>
      <c r="AP221" s="48" t="s">
        <v>143</v>
      </c>
      <c r="AQ221" s="44">
        <v>0</v>
      </c>
      <c r="AR221" s="45">
        <v>488.90419687513946</v>
      </c>
      <c r="AS221" s="46">
        <v>0</v>
      </c>
      <c r="AT221" s="45">
        <v>488.90419687513946</v>
      </c>
      <c r="AU221" s="393">
        <v>248433.79046306523</v>
      </c>
      <c r="AV221" s="295">
        <f t="shared" si="279"/>
        <v>38427.00832403719</v>
      </c>
      <c r="AW221" s="295">
        <f t="shared" si="248"/>
        <v>286860.79878710245</v>
      </c>
      <c r="AX221" s="39">
        <v>345153.06889777799</v>
      </c>
      <c r="AY221" s="41">
        <v>8713.6073297136481</v>
      </c>
      <c r="AZ221" s="39">
        <v>-96719.27843471276</v>
      </c>
      <c r="BA221" s="47">
        <v>0.71977859346990902</v>
      </c>
      <c r="BB221" s="41">
        <f t="shared" si="274"/>
        <v>0.8311118301893482</v>
      </c>
      <c r="BC221" s="39">
        <v>75031.241676654899</v>
      </c>
      <c r="BD221" s="47">
        <v>3.3110712939242553</v>
      </c>
      <c r="BE221" s="46">
        <v>0</v>
      </c>
      <c r="BF221" s="45">
        <v>443.56130744156388</v>
      </c>
      <c r="BG221" s="45">
        <v>0</v>
      </c>
      <c r="BH221" s="45">
        <v>932.46550431670335</v>
      </c>
      <c r="BI221" s="393">
        <v>234234.3729484668</v>
      </c>
      <c r="BJ221" s="295">
        <f t="shared" si="275"/>
        <v>36315.767831365352</v>
      </c>
      <c r="BK221" s="295">
        <f t="shared" si="280"/>
        <v>270550.14077983215</v>
      </c>
      <c r="BL221" s="39">
        <v>324341.64236919535</v>
      </c>
      <c r="BM221" s="41">
        <v>8234.867988971735</v>
      </c>
      <c r="BN221" s="39">
        <v>-90107.269420728553</v>
      </c>
      <c r="BO221" s="47">
        <v>0.72218408724045302</v>
      </c>
      <c r="BP221" s="41">
        <f t="shared" si="276"/>
        <v>0.83415172595033971</v>
      </c>
      <c r="BQ221" s="39">
        <v>69060.734711071593</v>
      </c>
      <c r="BR221" s="47">
        <v>3.3917156243476092</v>
      </c>
      <c r="BS221" s="44">
        <v>0</v>
      </c>
      <c r="BT221" s="45">
        <v>415.09256986504386</v>
      </c>
      <c r="BU221" s="46">
        <v>0</v>
      </c>
      <c r="BV221" s="45">
        <v>1347.5580741817471</v>
      </c>
      <c r="BW221" s="393">
        <v>229505.6237544269</v>
      </c>
      <c r="BX221" s="295">
        <f t="shared" si="277"/>
        <v>35462.548383045687</v>
      </c>
      <c r="BY221" s="295">
        <f t="shared" si="281"/>
        <v>264968.1721374726</v>
      </c>
      <c r="BZ221" s="39">
        <v>314916.65948617633</v>
      </c>
      <c r="CA221" s="41">
        <v>8041.3941911668217</v>
      </c>
      <c r="CB221" s="39">
        <v>-85411.035731749434</v>
      </c>
      <c r="CC221" s="47">
        <v>0.72878209786961534</v>
      </c>
      <c r="CD221" s="41">
        <f t="shared" si="278"/>
        <v>0.84139140993620165</v>
      </c>
      <c r="CE221" s="39">
        <v>65633.439560004859</v>
      </c>
      <c r="CF221" s="47">
        <v>3.4967788568295766</v>
      </c>
    </row>
    <row r="222" spans="1:84" ht="15" customHeight="1">
      <c r="A222" s="324" t="str">
        <f t="shared" si="268"/>
        <v>Residential - Efficient Product Rebates; Outdoor Motion Sensor; RES-Lighting; RES-SF</v>
      </c>
      <c r="B222" s="108" t="s">
        <v>144</v>
      </c>
      <c r="C222" s="15" t="s">
        <v>141</v>
      </c>
      <c r="D222" s="15" t="s">
        <v>136</v>
      </c>
      <c r="E222" s="37">
        <v>10</v>
      </c>
      <c r="F222" s="38">
        <v>177.92099999999999</v>
      </c>
      <c r="G222" s="38">
        <v>0</v>
      </c>
      <c r="H222" s="39">
        <v>34</v>
      </c>
      <c r="I222" s="40">
        <v>0.11764705882352941</v>
      </c>
      <c r="J222" s="39">
        <v>17.792100000000001</v>
      </c>
      <c r="K222" s="39">
        <v>21.792100000000001</v>
      </c>
      <c r="L222" s="39">
        <v>30</v>
      </c>
      <c r="M222" s="39">
        <v>51.792100000000005</v>
      </c>
      <c r="N222" s="39">
        <v>90.409509092980045</v>
      </c>
      <c r="O222" s="41">
        <v>1</v>
      </c>
      <c r="P222" s="41">
        <v>1.7456235428372289</v>
      </c>
      <c r="Q222" s="261">
        <f t="shared" si="269"/>
        <v>1.7456235428372289</v>
      </c>
      <c r="R222" s="262">
        <f t="shared" si="270"/>
        <v>4.41</v>
      </c>
      <c r="S222" s="262">
        <f t="shared" si="271"/>
        <v>0</v>
      </c>
      <c r="T222" s="261">
        <f t="shared" si="272"/>
        <v>1.8307716638827163</v>
      </c>
      <c r="U222" s="267">
        <f t="shared" si="273"/>
        <v>4.8778054921906532E-2</v>
      </c>
      <c r="V222" s="42" t="s">
        <v>266</v>
      </c>
      <c r="W222" s="198">
        <f>3.5*W3</f>
        <v>4.41</v>
      </c>
      <c r="X222" s="198"/>
      <c r="Y222" s="344">
        <f>W222</f>
        <v>4.41</v>
      </c>
      <c r="Z222" s="335">
        <v>0</v>
      </c>
      <c r="AA222" s="246">
        <v>0</v>
      </c>
      <c r="AB222" s="246">
        <v>0</v>
      </c>
      <c r="AC222" s="246">
        <v>0</v>
      </c>
      <c r="AD222" s="246">
        <v>0</v>
      </c>
      <c r="AE222" s="246">
        <v>0</v>
      </c>
      <c r="AF222" s="241">
        <f>Y222</f>
        <v>4.41</v>
      </c>
      <c r="AG222" s="246">
        <v>0</v>
      </c>
      <c r="AH222" s="241"/>
      <c r="AI222" s="241"/>
      <c r="AJ222" s="241"/>
      <c r="AK222" s="241"/>
      <c r="AL222" s="246" t="s">
        <v>469</v>
      </c>
      <c r="AM222" s="252" t="s">
        <v>431</v>
      </c>
      <c r="AN222" s="42"/>
      <c r="AO222" s="241"/>
      <c r="AP222" s="48" t="s">
        <v>144</v>
      </c>
      <c r="AQ222" s="44">
        <v>0</v>
      </c>
      <c r="AR222" s="45">
        <v>740.12784849474269</v>
      </c>
      <c r="AS222" s="46">
        <v>0</v>
      </c>
      <c r="AT222" s="45">
        <v>740.12784849474269</v>
      </c>
      <c r="AU222" s="393">
        <v>376091.61059376464</v>
      </c>
      <c r="AV222" s="295">
        <f t="shared" si="279"/>
        <v>18345.017237210985</v>
      </c>
      <c r="AW222" s="295">
        <f t="shared" si="248"/>
        <v>394436.62783097563</v>
      </c>
      <c r="AX222" s="39">
        <v>215448.29189373128</v>
      </c>
      <c r="AY222" s="41">
        <v>4159.8678542428534</v>
      </c>
      <c r="AZ222" s="39">
        <v>160643.31870003336</v>
      </c>
      <c r="BA222" s="47">
        <v>1.7456235428372289</v>
      </c>
      <c r="BB222" s="41">
        <f t="shared" si="274"/>
        <v>1.8307716638827167</v>
      </c>
      <c r="BC222" s="39">
        <v>90652.256266445693</v>
      </c>
      <c r="BD222" s="47">
        <v>4.1487286261067098</v>
      </c>
      <c r="BE222" s="46">
        <v>0</v>
      </c>
      <c r="BF222" s="45">
        <v>842.82239350093198</v>
      </c>
      <c r="BG222" s="45">
        <v>0</v>
      </c>
      <c r="BH222" s="45">
        <v>1582.9502419956748</v>
      </c>
      <c r="BI222" s="393">
        <v>445074.83303111419</v>
      </c>
      <c r="BJ222" s="295">
        <f t="shared" si="275"/>
        <v>20890.433143581198</v>
      </c>
      <c r="BK222" s="295">
        <f t="shared" si="280"/>
        <v>465965.2661746954</v>
      </c>
      <c r="BL222" s="39">
        <v>245342.26812146752</v>
      </c>
      <c r="BM222" s="41">
        <v>4737.0596697463034</v>
      </c>
      <c r="BN222" s="39">
        <v>199732.56490964667</v>
      </c>
      <c r="BO222" s="47">
        <v>1.8140976540200575</v>
      </c>
      <c r="BP222" s="41">
        <f t="shared" si="276"/>
        <v>1.8992457750655451</v>
      </c>
      <c r="BQ222" s="39">
        <v>103230.47802907843</v>
      </c>
      <c r="BR222" s="47">
        <v>4.3114673256259017</v>
      </c>
      <c r="BS222" s="44">
        <v>0</v>
      </c>
      <c r="BT222" s="45">
        <v>921.60282674359985</v>
      </c>
      <c r="BU222" s="46">
        <v>0</v>
      </c>
      <c r="BV222" s="45">
        <v>2504.5530687392747</v>
      </c>
      <c r="BW222" s="393">
        <v>509556.29409218446</v>
      </c>
      <c r="BX222" s="295">
        <f t="shared" si="277"/>
        <v>22843.107142716573</v>
      </c>
      <c r="BY222" s="295">
        <f t="shared" si="281"/>
        <v>532399.40123490104</v>
      </c>
      <c r="BZ222" s="39">
        <v>268274.94091752631</v>
      </c>
      <c r="CA222" s="41">
        <v>5179.8428895048919</v>
      </c>
      <c r="CB222" s="39">
        <v>241281.35317465814</v>
      </c>
      <c r="CC222" s="47">
        <v>1.8993808827222272</v>
      </c>
      <c r="CD222" s="41">
        <f t="shared" si="278"/>
        <v>1.9845290037677148</v>
      </c>
      <c r="CE222" s="39">
        <v>112879.65423237956</v>
      </c>
      <c r="CF222" s="47">
        <v>4.5141553414328062</v>
      </c>
    </row>
    <row r="223" spans="1:84" s="22" customFormat="1" ht="15" customHeight="1">
      <c r="A223" s="324" t="str">
        <f t="shared" si="268"/>
        <v>Residential - Efficient Product Rebates; Power bar with integrated timer; RES-Plug Load; RES-SF</v>
      </c>
      <c r="B223" s="36" t="s">
        <v>145</v>
      </c>
      <c r="C223" s="15" t="s">
        <v>146</v>
      </c>
      <c r="D223" s="15" t="s">
        <v>136</v>
      </c>
      <c r="E223" s="37">
        <v>10</v>
      </c>
      <c r="F223" s="38">
        <v>59.466885309917416</v>
      </c>
      <c r="G223" s="87">
        <v>-3.3815047012008036E-8</v>
      </c>
      <c r="H223" s="39">
        <v>15</v>
      </c>
      <c r="I223" s="40">
        <v>0.33333333333333331</v>
      </c>
      <c r="J223" s="39">
        <v>5.9466885309917421</v>
      </c>
      <c r="K223" s="39">
        <v>10.946688530991743</v>
      </c>
      <c r="L223" s="39">
        <v>10</v>
      </c>
      <c r="M223" s="39">
        <v>20.946688530991743</v>
      </c>
      <c r="N223" s="39">
        <v>30.217747772515548</v>
      </c>
      <c r="O223" s="41">
        <v>1</v>
      </c>
      <c r="P223" s="41">
        <v>1.4426026208298643</v>
      </c>
      <c r="Q223" s="261">
        <f t="shared" si="269"/>
        <v>1.4426026208298643</v>
      </c>
      <c r="R223" s="262">
        <f t="shared" si="270"/>
        <v>0</v>
      </c>
      <c r="S223" s="262">
        <f t="shared" si="271"/>
        <v>0</v>
      </c>
      <c r="T223" s="261">
        <f t="shared" si="272"/>
        <v>1.4426026208298643</v>
      </c>
      <c r="U223" s="267">
        <f t="shared" si="273"/>
        <v>0</v>
      </c>
      <c r="V223" s="185" t="s">
        <v>38</v>
      </c>
      <c r="W223" s="200" t="s">
        <v>38</v>
      </c>
      <c r="X223" s="200"/>
      <c r="Y223" s="345"/>
      <c r="Z223" s="336">
        <v>0</v>
      </c>
      <c r="AA223" s="246">
        <v>0</v>
      </c>
      <c r="AB223" s="246">
        <v>0</v>
      </c>
      <c r="AC223" s="246">
        <v>0</v>
      </c>
      <c r="AD223" s="246">
        <v>0</v>
      </c>
      <c r="AE223" s="246">
        <v>0</v>
      </c>
      <c r="AF223" s="246">
        <v>0</v>
      </c>
      <c r="AG223" s="246">
        <v>0</v>
      </c>
      <c r="AH223" s="247"/>
      <c r="AI223" s="247"/>
      <c r="AJ223" s="247"/>
      <c r="AK223" s="247"/>
      <c r="AL223" s="451" t="s">
        <v>471</v>
      </c>
      <c r="AM223" s="460" t="s">
        <v>269</v>
      </c>
      <c r="AN223" s="181"/>
      <c r="AO223" s="452" t="s">
        <v>428</v>
      </c>
      <c r="AP223" s="43" t="s">
        <v>145</v>
      </c>
      <c r="AQ223" s="88">
        <v>-2.1044122632635224E-7</v>
      </c>
      <c r="AR223" s="45">
        <v>370.08034517839423</v>
      </c>
      <c r="AS223" s="89">
        <v>-2.1044122632635224E-7</v>
      </c>
      <c r="AT223" s="45">
        <v>370.08034517839423</v>
      </c>
      <c r="AU223" s="393">
        <v>188054.14926113837</v>
      </c>
      <c r="AV223" s="295">
        <f t="shared" si="279"/>
        <v>0</v>
      </c>
      <c r="AW223" s="295">
        <f t="shared" si="248"/>
        <v>188054.14926113837</v>
      </c>
      <c r="AX223" s="39">
        <v>130357.55414956846</v>
      </c>
      <c r="AY223" s="41">
        <v>6223.3013087819345</v>
      </c>
      <c r="AZ223" s="39">
        <v>57696.595111569914</v>
      </c>
      <c r="BA223" s="47">
        <v>1.4426026208298639</v>
      </c>
      <c r="BB223" s="41">
        <f t="shared" si="274"/>
        <v>1.4426026208298639</v>
      </c>
      <c r="BC223" s="39">
        <v>68124.5410617491</v>
      </c>
      <c r="BD223" s="47">
        <v>2.7604464753851814</v>
      </c>
      <c r="BE223" s="89">
        <v>-2.4288738064396093E-7</v>
      </c>
      <c r="BF223" s="45">
        <v>427.13990617406409</v>
      </c>
      <c r="BG223" s="89">
        <v>-4.5332860697031311E-7</v>
      </c>
      <c r="BH223" s="45">
        <v>797.22025135245826</v>
      </c>
      <c r="BI223" s="393">
        <v>225562.61392677538</v>
      </c>
      <c r="BJ223" s="295">
        <f t="shared" si="275"/>
        <v>0</v>
      </c>
      <c r="BK223" s="295">
        <f t="shared" si="280"/>
        <v>225562.61392677538</v>
      </c>
      <c r="BL223" s="39">
        <v>150456.28381503647</v>
      </c>
      <c r="BM223" s="41">
        <v>7182.8195465086701</v>
      </c>
      <c r="BN223" s="39">
        <v>75106.330111738906</v>
      </c>
      <c r="BO223" s="47">
        <v>1.4991903841256038</v>
      </c>
      <c r="BP223" s="41">
        <f t="shared" si="276"/>
        <v>1.4991903841256038</v>
      </c>
      <c r="BQ223" s="39">
        <v>78628.088349949758</v>
      </c>
      <c r="BR223" s="47">
        <v>2.8687281944699539</v>
      </c>
      <c r="BS223" s="88">
        <v>-2.7271544535998425E-7</v>
      </c>
      <c r="BT223" s="45">
        <v>479.59531464517073</v>
      </c>
      <c r="BU223" s="46">
        <v>-7.2604405233029736E-7</v>
      </c>
      <c r="BV223" s="45">
        <v>1276.8155659976289</v>
      </c>
      <c r="BW223" s="393">
        <v>265169.33729471988</v>
      </c>
      <c r="BX223" s="295">
        <f t="shared" si="277"/>
        <v>0</v>
      </c>
      <c r="BY223" s="295">
        <f t="shared" si="281"/>
        <v>265169.33729471988</v>
      </c>
      <c r="BZ223" s="39">
        <v>168933.24115497255</v>
      </c>
      <c r="CA223" s="41">
        <v>8064.9139793636987</v>
      </c>
      <c r="CB223" s="39">
        <v>96236.096139747329</v>
      </c>
      <c r="CC223" s="47">
        <v>1.569669388225756</v>
      </c>
      <c r="CD223" s="41">
        <f t="shared" si="278"/>
        <v>1.569669388225756</v>
      </c>
      <c r="CE223" s="39">
        <v>88284.101361335575</v>
      </c>
      <c r="CF223" s="47">
        <v>3.0035910566662007</v>
      </c>
    </row>
    <row r="224" spans="1:84" s="22" customFormat="1" ht="15" customHeight="1">
      <c r="A224" s="324" t="str">
        <f t="shared" si="268"/>
        <v>Residential - Efficient Product Rebates; Smartstrip; RES-Plug Load; RES-SF</v>
      </c>
      <c r="B224" s="36" t="s">
        <v>147</v>
      </c>
      <c r="C224" s="15" t="s">
        <v>146</v>
      </c>
      <c r="D224" s="15" t="s">
        <v>136</v>
      </c>
      <c r="E224" s="37">
        <v>10</v>
      </c>
      <c r="F224" s="38">
        <v>60.202199999999998</v>
      </c>
      <c r="G224" s="87">
        <v>-3.4233173851578965E-8</v>
      </c>
      <c r="H224" s="39">
        <v>28</v>
      </c>
      <c r="I224" s="40">
        <v>0.5357142857142857</v>
      </c>
      <c r="J224" s="39">
        <v>6.0202200000000001</v>
      </c>
      <c r="K224" s="39">
        <v>21.020220000000002</v>
      </c>
      <c r="L224" s="39">
        <v>13</v>
      </c>
      <c r="M224" s="39">
        <v>34.020220000000002</v>
      </c>
      <c r="N224" s="39">
        <v>30.591393604520057</v>
      </c>
      <c r="O224" s="41">
        <v>1</v>
      </c>
      <c r="P224" s="41">
        <v>0.8992121039934502</v>
      </c>
      <c r="Q224" s="261">
        <f t="shared" si="269"/>
        <v>0.8992121039934502</v>
      </c>
      <c r="R224" s="262">
        <f t="shared" si="270"/>
        <v>0</v>
      </c>
      <c r="S224" s="262">
        <f t="shared" si="271"/>
        <v>0</v>
      </c>
      <c r="T224" s="261">
        <f t="shared" si="272"/>
        <v>0.8992121039934502</v>
      </c>
      <c r="U224" s="267">
        <f t="shared" si="273"/>
        <v>0</v>
      </c>
      <c r="V224" s="42" t="s">
        <v>38</v>
      </c>
      <c r="W224" s="198" t="s">
        <v>38</v>
      </c>
      <c r="X224" s="198"/>
      <c r="Y224" s="340"/>
      <c r="Z224" s="335">
        <v>0</v>
      </c>
      <c r="AA224" s="246">
        <v>0</v>
      </c>
      <c r="AB224" s="246">
        <v>0</v>
      </c>
      <c r="AC224" s="246">
        <v>0</v>
      </c>
      <c r="AD224" s="246">
        <v>0</v>
      </c>
      <c r="AE224" s="246">
        <v>0</v>
      </c>
      <c r="AF224" s="246">
        <v>0</v>
      </c>
      <c r="AG224" s="246">
        <v>0</v>
      </c>
      <c r="AH224" s="241"/>
      <c r="AI224" s="241"/>
      <c r="AJ224" s="241"/>
      <c r="AK224" s="241"/>
      <c r="AL224" s="246" t="s">
        <v>471</v>
      </c>
      <c r="AM224" s="457" t="s">
        <v>333</v>
      </c>
      <c r="AN224" s="102" t="s">
        <v>38</v>
      </c>
      <c r="AO224" s="241"/>
      <c r="AP224" s="43" t="s">
        <v>147</v>
      </c>
      <c r="AQ224" s="88">
        <v>-2.0862689877722632E-7</v>
      </c>
      <c r="AR224" s="45">
        <v>366.88968250564437</v>
      </c>
      <c r="AS224" s="89">
        <v>-2.0862689877722632E-7</v>
      </c>
      <c r="AT224" s="45">
        <v>366.88968250564437</v>
      </c>
      <c r="AU224" s="393">
        <v>186432.83280291359</v>
      </c>
      <c r="AV224" s="295">
        <f t="shared" si="279"/>
        <v>0</v>
      </c>
      <c r="AW224" s="295">
        <f t="shared" si="248"/>
        <v>186432.83280291359</v>
      </c>
      <c r="AX224" s="39">
        <v>207329.09618871362</v>
      </c>
      <c r="AY224" s="41">
        <v>6094.2902835053274</v>
      </c>
      <c r="AZ224" s="39">
        <v>-20896.263385800034</v>
      </c>
      <c r="BA224" s="47">
        <v>0.8992121039934502</v>
      </c>
      <c r="BB224" s="41">
        <f t="shared" si="274"/>
        <v>0.8992121039934502</v>
      </c>
      <c r="BC224" s="39">
        <v>128103.32250314436</v>
      </c>
      <c r="BD224" s="47">
        <v>1.4553317522138234</v>
      </c>
      <c r="BE224" s="89">
        <v>-2.3611534157101467E-7</v>
      </c>
      <c r="BF224" s="45">
        <v>415.23064960191834</v>
      </c>
      <c r="BG224" s="89">
        <v>-4.44742240348241E-7</v>
      </c>
      <c r="BH224" s="45">
        <v>782.12033210756272</v>
      </c>
      <c r="BI224" s="393">
        <v>219273.61352313915</v>
      </c>
      <c r="BJ224" s="295">
        <f t="shared" si="275"/>
        <v>0</v>
      </c>
      <c r="BK224" s="295">
        <f t="shared" si="280"/>
        <v>219273.61352313915</v>
      </c>
      <c r="BL224" s="39">
        <v>234646.54199016275</v>
      </c>
      <c r="BM224" s="41">
        <v>6897.2670367846749</v>
      </c>
      <c r="BN224" s="39">
        <v>-15372.928467023594</v>
      </c>
      <c r="BO224" s="47">
        <v>0.93448474315181651</v>
      </c>
      <c r="BP224" s="41">
        <f t="shared" si="276"/>
        <v>0.93448474315181651</v>
      </c>
      <c r="BQ224" s="39">
        <v>144982.07051196197</v>
      </c>
      <c r="BR224" s="47">
        <v>1.5124188304721973</v>
      </c>
      <c r="BS224" s="88">
        <v>-2.5969198556677232E-7</v>
      </c>
      <c r="BT224" s="45">
        <v>456.69235698888724</v>
      </c>
      <c r="BU224" s="46">
        <v>-7.0443422591501331E-7</v>
      </c>
      <c r="BV224" s="45">
        <v>1238.81268909645</v>
      </c>
      <c r="BW224" s="393">
        <v>252506.24005762738</v>
      </c>
      <c r="BX224" s="295">
        <f t="shared" si="277"/>
        <v>0</v>
      </c>
      <c r="BY224" s="295">
        <f t="shared" si="281"/>
        <v>252506.24005762738</v>
      </c>
      <c r="BZ224" s="39">
        <v>258076.52306860016</v>
      </c>
      <c r="CA224" s="41">
        <v>7585.974548918266</v>
      </c>
      <c r="CB224" s="39">
        <v>-5570.2830109727802</v>
      </c>
      <c r="CC224" s="47">
        <v>0.97841615756156119</v>
      </c>
      <c r="CD224" s="41">
        <f t="shared" si="278"/>
        <v>0.97841615756156119</v>
      </c>
      <c r="CE224" s="39">
        <v>159458.85393266272</v>
      </c>
      <c r="CF224" s="47">
        <v>1.5835197220485311</v>
      </c>
    </row>
    <row r="225" spans="1:84" s="22" customFormat="1" ht="15" customHeight="1">
      <c r="A225" s="324" t="str">
        <f t="shared" si="268"/>
        <v>Residential - Efficient Product Rebates; Heavy Duty Outdoor Timer; RES-Plug Load; RES-SF</v>
      </c>
      <c r="B225" s="108" t="s">
        <v>148</v>
      </c>
      <c r="C225" s="15" t="s">
        <v>146</v>
      </c>
      <c r="D225" s="15" t="s">
        <v>136</v>
      </c>
      <c r="E225" s="37">
        <v>10</v>
      </c>
      <c r="F225" s="38">
        <v>429.69600000000003</v>
      </c>
      <c r="G225" s="87">
        <v>-2.4434086912651158E-7</v>
      </c>
      <c r="H225" s="39">
        <v>30</v>
      </c>
      <c r="I225" s="40">
        <v>0.33333333333333331</v>
      </c>
      <c r="J225" s="39">
        <v>42.969600000000007</v>
      </c>
      <c r="K225" s="39">
        <v>52.969600000000007</v>
      </c>
      <c r="L225" s="39">
        <v>20</v>
      </c>
      <c r="M225" s="39">
        <v>72.969600000000014</v>
      </c>
      <c r="N225" s="39">
        <v>218.34749338542198</v>
      </c>
      <c r="O225" s="41">
        <v>1</v>
      </c>
      <c r="P225" s="41">
        <v>2.9923076649100713</v>
      </c>
      <c r="Q225" s="261">
        <f t="shared" si="269"/>
        <v>2.9923076649100713</v>
      </c>
      <c r="R225" s="262">
        <f t="shared" si="270"/>
        <v>4.41</v>
      </c>
      <c r="S225" s="262">
        <f t="shared" si="271"/>
        <v>0</v>
      </c>
      <c r="T225" s="261">
        <f t="shared" si="272"/>
        <v>3.0527437917354892</v>
      </c>
      <c r="U225" s="267">
        <f t="shared" si="273"/>
        <v>2.0197163391363428E-2</v>
      </c>
      <c r="V225" s="42" t="s">
        <v>266</v>
      </c>
      <c r="W225" s="198">
        <f>3.5*W3</f>
        <v>4.41</v>
      </c>
      <c r="X225" s="198"/>
      <c r="Y225" s="334">
        <f>W225</f>
        <v>4.41</v>
      </c>
      <c r="Z225" s="334">
        <v>0</v>
      </c>
      <c r="AA225" s="246">
        <v>0</v>
      </c>
      <c r="AB225" s="246">
        <v>0</v>
      </c>
      <c r="AC225" s="246">
        <v>0</v>
      </c>
      <c r="AD225" s="246">
        <v>0</v>
      </c>
      <c r="AE225" s="246">
        <v>0</v>
      </c>
      <c r="AF225" s="241">
        <f>Y225</f>
        <v>4.41</v>
      </c>
      <c r="AG225" s="246">
        <v>0</v>
      </c>
      <c r="AH225" s="246"/>
      <c r="AI225" s="246"/>
      <c r="AJ225" s="246"/>
      <c r="AK225" s="246"/>
      <c r="AL225" s="246" t="s">
        <v>470</v>
      </c>
      <c r="AM225" s="252" t="s">
        <v>334</v>
      </c>
      <c r="AN225" s="102"/>
      <c r="AO225" s="241" t="s">
        <v>428</v>
      </c>
      <c r="AP225" s="43" t="s">
        <v>148</v>
      </c>
      <c r="AQ225" s="88">
        <v>-6.8097248258420346E-8</v>
      </c>
      <c r="AR225" s="45">
        <v>119.75530451477503</v>
      </c>
      <c r="AS225" s="89">
        <v>-6.8097248258420346E-8</v>
      </c>
      <c r="AT225" s="45">
        <v>119.75530451477503</v>
      </c>
      <c r="AU225" s="393">
        <v>60852.953158533099</v>
      </c>
      <c r="AV225" s="295">
        <f t="shared" si="279"/>
        <v>1229.0570377898746</v>
      </c>
      <c r="AW225" s="295">
        <f t="shared" si="248"/>
        <v>62082.010196322975</v>
      </c>
      <c r="AX225" s="39">
        <v>20336.462681340596</v>
      </c>
      <c r="AY225" s="41">
        <v>278.69774099543639</v>
      </c>
      <c r="AZ225" s="39">
        <v>40516.490477192507</v>
      </c>
      <c r="BA225" s="47">
        <v>2.9923076649100722</v>
      </c>
      <c r="BB225" s="41">
        <f t="shared" si="274"/>
        <v>3.0527437917354896</v>
      </c>
      <c r="BC225" s="39">
        <v>14762.507861431866</v>
      </c>
      <c r="BD225" s="47">
        <v>4.1221284167790957</v>
      </c>
      <c r="BE225" s="89">
        <v>-7.4119883732575295E-8</v>
      </c>
      <c r="BF225" s="45">
        <v>130.34666559961491</v>
      </c>
      <c r="BG225" s="89">
        <v>-1.4221713199099563E-7</v>
      </c>
      <c r="BH225" s="45">
        <v>250.10197011438993</v>
      </c>
      <c r="BI225" s="393">
        <v>68833.031482914332</v>
      </c>
      <c r="BJ225" s="295">
        <f t="shared" si="275"/>
        <v>1337.7569148754044</v>
      </c>
      <c r="BK225" s="295">
        <f t="shared" si="280"/>
        <v>70170.788397789729</v>
      </c>
      <c r="BL225" s="39">
        <v>22135.053735984649</v>
      </c>
      <c r="BM225" s="41">
        <v>303.34623920077195</v>
      </c>
      <c r="BN225" s="39">
        <v>46697.977746929682</v>
      </c>
      <c r="BO225" s="47">
        <v>3.1096844084463835</v>
      </c>
      <c r="BP225" s="41">
        <f t="shared" si="276"/>
        <v>3.1701205352718009</v>
      </c>
      <c r="BQ225" s="39">
        <v>16068.128951969211</v>
      </c>
      <c r="BR225" s="47">
        <v>4.2838236915243684</v>
      </c>
      <c r="BS225" s="88">
        <v>-7.8516353062325951E-8</v>
      </c>
      <c r="BT225" s="45">
        <v>138.0782632315215</v>
      </c>
      <c r="BU225" s="46">
        <v>-2.2073348505332161E-7</v>
      </c>
      <c r="BV225" s="45">
        <v>388.18023334591146</v>
      </c>
      <c r="BW225" s="393">
        <v>76343.784932505951</v>
      </c>
      <c r="BX225" s="295">
        <f t="shared" si="277"/>
        <v>1417.1068403034001</v>
      </c>
      <c r="BY225" s="295">
        <f t="shared" si="281"/>
        <v>77760.891772809351</v>
      </c>
      <c r="BZ225" s="39">
        <v>23448.008910250108</v>
      </c>
      <c r="CA225" s="41">
        <v>321.33941956993198</v>
      </c>
      <c r="CB225" s="39">
        <v>52895.776022255843</v>
      </c>
      <c r="CC225" s="47">
        <v>3.2558749540193532</v>
      </c>
      <c r="CD225" s="41">
        <f t="shared" si="278"/>
        <v>3.3163110808447707</v>
      </c>
      <c r="CE225" s="39">
        <v>17021.220518851471</v>
      </c>
      <c r="CF225" s="47">
        <v>4.4852121413945083</v>
      </c>
    </row>
    <row r="226" spans="1:84" s="22" customFormat="1" ht="15" customHeight="1">
      <c r="A226" s="324" t="str">
        <f t="shared" si="268"/>
        <v>Residential - Efficient Product Rebates; Advanced Power Strip (load sensing or remote control/wireless APS); RES-Plug Load; RES-SF</v>
      </c>
      <c r="B226" s="36" t="s">
        <v>149</v>
      </c>
      <c r="C226" s="15" t="s">
        <v>146</v>
      </c>
      <c r="D226" s="15" t="s">
        <v>136</v>
      </c>
      <c r="E226" s="37">
        <v>10</v>
      </c>
      <c r="F226" s="38">
        <v>459.30204020491738</v>
      </c>
      <c r="G226" s="87">
        <v>-2.6117594693748481E-7</v>
      </c>
      <c r="H226" s="39">
        <v>50</v>
      </c>
      <c r="I226" s="40">
        <v>0.6</v>
      </c>
      <c r="J226" s="39">
        <v>45.930204020491743</v>
      </c>
      <c r="K226" s="39">
        <v>75.930204020491743</v>
      </c>
      <c r="L226" s="39">
        <v>20</v>
      </c>
      <c r="M226" s="39">
        <v>95.930204020491743</v>
      </c>
      <c r="N226" s="39">
        <v>233.39162846652985</v>
      </c>
      <c r="O226" s="41">
        <v>1</v>
      </c>
      <c r="P226" s="41">
        <v>2.4329316386805018</v>
      </c>
      <c r="Q226" s="261">
        <f t="shared" si="269"/>
        <v>2.4329316386805018</v>
      </c>
      <c r="R226" s="262">
        <f t="shared" si="270"/>
        <v>0</v>
      </c>
      <c r="S226" s="262">
        <f t="shared" si="271"/>
        <v>0</v>
      </c>
      <c r="T226" s="261">
        <f t="shared" si="272"/>
        <v>2.4329316386805018</v>
      </c>
      <c r="U226" s="267">
        <f t="shared" si="273"/>
        <v>0</v>
      </c>
      <c r="V226" s="42" t="s">
        <v>38</v>
      </c>
      <c r="W226" s="198" t="s">
        <v>38</v>
      </c>
      <c r="X226" s="198"/>
      <c r="Y226" s="340"/>
      <c r="Z226" s="335">
        <v>0</v>
      </c>
      <c r="AA226" s="246">
        <v>0</v>
      </c>
      <c r="AB226" s="246">
        <v>0</v>
      </c>
      <c r="AC226" s="246">
        <v>0</v>
      </c>
      <c r="AD226" s="246">
        <v>0</v>
      </c>
      <c r="AE226" s="246">
        <v>0</v>
      </c>
      <c r="AF226" s="246">
        <v>0</v>
      </c>
      <c r="AG226" s="246">
        <v>0</v>
      </c>
      <c r="AH226" s="241"/>
      <c r="AI226" s="241"/>
      <c r="AJ226" s="241"/>
      <c r="AK226" s="241"/>
      <c r="AL226" s="246" t="s">
        <v>472</v>
      </c>
      <c r="AM226" s="252" t="s">
        <v>330</v>
      </c>
      <c r="AN226" s="102" t="s">
        <v>38</v>
      </c>
      <c r="AO226" s="241"/>
      <c r="AP226" s="43" t="s">
        <v>149</v>
      </c>
      <c r="AQ226" s="88">
        <v>-1.5686366172709174E-6</v>
      </c>
      <c r="AR226" s="45">
        <v>2758.5924626708693</v>
      </c>
      <c r="AS226" s="89">
        <v>-1.5686366172709174E-6</v>
      </c>
      <c r="AT226" s="45">
        <v>2758.5924626708693</v>
      </c>
      <c r="AU226" s="393">
        <v>1401762.5239613645</v>
      </c>
      <c r="AV226" s="295">
        <f t="shared" si="279"/>
        <v>0</v>
      </c>
      <c r="AW226" s="295">
        <f t="shared" si="248"/>
        <v>1401762.5239613645</v>
      </c>
      <c r="AX226" s="39">
        <v>576161.9034728033</v>
      </c>
      <c r="AY226" s="41">
        <v>6006.0531441143276</v>
      </c>
      <c r="AZ226" s="39">
        <v>825600.62048856122</v>
      </c>
      <c r="BA226" s="47">
        <v>2.4329316386805018</v>
      </c>
      <c r="BB226" s="41">
        <f t="shared" si="274"/>
        <v>2.4329316386805018</v>
      </c>
      <c r="BC226" s="39">
        <v>456040.8405905168</v>
      </c>
      <c r="BD226" s="47">
        <v>3.0737653280049533</v>
      </c>
      <c r="BE226" s="89">
        <v>-1.7487943963354768E-6</v>
      </c>
      <c r="BF226" s="45">
        <v>3075.4165670856037</v>
      </c>
      <c r="BG226" s="89">
        <v>-3.3174310136063942E-6</v>
      </c>
      <c r="BH226" s="45">
        <v>5834.009029756473</v>
      </c>
      <c r="BI226" s="393">
        <v>1624055.7010911764</v>
      </c>
      <c r="BJ226" s="295">
        <f t="shared" si="275"/>
        <v>0</v>
      </c>
      <c r="BK226" s="295">
        <f t="shared" si="280"/>
        <v>1624055.7010911764</v>
      </c>
      <c r="BL226" s="39">
        <v>642334.04797613551</v>
      </c>
      <c r="BM226" s="41">
        <v>6695.8478253515013</v>
      </c>
      <c r="BN226" s="39">
        <v>981721.65311504086</v>
      </c>
      <c r="BO226" s="47">
        <v>2.5283662079073137</v>
      </c>
      <c r="BP226" s="41">
        <f t="shared" si="276"/>
        <v>2.5283662079073137</v>
      </c>
      <c r="BQ226" s="39">
        <v>508417.09146910539</v>
      </c>
      <c r="BR226" s="47">
        <v>3.1943373429841984</v>
      </c>
      <c r="BS226" s="88">
        <v>-1.8898828606511989E-6</v>
      </c>
      <c r="BT226" s="45">
        <v>3323.5336707831389</v>
      </c>
      <c r="BU226" s="46">
        <v>-5.2073138742575931E-6</v>
      </c>
      <c r="BV226" s="45">
        <v>9157.5427005396123</v>
      </c>
      <c r="BW226" s="393">
        <v>1837589.3050796026</v>
      </c>
      <c r="BX226" s="295">
        <f t="shared" si="277"/>
        <v>0</v>
      </c>
      <c r="BY226" s="295">
        <f t="shared" si="281"/>
        <v>1837589.3050796026</v>
      </c>
      <c r="BZ226" s="39">
        <v>694155.9914799328</v>
      </c>
      <c r="CA226" s="41">
        <v>7236.0524880323765</v>
      </c>
      <c r="CB226" s="39">
        <v>1143433.3135996698</v>
      </c>
      <c r="CC226" s="47">
        <v>2.6472281844919077</v>
      </c>
      <c r="CD226" s="41">
        <f t="shared" si="278"/>
        <v>2.6472281844919077</v>
      </c>
      <c r="CE226" s="39">
        <v>549434.94171928521</v>
      </c>
      <c r="CF226" s="47">
        <v>3.3445075395631743</v>
      </c>
    </row>
    <row r="227" spans="1:84" s="22" customFormat="1" ht="15" customHeight="1" thickBot="1">
      <c r="A227" s="324" t="str">
        <f t="shared" si="268"/>
        <v>Residential - Efficient Product Rebates; Dehumidifier (Retirement); RES-Appliance; RES-SF</v>
      </c>
      <c r="B227" s="53" t="s">
        <v>150</v>
      </c>
      <c r="C227" s="16" t="s">
        <v>135</v>
      </c>
      <c r="D227" s="16" t="s">
        <v>136</v>
      </c>
      <c r="E227" s="54">
        <v>12</v>
      </c>
      <c r="F227" s="55">
        <v>1369.3203000000001</v>
      </c>
      <c r="G227" s="55">
        <v>458.22281418688141</v>
      </c>
      <c r="H227" s="56">
        <v>50</v>
      </c>
      <c r="I227" s="57">
        <v>0.3</v>
      </c>
      <c r="J227" s="56">
        <v>136.93203000000003</v>
      </c>
      <c r="K227" s="56">
        <v>151.93203000000003</v>
      </c>
      <c r="L227" s="56">
        <v>35</v>
      </c>
      <c r="M227" s="56">
        <v>186.93203000000003</v>
      </c>
      <c r="N227" s="56">
        <v>1424.2983869803788</v>
      </c>
      <c r="O227" s="58">
        <v>0.6</v>
      </c>
      <c r="P227" s="58">
        <v>5.1193233089433292</v>
      </c>
      <c r="Q227" s="263">
        <f t="shared" si="269"/>
        <v>5.1193233089433292</v>
      </c>
      <c r="R227" s="264">
        <f t="shared" si="270"/>
        <v>0</v>
      </c>
      <c r="S227" s="264">
        <f t="shared" si="271"/>
        <v>0</v>
      </c>
      <c r="T227" s="263">
        <f t="shared" si="272"/>
        <v>5.1193233089433292</v>
      </c>
      <c r="U227" s="268">
        <f t="shared" si="273"/>
        <v>0</v>
      </c>
      <c r="V227" s="59" t="s">
        <v>38</v>
      </c>
      <c r="W227" s="201" t="s">
        <v>38</v>
      </c>
      <c r="X227" s="201"/>
      <c r="Y227" s="342"/>
      <c r="Z227" s="346">
        <v>0</v>
      </c>
      <c r="AA227" s="275">
        <v>0</v>
      </c>
      <c r="AB227" s="275">
        <v>0</v>
      </c>
      <c r="AC227" s="275">
        <v>0</v>
      </c>
      <c r="AD227" s="275">
        <v>0</v>
      </c>
      <c r="AE227" s="275">
        <v>0</v>
      </c>
      <c r="AF227" s="275">
        <v>0</v>
      </c>
      <c r="AG227" s="275">
        <v>0</v>
      </c>
      <c r="AH227" s="251"/>
      <c r="AI227" s="251"/>
      <c r="AJ227" s="251"/>
      <c r="AK227" s="251"/>
      <c r="AL227" s="275" t="s">
        <v>472</v>
      </c>
      <c r="AM227" s="253" t="s">
        <v>335</v>
      </c>
      <c r="AN227" s="103" t="s">
        <v>38</v>
      </c>
      <c r="AO227" s="251"/>
      <c r="AP227" s="43" t="s">
        <v>150</v>
      </c>
      <c r="AQ227" s="44">
        <v>136.89806778165806</v>
      </c>
      <c r="AR227" s="45">
        <v>409.09639904517684</v>
      </c>
      <c r="AS227" s="46">
        <v>136.89806778165806</v>
      </c>
      <c r="AT227" s="45">
        <v>409.09639904517684</v>
      </c>
      <c r="AU227" s="393">
        <v>425521.58270021022</v>
      </c>
      <c r="AV227" s="295">
        <f t="shared" si="279"/>
        <v>0</v>
      </c>
      <c r="AW227" s="295">
        <f t="shared" si="248"/>
        <v>425521.58270021022</v>
      </c>
      <c r="AX227" s="39">
        <v>83120.669866041615</v>
      </c>
      <c r="AY227" s="41">
        <v>497.93122306151554</v>
      </c>
      <c r="AZ227" s="39">
        <v>342400.91283416859</v>
      </c>
      <c r="BA227" s="47">
        <v>5.1193233089433292</v>
      </c>
      <c r="BB227" s="41">
        <f t="shared" si="274"/>
        <v>5.1193233089433292</v>
      </c>
      <c r="BC227" s="39">
        <v>75651.701520118891</v>
      </c>
      <c r="BD227" s="47">
        <v>5.6247456983772741</v>
      </c>
      <c r="BE227" s="46">
        <v>154.71186546998385</v>
      </c>
      <c r="BF227" s="45">
        <v>462.32987856540268</v>
      </c>
      <c r="BG227" s="46">
        <v>291.60993325164191</v>
      </c>
      <c r="BH227" s="45">
        <v>871.42627761057952</v>
      </c>
      <c r="BI227" s="393">
        <v>520822.47717921046</v>
      </c>
      <c r="BJ227" s="295">
        <f t="shared" si="275"/>
        <v>0</v>
      </c>
      <c r="BK227" s="295">
        <f t="shared" si="280"/>
        <v>520822.47717921046</v>
      </c>
      <c r="BL227" s="39">
        <v>93936.70854873053</v>
      </c>
      <c r="BM227" s="41">
        <v>562.72429292766969</v>
      </c>
      <c r="BN227" s="39">
        <v>426885.76863047993</v>
      </c>
      <c r="BO227" s="47">
        <v>5.5443977676632032</v>
      </c>
      <c r="BP227" s="41">
        <f t="shared" si="276"/>
        <v>5.5443977676632032</v>
      </c>
      <c r="BQ227" s="39">
        <v>85495.844154815495</v>
      </c>
      <c r="BR227" s="47">
        <v>6.0917870608553493</v>
      </c>
      <c r="BS227" s="44">
        <v>155.92685542518205</v>
      </c>
      <c r="BT227" s="45">
        <v>465.96066768903296</v>
      </c>
      <c r="BU227" s="46">
        <v>447.53678867682402</v>
      </c>
      <c r="BV227" s="45">
        <v>1337.3869452996125</v>
      </c>
      <c r="BW227" s="393">
        <v>569411.38358184963</v>
      </c>
      <c r="BX227" s="295">
        <f t="shared" si="277"/>
        <v>0</v>
      </c>
      <c r="BY227" s="295">
        <f t="shared" si="281"/>
        <v>569411.38358184963</v>
      </c>
      <c r="BZ227" s="39">
        <v>94674.416396569999</v>
      </c>
      <c r="CA227" s="41">
        <v>567.1435038354831</v>
      </c>
      <c r="CB227" s="39">
        <v>474736.96718527965</v>
      </c>
      <c r="CC227" s="47">
        <v>6.0144166212412911</v>
      </c>
      <c r="CD227" s="41">
        <f t="shared" si="278"/>
        <v>6.0144166212412911</v>
      </c>
      <c r="CE227" s="39">
        <v>86167.263839037754</v>
      </c>
      <c r="CF227" s="47">
        <v>6.6082101045418122</v>
      </c>
    </row>
    <row r="228" spans="1:84" s="22" customFormat="1" ht="15" customHeight="1" thickBot="1">
      <c r="A228" s="324"/>
      <c r="B228" s="60"/>
      <c r="C228" s="15"/>
      <c r="D228" s="15"/>
      <c r="E228" s="15"/>
      <c r="F228" s="60"/>
      <c r="G228" s="60"/>
      <c r="H228" s="42"/>
      <c r="I228" s="40"/>
      <c r="J228" s="39"/>
      <c r="K228" s="39"/>
      <c r="L228" s="39"/>
      <c r="M228" s="39"/>
      <c r="N228" s="39"/>
      <c r="O228" s="41"/>
      <c r="P228" s="61"/>
      <c r="Q228"/>
      <c r="R228"/>
      <c r="S228"/>
      <c r="T228"/>
      <c r="U228"/>
      <c r="V228" s="42"/>
      <c r="W228" s="42"/>
      <c r="X228" s="42"/>
      <c r="Y228" s="42"/>
      <c r="Z228" s="231"/>
      <c r="AA228" s="231"/>
      <c r="AB228" s="231"/>
      <c r="AC228" s="231"/>
      <c r="AD228" s="231"/>
      <c r="AE228" s="231"/>
      <c r="AF228" s="231"/>
      <c r="AG228" s="231"/>
      <c r="AH228" s="231"/>
      <c r="AI228" s="231"/>
      <c r="AJ228" s="231"/>
      <c r="AK228" s="231"/>
      <c r="AL228" s="231"/>
      <c r="AM228" s="42"/>
      <c r="AN228" s="42"/>
      <c r="AO228" s="441"/>
      <c r="AP228" s="62" t="s">
        <v>101</v>
      </c>
      <c r="AQ228" s="63">
        <v>1071.3396824715683</v>
      </c>
      <c r="AR228" s="64">
        <v>11033.074255092843</v>
      </c>
      <c r="AS228" s="65">
        <v>1071.3396824715683</v>
      </c>
      <c r="AT228" s="64">
        <v>11033.074255092843</v>
      </c>
      <c r="AU228" s="371">
        <v>6578240.8481174055</v>
      </c>
      <c r="AV228" s="296">
        <f>SUM(AV216:AV227)</f>
        <v>263489.29314083821</v>
      </c>
      <c r="AW228" s="373">
        <f t="shared" si="248"/>
        <v>6841730.1412582435</v>
      </c>
      <c r="AX228" s="66">
        <v>4040426.2598133064</v>
      </c>
      <c r="AY228" s="67"/>
      <c r="AZ228" s="66">
        <v>2537814.5883041001</v>
      </c>
      <c r="BA228" s="68">
        <v>1.6281056564614453</v>
      </c>
      <c r="BB228" s="67"/>
      <c r="BC228" s="66">
        <v>2451584.6701212227</v>
      </c>
      <c r="BD228" s="68">
        <v>2.6832607204189007</v>
      </c>
      <c r="BE228" s="65">
        <v>1138.0199871259333</v>
      </c>
      <c r="BF228" s="64">
        <v>11961.876545892816</v>
      </c>
      <c r="BG228" s="65">
        <v>2209.3596695975011</v>
      </c>
      <c r="BH228" s="64">
        <v>22994.950800985658</v>
      </c>
      <c r="BI228" s="371">
        <v>7323118.4195067324</v>
      </c>
      <c r="BJ228" s="296">
        <f>SUM(BJ216:BJ227)</f>
        <v>264274.56415669905</v>
      </c>
      <c r="BK228" s="373">
        <f t="shared" si="280"/>
        <v>7587392.9836634314</v>
      </c>
      <c r="BL228" s="66">
        <v>4309993.0776722627</v>
      </c>
      <c r="BM228" s="67"/>
      <c r="BN228" s="66">
        <v>3013125.3418344683</v>
      </c>
      <c r="BO228" s="68">
        <v>1.6991021302200782</v>
      </c>
      <c r="BP228" s="67"/>
      <c r="BQ228" s="66">
        <v>2659220.3675390189</v>
      </c>
      <c r="BR228" s="68">
        <v>2.7538591795173137</v>
      </c>
      <c r="BS228" s="65">
        <v>1117.9749454937094</v>
      </c>
      <c r="BT228" s="64">
        <v>12243.295050215047</v>
      </c>
      <c r="BU228" s="65">
        <v>3327.3346150912112</v>
      </c>
      <c r="BV228" s="64">
        <v>35238.245851200707</v>
      </c>
      <c r="BW228" s="371">
        <v>7916033.061519105</v>
      </c>
      <c r="BX228" s="296">
        <f>SUM(BX216:BX227)</f>
        <v>268518.40927980747</v>
      </c>
      <c r="BY228" s="373">
        <f t="shared" si="281"/>
        <v>8184551.4707989125</v>
      </c>
      <c r="BZ228" s="66">
        <v>4406885.8400594275</v>
      </c>
      <c r="CA228" s="67"/>
      <c r="CB228" s="66">
        <v>3509147.221459677</v>
      </c>
      <c r="CC228" s="68">
        <v>1.7962872987452645</v>
      </c>
      <c r="CD228" s="67"/>
      <c r="CE228" s="66">
        <v>2719852.6218593311</v>
      </c>
      <c r="CF228" s="68">
        <v>2.9104639706939666</v>
      </c>
    </row>
    <row r="229" spans="1:84" s="22" customFormat="1" ht="15" customHeight="1" thickBot="1">
      <c r="A229" s="324"/>
      <c r="B229"/>
      <c r="C229" s="15"/>
      <c r="D229" s="15"/>
      <c r="E229" s="15"/>
      <c r="F229" s="60"/>
      <c r="G229" s="60"/>
      <c r="H229" s="42"/>
      <c r="I229" s="40"/>
      <c r="J229" s="39"/>
      <c r="K229" s="39"/>
      <c r="L229" s="39"/>
      <c r="M229" s="39"/>
      <c r="N229" s="39"/>
      <c r="O229" s="41"/>
      <c r="P229" s="61"/>
      <c r="Q229"/>
      <c r="R229"/>
      <c r="S229"/>
      <c r="T229"/>
      <c r="U229"/>
      <c r="V229" s="42"/>
      <c r="W229" s="42"/>
      <c r="X229" s="42"/>
      <c r="Y229" s="42"/>
      <c r="Z229" s="231"/>
      <c r="AA229" s="231"/>
      <c r="AB229" s="231"/>
      <c r="AC229" s="231"/>
      <c r="AD229" s="231"/>
      <c r="AE229" s="231"/>
      <c r="AF229" s="231"/>
      <c r="AG229" s="231"/>
      <c r="AH229" s="231"/>
      <c r="AI229" s="231"/>
      <c r="AJ229" s="231"/>
      <c r="AK229" s="231"/>
      <c r="AL229" s="231"/>
      <c r="AM229" s="42"/>
      <c r="AN229" s="42"/>
      <c r="AO229" s="441"/>
      <c r="AP229" s="69" t="s">
        <v>102</v>
      </c>
      <c r="AQ229" s="382">
        <v>1071.3396824715683</v>
      </c>
      <c r="AR229" s="70">
        <v>11033.074255092843</v>
      </c>
      <c r="AS229" s="71">
        <v>1071.3396824715683</v>
      </c>
      <c r="AT229" s="70">
        <v>11033.074255092843</v>
      </c>
      <c r="AU229" s="394">
        <v>6578240.8481174055</v>
      </c>
      <c r="AV229" s="372">
        <f>SUM(AU228:AV228)/AX228</f>
        <v>1.6933188978863767</v>
      </c>
      <c r="AW229" s="295"/>
      <c r="AX229" s="72"/>
      <c r="AY229" s="73"/>
      <c r="AZ229" s="72"/>
      <c r="BA229" s="372">
        <v>1.628105656461446</v>
      </c>
      <c r="BB229" s="73"/>
      <c r="BC229" s="72"/>
      <c r="BD229" s="383">
        <v>2.6832607204189007</v>
      </c>
      <c r="BE229" s="70">
        <v>1138.0199871259333</v>
      </c>
      <c r="BF229" s="70">
        <v>11961.876545892816</v>
      </c>
      <c r="BG229" s="71">
        <v>2209.3596695975011</v>
      </c>
      <c r="BH229" s="70">
        <v>22994.950800985658</v>
      </c>
      <c r="BI229" s="394">
        <v>7323118.4195067324</v>
      </c>
      <c r="BJ229" s="372">
        <f>SUM(BI228:BJ228)/BL228</f>
        <v>1.7604188329140482</v>
      </c>
      <c r="BK229" s="295"/>
      <c r="BL229" s="72"/>
      <c r="BM229" s="73"/>
      <c r="BN229" s="72"/>
      <c r="BO229" s="372">
        <v>1.6991021302200782</v>
      </c>
      <c r="BP229" s="73"/>
      <c r="BQ229" s="72"/>
      <c r="BR229" s="73">
        <v>2.7538591795173142</v>
      </c>
      <c r="BS229" s="70">
        <v>1117.9749454937094</v>
      </c>
      <c r="BT229" s="70">
        <v>12243.295050215047</v>
      </c>
      <c r="BU229" s="71">
        <v>3327.3346150912112</v>
      </c>
      <c r="BV229" s="70">
        <v>35238.245851200707</v>
      </c>
      <c r="BW229" s="394">
        <v>7916033.061519105</v>
      </c>
      <c r="BX229" s="372">
        <f>SUM(BW228:BX228)/BZ228</f>
        <v>1.8572188542756856</v>
      </c>
      <c r="BY229" s="295"/>
      <c r="BZ229" s="72"/>
      <c r="CA229" s="73"/>
      <c r="CB229" s="72"/>
      <c r="CC229" s="372">
        <v>1.7962872987452649</v>
      </c>
      <c r="CD229" s="73"/>
      <c r="CE229" s="72"/>
      <c r="CF229" s="73">
        <v>2.9104639706939666</v>
      </c>
    </row>
    <row r="230" spans="1:84" s="22" customFormat="1" ht="15" customHeight="1" thickBot="1">
      <c r="A230" s="324"/>
      <c r="B230" s="74"/>
      <c r="C230" s="74"/>
      <c r="D230" s="74"/>
      <c r="E230" s="21"/>
      <c r="F230" s="75"/>
      <c r="G230" s="75"/>
      <c r="H230" s="21"/>
      <c r="I230" s="21"/>
      <c r="J230" s="21"/>
      <c r="K230" s="21"/>
      <c r="L230" s="21"/>
      <c r="M230" s="21"/>
      <c r="N230" s="21"/>
      <c r="O230" s="21"/>
      <c r="P230" s="21"/>
      <c r="Q230"/>
      <c r="R230"/>
      <c r="S230"/>
      <c r="T230"/>
      <c r="U230"/>
      <c r="V230" s="21"/>
      <c r="W230" s="21"/>
      <c r="X230" s="21"/>
      <c r="Y230" s="21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1"/>
      <c r="AN230" s="21"/>
      <c r="AO230" s="442"/>
      <c r="AQ230" s="384"/>
      <c r="AR230" s="385"/>
      <c r="AS230" s="385"/>
      <c r="AT230" s="385"/>
      <c r="AU230" s="384"/>
      <c r="AV230" s="412" t="s">
        <v>372</v>
      </c>
      <c r="AW230" s="411"/>
      <c r="AX230" s="385"/>
      <c r="AY230" s="386"/>
      <c r="AZ230" s="385"/>
      <c r="BA230" s="413" t="s">
        <v>413</v>
      </c>
      <c r="BB230" s="385"/>
      <c r="BC230" s="385"/>
      <c r="BD230" s="387"/>
      <c r="BI230" s="384"/>
      <c r="BJ230" s="412" t="s">
        <v>372</v>
      </c>
      <c r="BK230" s="411"/>
      <c r="BL230" s="385"/>
      <c r="BM230" s="386"/>
      <c r="BN230" s="385"/>
      <c r="BO230" s="413" t="s">
        <v>413</v>
      </c>
      <c r="BW230" s="384"/>
      <c r="BX230" s="412" t="s">
        <v>372</v>
      </c>
      <c r="BY230" s="411"/>
      <c r="BZ230" s="385"/>
      <c r="CA230" s="386"/>
      <c r="CB230" s="385"/>
      <c r="CC230" s="413" t="s">
        <v>413</v>
      </c>
    </row>
    <row r="231" spans="1:84" s="22" customFormat="1" ht="15" customHeight="1" thickBot="1">
      <c r="A231" s="324"/>
      <c r="B231" s="76"/>
      <c r="C231" s="76"/>
      <c r="D231" s="76"/>
      <c r="E231" s="21"/>
      <c r="F231" s="75"/>
      <c r="G231" s="75"/>
      <c r="H231" s="21"/>
      <c r="I231" s="21"/>
      <c r="J231" s="21"/>
      <c r="K231" s="21"/>
      <c r="L231" s="21"/>
      <c r="M231" s="21"/>
      <c r="N231" s="21"/>
      <c r="O231" s="21"/>
      <c r="P231" s="21"/>
      <c r="Q231"/>
      <c r="R231"/>
      <c r="S231"/>
      <c r="T231"/>
      <c r="U231"/>
      <c r="V231" s="21"/>
      <c r="W231" s="21"/>
      <c r="X231" s="21"/>
      <c r="Y231" s="21"/>
      <c r="Z231" s="236"/>
      <c r="AA231" s="476" t="s">
        <v>386</v>
      </c>
      <c r="AB231" s="477"/>
      <c r="AC231" s="478"/>
      <c r="AD231" s="318" t="s">
        <v>385</v>
      </c>
      <c r="AE231" s="476" t="s">
        <v>386</v>
      </c>
      <c r="AF231" s="477"/>
      <c r="AG231" s="477"/>
      <c r="AH231" s="478"/>
      <c r="AI231" s="236"/>
      <c r="AJ231" s="236"/>
      <c r="AK231" s="236"/>
      <c r="AL231" s="236"/>
      <c r="AM231" s="21"/>
      <c r="AN231" s="21"/>
      <c r="AO231" s="442"/>
      <c r="AP231" s="76" t="s">
        <v>151</v>
      </c>
      <c r="AQ231" s="388"/>
      <c r="AR231" s="21"/>
      <c r="AS231" s="77"/>
      <c r="AT231" s="21"/>
      <c r="AU231" s="395"/>
      <c r="AV231" s="297"/>
      <c r="AW231" s="369"/>
      <c r="AX231" s="21"/>
      <c r="AY231" s="326"/>
      <c r="AZ231" s="21"/>
      <c r="BA231" s="389"/>
      <c r="BB231" s="21"/>
      <c r="BC231" s="21"/>
      <c r="BD231" s="389"/>
      <c r="BE231" s="77"/>
      <c r="BF231" s="21"/>
      <c r="BG231" s="77"/>
      <c r="BH231" s="21"/>
      <c r="BI231" s="395"/>
      <c r="BJ231" s="297"/>
      <c r="BK231" s="297"/>
      <c r="BL231" s="21"/>
      <c r="BM231" s="326"/>
      <c r="BN231" s="21"/>
      <c r="BO231" s="389"/>
      <c r="BP231" s="21"/>
      <c r="BQ231" s="21"/>
      <c r="BR231" s="21"/>
      <c r="BS231" s="77"/>
      <c r="BT231" s="21"/>
      <c r="BU231" s="77"/>
      <c r="BV231" s="21"/>
      <c r="BW231" s="395"/>
      <c r="BX231" s="297"/>
      <c r="BY231" s="297"/>
      <c r="BZ231" s="21"/>
      <c r="CA231" s="326"/>
      <c r="CB231" s="21"/>
      <c r="CC231" s="389"/>
      <c r="CD231" s="21"/>
      <c r="CE231" s="21"/>
      <c r="CF231" s="21"/>
    </row>
    <row r="232" spans="1:84" s="22" customFormat="1" ht="15" customHeight="1" thickBot="1">
      <c r="A232" s="324"/>
      <c r="B232" s="76" t="s">
        <v>402</v>
      </c>
      <c r="C232" s="76"/>
      <c r="D232" s="76"/>
      <c r="E232" s="21"/>
      <c r="F232" s="75"/>
      <c r="G232" s="75"/>
      <c r="H232" s="21"/>
      <c r="I232" s="21"/>
      <c r="J232" s="21"/>
      <c r="K232" s="21"/>
      <c r="L232" s="21"/>
      <c r="M232" s="21"/>
      <c r="N232" s="21"/>
      <c r="O232" s="21"/>
      <c r="P232" s="21"/>
      <c r="Q232"/>
      <c r="R232"/>
      <c r="S232"/>
      <c r="T232"/>
      <c r="U232"/>
      <c r="V232" s="21"/>
      <c r="W232" s="21"/>
      <c r="X232" s="21"/>
      <c r="Y232" s="21"/>
      <c r="Z232" s="236"/>
      <c r="AA232" s="472" t="s">
        <v>196</v>
      </c>
      <c r="AB232" s="479" t="s">
        <v>197</v>
      </c>
      <c r="AC232" s="479" t="s">
        <v>198</v>
      </c>
      <c r="AD232" s="479" t="s">
        <v>201</v>
      </c>
      <c r="AE232" s="479" t="s">
        <v>199</v>
      </c>
      <c r="AF232" s="479" t="s">
        <v>200</v>
      </c>
      <c r="AG232" s="482" t="s">
        <v>383</v>
      </c>
      <c r="AH232" s="474" t="s">
        <v>29</v>
      </c>
      <c r="AI232" s="474" t="s">
        <v>387</v>
      </c>
      <c r="AJ232" s="236"/>
      <c r="AK232" s="236"/>
      <c r="AL232" s="236"/>
      <c r="AM232" s="21"/>
      <c r="AN232" s="21"/>
      <c r="AO232" s="442"/>
      <c r="AP232" s="377" t="s">
        <v>0</v>
      </c>
      <c r="AQ232" s="5" t="s">
        <v>104</v>
      </c>
      <c r="AR232" s="6"/>
      <c r="AS232" s="7"/>
      <c r="AT232" s="6"/>
      <c r="AU232" s="396"/>
      <c r="AV232" s="298"/>
      <c r="AW232" s="370"/>
      <c r="AX232" s="6"/>
      <c r="AY232" s="327"/>
      <c r="AZ232" s="6"/>
      <c r="BA232" s="8"/>
      <c r="BB232" s="6"/>
      <c r="BC232" s="6"/>
      <c r="BD232" s="8"/>
      <c r="BE232" s="7" t="s">
        <v>105</v>
      </c>
      <c r="BF232" s="6"/>
      <c r="BG232" s="7"/>
      <c r="BH232" s="6"/>
      <c r="BI232" s="396"/>
      <c r="BJ232" s="298"/>
      <c r="BK232" s="298"/>
      <c r="BL232" s="6"/>
      <c r="BM232" s="327"/>
      <c r="BN232" s="6"/>
      <c r="BO232" s="8"/>
      <c r="BP232" s="6"/>
      <c r="BQ232" s="6"/>
      <c r="BR232" s="8"/>
      <c r="BS232" s="5" t="s">
        <v>106</v>
      </c>
      <c r="BT232" s="6"/>
      <c r="BU232" s="7"/>
      <c r="BV232" s="6"/>
      <c r="BW232" s="396"/>
      <c r="BX232" s="298"/>
      <c r="BY232" s="298"/>
      <c r="BZ232" s="6"/>
      <c r="CA232" s="327"/>
      <c r="CB232" s="6"/>
      <c r="CC232" s="8"/>
      <c r="CD232" s="6"/>
      <c r="CE232" s="6"/>
      <c r="CF232" s="8"/>
    </row>
    <row r="233" spans="1:84" s="22" customFormat="1" ht="15" customHeight="1" thickBot="1">
      <c r="A233" s="324"/>
      <c r="B233" s="76"/>
      <c r="C233" s="76"/>
      <c r="D233" s="76"/>
      <c r="E233" s="21"/>
      <c r="F233" s="180"/>
      <c r="G233" s="180"/>
      <c r="H233" s="107"/>
      <c r="I233" s="107"/>
      <c r="J233" s="107"/>
      <c r="K233" s="107"/>
      <c r="L233" s="107"/>
      <c r="M233" s="107"/>
      <c r="N233" s="107"/>
      <c r="O233" s="107"/>
      <c r="P233" s="107"/>
      <c r="Q233"/>
      <c r="R233"/>
      <c r="S233"/>
      <c r="T233"/>
      <c r="U233"/>
      <c r="V233" s="107"/>
      <c r="W233" s="107"/>
      <c r="X233" s="107"/>
      <c r="Y233" s="107"/>
      <c r="Z233" s="237"/>
      <c r="AA233" s="473"/>
      <c r="AB233" s="480"/>
      <c r="AC233" s="480"/>
      <c r="AD233" s="480"/>
      <c r="AE233" s="480"/>
      <c r="AF233" s="480"/>
      <c r="AG233" s="483"/>
      <c r="AH233" s="475"/>
      <c r="AI233" s="475"/>
      <c r="AJ233" s="237"/>
      <c r="AK233" s="237"/>
      <c r="AL233" s="237"/>
      <c r="AM233" s="107"/>
      <c r="AN233" s="21"/>
      <c r="AO233" s="443"/>
      <c r="AP233" s="378"/>
      <c r="AQ233" s="9"/>
      <c r="AR233" s="10"/>
      <c r="AS233" s="11"/>
      <c r="AT233" s="10"/>
      <c r="AU233" s="397" t="s">
        <v>107</v>
      </c>
      <c r="AV233" s="299"/>
      <c r="AW233" s="370"/>
      <c r="AX233" s="10" t="s">
        <v>108</v>
      </c>
      <c r="AY233" s="328"/>
      <c r="AZ233" s="10" t="s">
        <v>109</v>
      </c>
      <c r="BA233" s="12" t="s">
        <v>110</v>
      </c>
      <c r="BB233" s="10"/>
      <c r="BC233" s="10" t="s">
        <v>111</v>
      </c>
      <c r="BD233" s="12" t="s">
        <v>112</v>
      </c>
      <c r="BE233" s="11"/>
      <c r="BF233" s="10"/>
      <c r="BG233" s="11"/>
      <c r="BH233" s="10"/>
      <c r="BI233" s="397" t="s">
        <v>107</v>
      </c>
      <c r="BJ233" s="299"/>
      <c r="BK233" s="299"/>
      <c r="BL233" s="10" t="s">
        <v>108</v>
      </c>
      <c r="BM233" s="328"/>
      <c r="BN233" s="10" t="s">
        <v>109</v>
      </c>
      <c r="BO233" s="12" t="s">
        <v>110</v>
      </c>
      <c r="BP233" s="10"/>
      <c r="BQ233" s="10" t="s">
        <v>111</v>
      </c>
      <c r="BR233" s="12" t="s">
        <v>112</v>
      </c>
      <c r="BS233" s="9"/>
      <c r="BT233" s="10"/>
      <c r="BU233" s="11"/>
      <c r="BV233" s="10"/>
      <c r="BW233" s="397" t="s">
        <v>107</v>
      </c>
      <c r="BX233" s="299"/>
      <c r="BY233" s="299"/>
      <c r="BZ233" s="10" t="s">
        <v>108</v>
      </c>
      <c r="CA233" s="328"/>
      <c r="CB233" s="10" t="s">
        <v>109</v>
      </c>
      <c r="CC233" s="12" t="s">
        <v>110</v>
      </c>
      <c r="CD233" s="10"/>
      <c r="CE233" s="10" t="s">
        <v>111</v>
      </c>
      <c r="CF233" s="12" t="s">
        <v>112</v>
      </c>
    </row>
    <row r="234" spans="1:84" s="22" customFormat="1" ht="75.75" thickBot="1">
      <c r="A234" s="324"/>
      <c r="B234" s="17" t="s">
        <v>0</v>
      </c>
      <c r="C234" s="18" t="s">
        <v>1</v>
      </c>
      <c r="D234" s="18" t="s">
        <v>2</v>
      </c>
      <c r="E234" s="19" t="s">
        <v>3</v>
      </c>
      <c r="F234" s="106" t="s">
        <v>4</v>
      </c>
      <c r="G234" s="179" t="s">
        <v>5</v>
      </c>
      <c r="H234" s="179" t="s">
        <v>6</v>
      </c>
      <c r="I234" s="179" t="s">
        <v>7</v>
      </c>
      <c r="J234" s="179" t="s">
        <v>8</v>
      </c>
      <c r="K234" s="179" t="s">
        <v>9</v>
      </c>
      <c r="L234" s="179" t="s">
        <v>10</v>
      </c>
      <c r="M234" s="179" t="s">
        <v>11</v>
      </c>
      <c r="N234" s="179" t="s">
        <v>12</v>
      </c>
      <c r="O234" s="179" t="s">
        <v>13</v>
      </c>
      <c r="P234" s="179" t="s">
        <v>14</v>
      </c>
      <c r="Q234" s="265" t="s">
        <v>342</v>
      </c>
      <c r="R234" s="265" t="s">
        <v>343</v>
      </c>
      <c r="S234" s="265" t="s">
        <v>344</v>
      </c>
      <c r="T234" s="265" t="s">
        <v>345</v>
      </c>
      <c r="U234" s="270" t="s">
        <v>346</v>
      </c>
      <c r="V234" s="100"/>
      <c r="W234" s="182"/>
      <c r="X234" s="208"/>
      <c r="Y234" s="100"/>
      <c r="Z234" s="235"/>
      <c r="AA234" s="235"/>
      <c r="AB234" s="235"/>
      <c r="AC234" s="235" t="s">
        <v>389</v>
      </c>
      <c r="AD234" s="235"/>
      <c r="AE234" s="235"/>
      <c r="AF234" s="235"/>
      <c r="AG234" s="235"/>
      <c r="AH234" s="317"/>
      <c r="AI234" s="235"/>
      <c r="AJ234" s="235"/>
      <c r="AK234" s="235"/>
      <c r="AL234" s="235"/>
      <c r="AM234" s="177"/>
      <c r="AN234" s="100"/>
      <c r="AO234" s="445"/>
      <c r="AP234" s="376"/>
      <c r="AQ234" s="13" t="s">
        <v>15</v>
      </c>
      <c r="AR234" s="1" t="s">
        <v>16</v>
      </c>
      <c r="AS234" s="14" t="s">
        <v>17</v>
      </c>
      <c r="AT234" s="1" t="s">
        <v>18</v>
      </c>
      <c r="AU234" s="398" t="s">
        <v>19</v>
      </c>
      <c r="AV234" s="293"/>
      <c r="AW234" s="370"/>
      <c r="AX234" s="1" t="s">
        <v>20</v>
      </c>
      <c r="AY234" s="329"/>
      <c r="AZ234" s="2" t="s">
        <v>21</v>
      </c>
      <c r="BA234" s="4" t="s">
        <v>22</v>
      </c>
      <c r="BB234" s="3"/>
      <c r="BC234" s="1" t="s">
        <v>23</v>
      </c>
      <c r="BD234" s="4" t="s">
        <v>24</v>
      </c>
      <c r="BE234" s="14" t="s">
        <v>15</v>
      </c>
      <c r="BF234" s="1" t="s">
        <v>16</v>
      </c>
      <c r="BG234" s="14" t="s">
        <v>17</v>
      </c>
      <c r="BH234" s="1" t="s">
        <v>18</v>
      </c>
      <c r="BI234" s="398" t="s">
        <v>19</v>
      </c>
      <c r="BJ234" s="293"/>
      <c r="BK234" s="293"/>
      <c r="BL234" s="1" t="s">
        <v>20</v>
      </c>
      <c r="BM234" s="329"/>
      <c r="BN234" s="2" t="s">
        <v>21</v>
      </c>
      <c r="BO234" s="4" t="s">
        <v>22</v>
      </c>
      <c r="BP234" s="3"/>
      <c r="BQ234" s="1" t="s">
        <v>23</v>
      </c>
      <c r="BR234" s="4" t="s">
        <v>24</v>
      </c>
      <c r="BS234" s="13" t="s">
        <v>15</v>
      </c>
      <c r="BT234" s="1" t="s">
        <v>16</v>
      </c>
      <c r="BU234" s="14" t="s">
        <v>17</v>
      </c>
      <c r="BV234" s="1" t="s">
        <v>18</v>
      </c>
      <c r="BW234" s="398" t="s">
        <v>19</v>
      </c>
      <c r="BX234" s="293"/>
      <c r="BY234" s="293"/>
      <c r="BZ234" s="1" t="s">
        <v>20</v>
      </c>
      <c r="CA234" s="329"/>
      <c r="CB234" s="2" t="s">
        <v>21</v>
      </c>
      <c r="CC234" s="4" t="s">
        <v>22</v>
      </c>
      <c r="CD234" s="3"/>
      <c r="CE234" s="1" t="s">
        <v>23</v>
      </c>
      <c r="CF234" s="4" t="s">
        <v>24</v>
      </c>
    </row>
    <row r="235" spans="1:84" s="22" customFormat="1" ht="15" customHeight="1">
      <c r="A235" s="324" t="str">
        <f t="shared" ref="A235:A267" si="282">CONCATENATE($B$232,"; ",B235,"; ",C235,"; ",D235)</f>
        <v>Existing Residential; 10.5 W LED; RES-Lighting; RES-SF</v>
      </c>
      <c r="B235" s="108" t="s">
        <v>152</v>
      </c>
      <c r="C235" s="15" t="s">
        <v>141</v>
      </c>
      <c r="D235" s="15" t="s">
        <v>136</v>
      </c>
      <c r="E235" s="37">
        <v>25</v>
      </c>
      <c r="F235" s="38">
        <v>44.278310395771207</v>
      </c>
      <c r="G235" s="38">
        <v>11.099905208711141</v>
      </c>
      <c r="H235" s="39">
        <v>13</v>
      </c>
      <c r="I235" s="40">
        <v>1</v>
      </c>
      <c r="J235" s="39">
        <v>1.6382974846435345</v>
      </c>
      <c r="K235" s="39">
        <v>14.638297484643534</v>
      </c>
      <c r="L235" s="39">
        <v>0</v>
      </c>
      <c r="M235" s="39">
        <v>14.638297484643534</v>
      </c>
      <c r="N235" s="39">
        <v>72.918117449433282</v>
      </c>
      <c r="O235" s="41">
        <v>0.90720000000000001</v>
      </c>
      <c r="P235" s="41">
        <v>4.9249420065746916</v>
      </c>
      <c r="Q235" s="261">
        <f t="shared" ref="Q235:Q267" si="283">N235*O235/(O235*H235+J235)</f>
        <v>4.9249420065746916</v>
      </c>
      <c r="R235" s="262">
        <f t="shared" ref="R235:R267" si="284">Y235</f>
        <v>3.7800000000000002</v>
      </c>
      <c r="S235" s="262">
        <f t="shared" ref="S235:S267" si="285">-PV(RDR,E235,Z235)</f>
        <v>0</v>
      </c>
      <c r="T235" s="261">
        <f t="shared" ref="T235:T267" si="286">(N235+SUM(R235:S235))*O235/(O235*H235+J235)</f>
        <v>5.1802459205541247</v>
      </c>
      <c r="U235" s="267">
        <f t="shared" ref="U235:U267" si="287">(T235-Q235)/Q235</f>
        <v>5.1838968588585985E-2</v>
      </c>
      <c r="V235" s="42" t="s">
        <v>191</v>
      </c>
      <c r="W235" s="198">
        <f>3*W3</f>
        <v>3.7800000000000002</v>
      </c>
      <c r="X235" s="198"/>
      <c r="Y235" s="360">
        <f t="shared" ref="Y235:Y242" si="288">W235</f>
        <v>3.7800000000000002</v>
      </c>
      <c r="Z235" s="357">
        <v>0</v>
      </c>
      <c r="AA235" s="241">
        <v>0</v>
      </c>
      <c r="AB235" s="241">
        <v>0</v>
      </c>
      <c r="AC235" s="241">
        <v>0</v>
      </c>
      <c r="AD235" s="320">
        <v>0</v>
      </c>
      <c r="AE235" s="241">
        <v>0</v>
      </c>
      <c r="AF235" s="241">
        <f t="shared" ref="AF235:AF242" si="289">Y235</f>
        <v>3.7800000000000002</v>
      </c>
      <c r="AG235" s="241">
        <v>0</v>
      </c>
      <c r="AH235" s="246">
        <v>0</v>
      </c>
      <c r="AI235" s="241">
        <f>SUM(AA235:AH235)</f>
        <v>3.7800000000000002</v>
      </c>
      <c r="AJ235" s="241"/>
      <c r="AK235" s="241"/>
      <c r="AL235" s="241" t="s">
        <v>473</v>
      </c>
      <c r="AM235" s="254" t="s">
        <v>288</v>
      </c>
      <c r="AN235" s="102" t="s">
        <v>191</v>
      </c>
      <c r="AO235" s="241"/>
      <c r="AP235" s="43" t="s">
        <v>152</v>
      </c>
      <c r="AQ235" s="78">
        <v>1085.5759844286015</v>
      </c>
      <c r="AR235" s="79">
        <v>4330.439719341156</v>
      </c>
      <c r="AS235" s="80">
        <v>1085.5759844286015</v>
      </c>
      <c r="AT235" s="79">
        <v>4330.439719341156</v>
      </c>
      <c r="AU235" s="392">
        <v>7131426.4081035629</v>
      </c>
      <c r="AV235" s="294">
        <f t="shared" ref="AV235:AV267" si="290">SUM(R235:S235)*O235*AY235</f>
        <v>369685.78956149361</v>
      </c>
      <c r="AW235" s="295">
        <f t="shared" si="248"/>
        <v>7501112.1976650562</v>
      </c>
      <c r="AX235" s="81">
        <v>1448022.4129712111</v>
      </c>
      <c r="AY235" s="82">
        <v>107804.75466155926</v>
      </c>
      <c r="AZ235" s="81">
        <v>5683403.9951323513</v>
      </c>
      <c r="BA235" s="83">
        <v>4.9249420065746916</v>
      </c>
      <c r="BB235" s="82">
        <f t="shared" ref="BB235:BB266" si="291">SUM(AU235:AV235)/AX235</f>
        <v>5.1802459205541247</v>
      </c>
      <c r="BC235" s="81">
        <v>1578078.068994916</v>
      </c>
      <c r="BD235" s="83">
        <v>4.5190580543620351</v>
      </c>
      <c r="BE235" s="80">
        <v>1098.7085285648832</v>
      </c>
      <c r="BF235" s="79">
        <v>4382.8263708141885</v>
      </c>
      <c r="BG235" s="80">
        <v>2184.2845129934849</v>
      </c>
      <c r="BH235" s="79">
        <v>8713.2660901553445</v>
      </c>
      <c r="BI235" s="392">
        <v>7621148.7558579007</v>
      </c>
      <c r="BJ235" s="294">
        <f t="shared" ref="BJ235:BJ267" si="292">SUM(R235:S235)*O235*BM235</f>
        <v>385285.14543912379</v>
      </c>
      <c r="BK235" s="294">
        <f>BI235+BJ235</f>
        <v>8006433.9012970245</v>
      </c>
      <c r="BL235" s="81">
        <v>1503807.5721893641</v>
      </c>
      <c r="BM235" s="82">
        <v>112353.71158863243</v>
      </c>
      <c r="BN235" s="81">
        <v>6117341.1836685371</v>
      </c>
      <c r="BO235" s="83">
        <v>5.0679015698547252</v>
      </c>
      <c r="BP235" s="82">
        <f t="shared" ref="BP235:BP267" si="293">SUM(BI235:BJ235)/BL235</f>
        <v>5.3241079838696477</v>
      </c>
      <c r="BQ235" s="81">
        <v>1639351.0898498902</v>
      </c>
      <c r="BR235" s="83">
        <v>4.6488813793729467</v>
      </c>
      <c r="BS235" s="78">
        <v>989.32455109981095</v>
      </c>
      <c r="BT235" s="79">
        <v>3946.4859142559208</v>
      </c>
      <c r="BU235" s="80">
        <v>3173.6090640932953</v>
      </c>
      <c r="BV235" s="79">
        <v>12659.752004411264</v>
      </c>
      <c r="BW235" s="392">
        <v>7255889.8589439634</v>
      </c>
      <c r="BX235" s="294">
        <f t="shared" ref="BX235:BX267" si="294">SUM(R235:S235)*O235*CA235</f>
        <v>357912.92280150653</v>
      </c>
      <c r="BY235" s="294">
        <f>BW235+BX235</f>
        <v>7613802.7817454701</v>
      </c>
      <c r="BZ235" s="81">
        <v>1391874.2261553896</v>
      </c>
      <c r="CA235" s="82">
        <v>104371.64728075062</v>
      </c>
      <c r="CB235" s="81">
        <v>5864015.6327885743</v>
      </c>
      <c r="CC235" s="83">
        <v>5.2130355764874352</v>
      </c>
      <c r="CD235" s="82">
        <f t="shared" ref="CD235:CD267" si="295">SUM(BW235:BX235)/BZ235</f>
        <v>5.4701801633156046</v>
      </c>
      <c r="CE235" s="81">
        <v>1517788.181434887</v>
      </c>
      <c r="CF235" s="83">
        <v>4.780568163394439</v>
      </c>
    </row>
    <row r="236" spans="1:84" s="22" customFormat="1" ht="15" customHeight="1">
      <c r="A236" s="324" t="str">
        <f t="shared" si="282"/>
        <v>Existing Residential; 11 W LED; RES-Lighting; RES-SF</v>
      </c>
      <c r="B236" s="108" t="s">
        <v>153</v>
      </c>
      <c r="C236" s="15" t="s">
        <v>141</v>
      </c>
      <c r="D236" s="15" t="s">
        <v>136</v>
      </c>
      <c r="E236" s="37">
        <v>25</v>
      </c>
      <c r="F236" s="38">
        <v>70.90437708580923</v>
      </c>
      <c r="G236" s="38">
        <v>17.774658913144936</v>
      </c>
      <c r="H236" s="39">
        <v>16.8</v>
      </c>
      <c r="I236" s="40">
        <v>1</v>
      </c>
      <c r="J236" s="39">
        <v>2.6234619521749414</v>
      </c>
      <c r="K236" s="39">
        <v>19.423461952174943</v>
      </c>
      <c r="L236" s="39">
        <v>0</v>
      </c>
      <c r="M236" s="39">
        <v>19.423461952174943</v>
      </c>
      <c r="N236" s="39">
        <v>116.76628240348853</v>
      </c>
      <c r="O236" s="41">
        <v>0.90720000000000001</v>
      </c>
      <c r="P236" s="41">
        <v>5.929683685261816</v>
      </c>
      <c r="Q236" s="261">
        <f t="shared" si="283"/>
        <v>5.929683685261816</v>
      </c>
      <c r="R236" s="262">
        <f t="shared" si="284"/>
        <v>3.7800000000000002</v>
      </c>
      <c r="S236" s="262">
        <f t="shared" si="285"/>
        <v>0</v>
      </c>
      <c r="T236" s="261">
        <f t="shared" si="286"/>
        <v>6.1216415336142784</v>
      </c>
      <c r="U236" s="267">
        <f t="shared" si="287"/>
        <v>3.2372358888143091E-2</v>
      </c>
      <c r="V236" s="42" t="s">
        <v>191</v>
      </c>
      <c r="W236" s="198">
        <f>3*W3</f>
        <v>3.7800000000000002</v>
      </c>
      <c r="X236" s="198"/>
      <c r="Y236" s="344">
        <f t="shared" si="288"/>
        <v>3.7800000000000002</v>
      </c>
      <c r="Z236" s="335">
        <v>0</v>
      </c>
      <c r="AA236" s="241">
        <v>0</v>
      </c>
      <c r="AB236" s="241">
        <v>0</v>
      </c>
      <c r="AC236" s="241">
        <v>0</v>
      </c>
      <c r="AD236" s="320">
        <v>0</v>
      </c>
      <c r="AE236" s="241">
        <v>0</v>
      </c>
      <c r="AF236" s="241">
        <f t="shared" si="289"/>
        <v>3.7800000000000002</v>
      </c>
      <c r="AG236" s="241">
        <v>0</v>
      </c>
      <c r="AH236" s="246">
        <v>0</v>
      </c>
      <c r="AI236" s="241">
        <f t="shared" ref="AI236:AI244" si="296">SUM(AA236:AH236)</f>
        <v>3.7800000000000002</v>
      </c>
      <c r="AJ236" s="241"/>
      <c r="AK236" s="241"/>
      <c r="AL236" s="241" t="s">
        <v>473</v>
      </c>
      <c r="AM236" s="254" t="s">
        <v>288</v>
      </c>
      <c r="AN236" s="102" t="s">
        <v>191</v>
      </c>
      <c r="AO236" s="241"/>
      <c r="AP236" s="43" t="s">
        <v>153</v>
      </c>
      <c r="AQ236" s="44">
        <v>879.42742075805654</v>
      </c>
      <c r="AR236" s="45">
        <v>3508.0984544190678</v>
      </c>
      <c r="AS236" s="46">
        <v>879.42742075805654</v>
      </c>
      <c r="AT236" s="45">
        <v>3508.0984544190678</v>
      </c>
      <c r="AU236" s="393">
        <v>5777183.7461064318</v>
      </c>
      <c r="AV236" s="295">
        <f t="shared" si="290"/>
        <v>187021.06559170448</v>
      </c>
      <c r="AW236" s="295">
        <f t="shared" si="248"/>
        <v>5964204.8116981359</v>
      </c>
      <c r="AX236" s="39">
        <v>974281.94364997558</v>
      </c>
      <c r="AY236" s="41">
        <v>54537.557736725961</v>
      </c>
      <c r="AZ236" s="39">
        <v>4802901.8024564562</v>
      </c>
      <c r="BA236" s="47">
        <v>5.929683685261816</v>
      </c>
      <c r="BB236" s="41">
        <f t="shared" si="291"/>
        <v>6.1216415336142775</v>
      </c>
      <c r="BC236" s="39">
        <v>1059308.1776638408</v>
      </c>
      <c r="BD236" s="47">
        <v>5.4537327927055372</v>
      </c>
      <c r="BE236" s="46">
        <v>863.31473428261586</v>
      </c>
      <c r="BF236" s="45">
        <v>3443.8238034509318</v>
      </c>
      <c r="BG236" s="46">
        <v>1742.7421550406723</v>
      </c>
      <c r="BH236" s="45">
        <v>6951.9222578699992</v>
      </c>
      <c r="BI236" s="393">
        <v>5988348.9042227892</v>
      </c>
      <c r="BJ236" s="295">
        <f t="shared" si="292"/>
        <v>189383.24591646084</v>
      </c>
      <c r="BK236" s="295">
        <f t="shared" ref="BK236:BK267" si="297">BI236+BJ236</f>
        <v>6177732.1501392499</v>
      </c>
      <c r="BL236" s="39">
        <v>982159.092000501</v>
      </c>
      <c r="BM236" s="41">
        <v>55226.397496238445</v>
      </c>
      <c r="BN236" s="39">
        <v>5006189.812222288</v>
      </c>
      <c r="BO236" s="47">
        <v>6.0971271894713919</v>
      </c>
      <c r="BP236" s="41">
        <f t="shared" si="293"/>
        <v>6.2899505797540369</v>
      </c>
      <c r="BQ236" s="39">
        <v>1068259.2547530367</v>
      </c>
      <c r="BR236" s="47">
        <v>5.6057074886818494</v>
      </c>
      <c r="BS236" s="44">
        <v>761.08283818408188</v>
      </c>
      <c r="BT236" s="45">
        <v>3036.0135075353751</v>
      </c>
      <c r="BU236" s="46">
        <v>2503.8249932247545</v>
      </c>
      <c r="BV236" s="45">
        <v>9987.9357654053747</v>
      </c>
      <c r="BW236" s="393">
        <v>5581922.7787859002</v>
      </c>
      <c r="BX236" s="295">
        <f t="shared" si="294"/>
        <v>172569.84313779403</v>
      </c>
      <c r="BY236" s="295">
        <f t="shared" ref="BY236:BY268" si="298">BW236+BX236</f>
        <v>5754492.6219236944</v>
      </c>
      <c r="BZ236" s="39">
        <v>890800.38283773628</v>
      </c>
      <c r="CA236" s="41">
        <v>50323.410114088474</v>
      </c>
      <c r="CB236" s="39">
        <v>4691122.3959481642</v>
      </c>
      <c r="CC236" s="47">
        <v>6.266188122870032</v>
      </c>
      <c r="CD236" s="41">
        <f t="shared" si="295"/>
        <v>6.4599126053270943</v>
      </c>
      <c r="CE236" s="39">
        <v>969256.59214200475</v>
      </c>
      <c r="CF236" s="47">
        <v>5.7589732420082411</v>
      </c>
    </row>
    <row r="237" spans="1:84" s="22" customFormat="1" ht="15" customHeight="1">
      <c r="A237" s="324" t="str">
        <f t="shared" si="282"/>
        <v>Existing Residential; 8 W LED; RES-Lighting; MURB</v>
      </c>
      <c r="B237" s="108" t="s">
        <v>154</v>
      </c>
      <c r="C237" s="15" t="s">
        <v>141</v>
      </c>
      <c r="D237" s="15" t="s">
        <v>155</v>
      </c>
      <c r="E237" s="37">
        <v>25</v>
      </c>
      <c r="F237" s="38">
        <v>47.008424215771214</v>
      </c>
      <c r="G237" s="38">
        <v>5.3662584721200259</v>
      </c>
      <c r="H237" s="39">
        <v>12</v>
      </c>
      <c r="I237" s="40">
        <v>1</v>
      </c>
      <c r="J237" s="39">
        <v>1.7393116959835349</v>
      </c>
      <c r="K237" s="39">
        <v>13.739311695983535</v>
      </c>
      <c r="L237" s="39">
        <v>0</v>
      </c>
      <c r="M237" s="39">
        <v>13.739311695983535</v>
      </c>
      <c r="N237" s="39">
        <v>63.933703943844982</v>
      </c>
      <c r="O237" s="41">
        <v>0.83</v>
      </c>
      <c r="P237" s="41">
        <v>4.5357347211809875</v>
      </c>
      <c r="Q237" s="261">
        <f t="shared" si="283"/>
        <v>4.5357347211809875</v>
      </c>
      <c r="R237" s="262">
        <f t="shared" si="284"/>
        <v>3.7800000000000002</v>
      </c>
      <c r="S237" s="262">
        <f t="shared" si="285"/>
        <v>0</v>
      </c>
      <c r="T237" s="261">
        <f t="shared" si="286"/>
        <v>4.8039043435936533</v>
      </c>
      <c r="U237" s="267">
        <f t="shared" si="287"/>
        <v>5.9123744861084231E-2</v>
      </c>
      <c r="V237" s="42" t="s">
        <v>191</v>
      </c>
      <c r="W237" s="198">
        <f>3*W3</f>
        <v>3.7800000000000002</v>
      </c>
      <c r="X237" s="198"/>
      <c r="Y237" s="344">
        <f t="shared" si="288"/>
        <v>3.7800000000000002</v>
      </c>
      <c r="Z237" s="335">
        <v>0</v>
      </c>
      <c r="AA237" s="241">
        <v>0</v>
      </c>
      <c r="AB237" s="241">
        <v>0</v>
      </c>
      <c r="AC237" s="241">
        <v>0</v>
      </c>
      <c r="AD237" s="320">
        <v>0</v>
      </c>
      <c r="AE237" s="241">
        <v>0</v>
      </c>
      <c r="AF237" s="241">
        <f t="shared" si="289"/>
        <v>3.7800000000000002</v>
      </c>
      <c r="AG237" s="241">
        <v>0</v>
      </c>
      <c r="AH237" s="246">
        <v>0</v>
      </c>
      <c r="AI237" s="241">
        <f t="shared" si="296"/>
        <v>3.7800000000000002</v>
      </c>
      <c r="AJ237" s="241"/>
      <c r="AK237" s="241"/>
      <c r="AL237" s="241" t="s">
        <v>473</v>
      </c>
      <c r="AM237" s="254" t="s">
        <v>288</v>
      </c>
      <c r="AN237" s="102" t="s">
        <v>191</v>
      </c>
      <c r="AO237" s="241"/>
      <c r="AP237" s="43" t="s">
        <v>154</v>
      </c>
      <c r="AQ237" s="44">
        <v>43.775116258942504</v>
      </c>
      <c r="AR237" s="45">
        <v>383.47001842833458</v>
      </c>
      <c r="AS237" s="46">
        <v>43.775116258942504</v>
      </c>
      <c r="AT237" s="45">
        <v>383.47001842833458</v>
      </c>
      <c r="AU237" s="393">
        <v>521537.55499238044</v>
      </c>
      <c r="AV237" s="295">
        <f t="shared" si="290"/>
        <v>30835.2533368433</v>
      </c>
      <c r="AW237" s="295">
        <f t="shared" si="248"/>
        <v>552372.80832922377</v>
      </c>
      <c r="AX237" s="39">
        <v>114984.13973747246</v>
      </c>
      <c r="AY237" s="41">
        <v>9828.2824430558103</v>
      </c>
      <c r="AZ237" s="39">
        <v>406553.41525490797</v>
      </c>
      <c r="BA237" s="47">
        <v>4.5357347211809884</v>
      </c>
      <c r="BB237" s="41">
        <f t="shared" si="291"/>
        <v>4.803904343593655</v>
      </c>
      <c r="BC237" s="39">
        <v>135033.83592130634</v>
      </c>
      <c r="BD237" s="47">
        <v>3.8622731216516493</v>
      </c>
      <c r="BE237" s="46">
        <v>43.947307004760745</v>
      </c>
      <c r="BF237" s="45">
        <v>384.97840936170235</v>
      </c>
      <c r="BG237" s="46">
        <v>87.722423263703249</v>
      </c>
      <c r="BH237" s="45">
        <v>768.44842779003693</v>
      </c>
      <c r="BI237" s="393">
        <v>549636.41480772733</v>
      </c>
      <c r="BJ237" s="295">
        <f t="shared" si="292"/>
        <v>31877.167174107133</v>
      </c>
      <c r="BK237" s="295">
        <f t="shared" si="297"/>
        <v>581513.58198183449</v>
      </c>
      <c r="BL237" s="39">
        <v>118359.04423644888</v>
      </c>
      <c r="BM237" s="41">
        <v>10160.377119304881</v>
      </c>
      <c r="BN237" s="39">
        <v>431277.37057127844</v>
      </c>
      <c r="BO237" s="47">
        <v>4.6438057890168887</v>
      </c>
      <c r="BP237" s="41">
        <f t="shared" si="293"/>
        <v>4.9131317824781515</v>
      </c>
      <c r="BQ237" s="39">
        <v>139086.21355983085</v>
      </c>
      <c r="BR237" s="47">
        <v>3.9517677614488349</v>
      </c>
      <c r="BS237" s="44">
        <v>36.288909167549804</v>
      </c>
      <c r="BT237" s="45">
        <v>317.89084430773482</v>
      </c>
      <c r="BU237" s="46">
        <v>124.01133243125305</v>
      </c>
      <c r="BV237" s="45">
        <v>1086.3392720977718</v>
      </c>
      <c r="BW237" s="393">
        <v>477267.34323657077</v>
      </c>
      <c r="BX237" s="295">
        <f t="shared" si="294"/>
        <v>27155.649160933357</v>
      </c>
      <c r="BY237" s="295">
        <f t="shared" si="298"/>
        <v>504422.9923975041</v>
      </c>
      <c r="BZ237" s="39">
        <v>100379.44767252376</v>
      </c>
      <c r="CA237" s="41">
        <v>8655.4628548904693</v>
      </c>
      <c r="CB237" s="39">
        <v>376887.89556404704</v>
      </c>
      <c r="CC237" s="47">
        <v>4.7546320915572258</v>
      </c>
      <c r="CD237" s="41">
        <f t="shared" si="295"/>
        <v>5.0251620634846015</v>
      </c>
      <c r="CE237" s="39">
        <v>118036.59189650032</v>
      </c>
      <c r="CF237" s="47">
        <v>4.0433846451197084</v>
      </c>
    </row>
    <row r="238" spans="1:84" s="22" customFormat="1" ht="15" customHeight="1">
      <c r="A238" s="324" t="str">
        <f t="shared" si="282"/>
        <v>Existing Residential; 12 W LED: Blended 75W and 100W incandescent baseline; RES-Lighting; MURB</v>
      </c>
      <c r="B238" s="108" t="s">
        <v>481</v>
      </c>
      <c r="C238" s="15" t="s">
        <v>141</v>
      </c>
      <c r="D238" s="15" t="s">
        <v>155</v>
      </c>
      <c r="E238" s="37">
        <v>25</v>
      </c>
      <c r="F238" s="38">
        <v>65.14568262776713</v>
      </c>
      <c r="G238" s="38">
        <v>7.4367217611606655</v>
      </c>
      <c r="H238" s="39">
        <v>17</v>
      </c>
      <c r="I238" s="40">
        <v>1</v>
      </c>
      <c r="J238" s="39">
        <v>2.4103902572273839</v>
      </c>
      <c r="K238" s="39">
        <v>19.410390257227384</v>
      </c>
      <c r="L238" s="39">
        <v>0</v>
      </c>
      <c r="M238" s="39">
        <v>19.410390257227384</v>
      </c>
      <c r="N238" s="39">
        <v>88.601242348089599</v>
      </c>
      <c r="O238" s="41">
        <v>0.83</v>
      </c>
      <c r="P238" s="41">
        <v>4.4514100456399515</v>
      </c>
      <c r="Q238" s="261">
        <f t="shared" si="283"/>
        <v>4.4514100456399515</v>
      </c>
      <c r="R238" s="262">
        <f t="shared" si="284"/>
        <v>3.7800000000000002</v>
      </c>
      <c r="S238" s="262">
        <f t="shared" si="285"/>
        <v>0</v>
      </c>
      <c r="T238" s="261">
        <f t="shared" si="286"/>
        <v>4.6413208135546169</v>
      </c>
      <c r="U238" s="267">
        <f t="shared" si="287"/>
        <v>4.2663058664002079E-2</v>
      </c>
      <c r="V238" s="42" t="s">
        <v>191</v>
      </c>
      <c r="W238" s="198">
        <f>3*W3</f>
        <v>3.7800000000000002</v>
      </c>
      <c r="X238" s="198"/>
      <c r="Y238" s="344">
        <f t="shared" si="288"/>
        <v>3.7800000000000002</v>
      </c>
      <c r="Z238" s="335">
        <v>0</v>
      </c>
      <c r="AA238" s="241">
        <v>0</v>
      </c>
      <c r="AB238" s="241">
        <v>0</v>
      </c>
      <c r="AC238" s="241">
        <v>0</v>
      </c>
      <c r="AD238" s="320">
        <v>0</v>
      </c>
      <c r="AE238" s="241">
        <v>0</v>
      </c>
      <c r="AF238" s="241">
        <f t="shared" si="289"/>
        <v>3.7800000000000002</v>
      </c>
      <c r="AG238" s="241">
        <v>0</v>
      </c>
      <c r="AH238" s="246">
        <v>0</v>
      </c>
      <c r="AI238" s="241">
        <f t="shared" si="296"/>
        <v>3.7800000000000002</v>
      </c>
      <c r="AJ238" s="241"/>
      <c r="AK238" s="241"/>
      <c r="AL238" s="241" t="s">
        <v>473</v>
      </c>
      <c r="AM238" s="254" t="s">
        <v>288</v>
      </c>
      <c r="AN238" s="102" t="s">
        <v>191</v>
      </c>
      <c r="AO238" s="241"/>
      <c r="AP238" s="43" t="s">
        <v>156</v>
      </c>
      <c r="AQ238" s="44">
        <v>28.451152881794513</v>
      </c>
      <c r="AR238" s="45">
        <v>249.23209924451879</v>
      </c>
      <c r="AS238" s="46">
        <v>28.451152881794513</v>
      </c>
      <c r="AT238" s="45">
        <v>249.23209924451879</v>
      </c>
      <c r="AU238" s="393">
        <v>338967.56830781244</v>
      </c>
      <c r="AV238" s="295">
        <f t="shared" si="290"/>
        <v>14461.393251910291</v>
      </c>
      <c r="AW238" s="295">
        <f t="shared" si="248"/>
        <v>353428.96155972272</v>
      </c>
      <c r="AX238" s="39">
        <v>76148.35857231867</v>
      </c>
      <c r="AY238" s="41">
        <v>4609.3559163352747</v>
      </c>
      <c r="AZ238" s="39">
        <v>262819.20973549376</v>
      </c>
      <c r="BA238" s="47">
        <v>4.4514100456399515</v>
      </c>
      <c r="BB238" s="41">
        <f t="shared" si="291"/>
        <v>4.641320813554616</v>
      </c>
      <c r="BC238" s="39">
        <v>89469.39717052762</v>
      </c>
      <c r="BD238" s="47">
        <v>3.7886425864895932</v>
      </c>
      <c r="BE238" s="46">
        <v>27.833834891963146</v>
      </c>
      <c r="BF238" s="45">
        <v>243.82439365359605</v>
      </c>
      <c r="BG238" s="46">
        <v>56.284987773757656</v>
      </c>
      <c r="BH238" s="45">
        <v>493.05649289811481</v>
      </c>
      <c r="BI238" s="393">
        <v>348109.82203554804</v>
      </c>
      <c r="BJ238" s="295">
        <f t="shared" si="292"/>
        <v>14593.692529552129</v>
      </c>
      <c r="BK238" s="295">
        <f t="shared" si="297"/>
        <v>362703.51456510019</v>
      </c>
      <c r="BL238" s="39">
        <v>76502.288929805727</v>
      </c>
      <c r="BM238" s="41">
        <v>4651.5243607930543</v>
      </c>
      <c r="BN238" s="39">
        <v>271607.5331057423</v>
      </c>
      <c r="BO238" s="47">
        <v>4.5503190414989332</v>
      </c>
      <c r="BP238" s="41">
        <f t="shared" si="293"/>
        <v>4.7410805563987362</v>
      </c>
      <c r="BQ238" s="39">
        <v>89945.19433249766</v>
      </c>
      <c r="BR238" s="47">
        <v>3.8702437036124584</v>
      </c>
      <c r="BS238" s="44">
        <v>22.54795906894384</v>
      </c>
      <c r="BT238" s="45">
        <v>197.52012144394712</v>
      </c>
      <c r="BU238" s="46">
        <v>78.832946842701489</v>
      </c>
      <c r="BV238" s="45">
        <v>690.57661434206193</v>
      </c>
      <c r="BW238" s="393">
        <v>296548.02988304774</v>
      </c>
      <c r="BX238" s="295">
        <f t="shared" si="294"/>
        <v>12219.683448436372</v>
      </c>
      <c r="BY238" s="295">
        <f t="shared" si="298"/>
        <v>308767.71333148412</v>
      </c>
      <c r="BZ238" s="39">
        <v>63761.362160574885</v>
      </c>
      <c r="CA238" s="41">
        <v>3894.8439626558206</v>
      </c>
      <c r="CB238" s="39">
        <v>232786.66772247286</v>
      </c>
      <c r="CC238" s="47">
        <v>4.6509048714522319</v>
      </c>
      <c r="CD238" s="41">
        <f t="shared" si="295"/>
        <v>4.8425520231812467</v>
      </c>
      <c r="CE238" s="39">
        <v>75017.461212650203</v>
      </c>
      <c r="CF238" s="47">
        <v>3.9530533970275283</v>
      </c>
    </row>
    <row r="239" spans="1:84" s="22" customFormat="1" ht="15" customHeight="1">
      <c r="A239" s="324" t="str">
        <f t="shared" si="282"/>
        <v>Existing Residential; 12 W LED: 23 W CFL baseline; RES-Lighting; MURB</v>
      </c>
      <c r="B239" s="108" t="s">
        <v>482</v>
      </c>
      <c r="C239" s="15" t="s">
        <v>141</v>
      </c>
      <c r="D239" s="15" t="s">
        <v>155</v>
      </c>
      <c r="E239" s="37">
        <v>25</v>
      </c>
      <c r="F239" s="38">
        <v>11.932907685541917</v>
      </c>
      <c r="G239" s="38">
        <v>1.3622040736920058</v>
      </c>
      <c r="H239" s="39">
        <v>17</v>
      </c>
      <c r="I239" s="40">
        <v>1</v>
      </c>
      <c r="J239" s="39">
        <v>0.4415175843650509</v>
      </c>
      <c r="K239" s="39">
        <v>17.441517584365052</v>
      </c>
      <c r="L239" s="39">
        <v>0</v>
      </c>
      <c r="M239" s="39">
        <v>17.441517584365052</v>
      </c>
      <c r="N239" s="39">
        <v>16.229324847283717</v>
      </c>
      <c r="O239" s="41">
        <v>0.83</v>
      </c>
      <c r="P239" s="41">
        <v>0.9256999859395254</v>
      </c>
      <c r="Q239" s="261">
        <f t="shared" si="283"/>
        <v>0.9256999859395254</v>
      </c>
      <c r="R239" s="262">
        <f t="shared" si="284"/>
        <v>3.7800000000000002</v>
      </c>
      <c r="S239" s="262">
        <f t="shared" si="285"/>
        <v>0</v>
      </c>
      <c r="T239" s="261">
        <f t="shared" si="286"/>
        <v>1.1413063638867298</v>
      </c>
      <c r="U239" s="267">
        <f t="shared" si="287"/>
        <v>0.23291172218002998</v>
      </c>
      <c r="V239" s="42" t="s">
        <v>191</v>
      </c>
      <c r="W239" s="198">
        <f>3*W3</f>
        <v>3.7800000000000002</v>
      </c>
      <c r="X239" s="198"/>
      <c r="Y239" s="344">
        <f t="shared" si="288"/>
        <v>3.7800000000000002</v>
      </c>
      <c r="Z239" s="335">
        <v>0</v>
      </c>
      <c r="AA239" s="241">
        <v>0</v>
      </c>
      <c r="AB239" s="241">
        <v>0</v>
      </c>
      <c r="AC239" s="241">
        <v>0</v>
      </c>
      <c r="AD239" s="320">
        <v>0</v>
      </c>
      <c r="AE239" s="241">
        <v>0</v>
      </c>
      <c r="AF239" s="241">
        <f t="shared" si="289"/>
        <v>3.7800000000000002</v>
      </c>
      <c r="AG239" s="241">
        <v>0</v>
      </c>
      <c r="AH239" s="246">
        <v>0</v>
      </c>
      <c r="AI239" s="241">
        <f t="shared" si="296"/>
        <v>3.7800000000000002</v>
      </c>
      <c r="AJ239" s="241"/>
      <c r="AK239" s="241"/>
      <c r="AL239" s="241" t="s">
        <v>473</v>
      </c>
      <c r="AM239" s="254" t="s">
        <v>288</v>
      </c>
      <c r="AN239" s="102" t="s">
        <v>191</v>
      </c>
      <c r="AO239" s="241"/>
      <c r="AP239" s="43" t="s">
        <v>156</v>
      </c>
      <c r="AQ239" s="44">
        <v>0.601905016038493</v>
      </c>
      <c r="AR239" s="45">
        <v>5.2726879404971747</v>
      </c>
      <c r="AS239" s="46">
        <v>0.601905016038493</v>
      </c>
      <c r="AT239" s="45">
        <v>5.2726879404971747</v>
      </c>
      <c r="AU239" s="393">
        <v>7171.1076344254725</v>
      </c>
      <c r="AV239" s="295">
        <f t="shared" si="290"/>
        <v>1670.35176</v>
      </c>
      <c r="AW239" s="295">
        <f t="shared" si="248"/>
        <v>8841.4593944254721</v>
      </c>
      <c r="AX239" s="39">
        <v>7746.6865543346221</v>
      </c>
      <c r="AY239" s="41">
        <v>532.4</v>
      </c>
      <c r="AZ239" s="39">
        <v>-575.57891990914959</v>
      </c>
      <c r="BA239" s="47">
        <v>0.92569998593952574</v>
      </c>
      <c r="BB239" s="41">
        <f t="shared" si="291"/>
        <v>1.1413214323843108</v>
      </c>
      <c r="BC239" s="39">
        <v>9285.2150282363309</v>
      </c>
      <c r="BD239" s="47">
        <v>0.77231465427759516</v>
      </c>
      <c r="BE239" s="46">
        <v>0.94624720907256099</v>
      </c>
      <c r="BF239" s="45">
        <v>8.2891255514755962</v>
      </c>
      <c r="BG239" s="46">
        <v>1.548152225111054</v>
      </c>
      <c r="BH239" s="45">
        <v>13.561813491972771</v>
      </c>
      <c r="BI239" s="393">
        <v>11834.443540763939</v>
      </c>
      <c r="BJ239" s="295">
        <f t="shared" si="292"/>
        <v>2595.5710199999999</v>
      </c>
      <c r="BK239" s="295">
        <f t="shared" si="297"/>
        <v>14430.014560763939</v>
      </c>
      <c r="BL239" s="39">
        <v>12043.250252322379</v>
      </c>
      <c r="BM239" s="41">
        <v>827.3</v>
      </c>
      <c r="BN239" s="39">
        <v>-208.80671155843993</v>
      </c>
      <c r="BO239" s="47">
        <v>0.98266193036068694</v>
      </c>
      <c r="BP239" s="41">
        <f t="shared" si="293"/>
        <v>1.1981827379183874</v>
      </c>
      <c r="BQ239" s="39">
        <v>14434.256219638255</v>
      </c>
      <c r="BR239" s="47">
        <v>0.81988592697023144</v>
      </c>
      <c r="BS239" s="44">
        <v>0.94829876557854609</v>
      </c>
      <c r="BT239" s="45">
        <v>8.3070971864680256</v>
      </c>
      <c r="BU239" s="46">
        <v>2.4964509906896004</v>
      </c>
      <c r="BV239" s="45">
        <v>21.868910678440798</v>
      </c>
      <c r="BW239" s="393">
        <v>12471.910642244056</v>
      </c>
      <c r="BX239" s="295">
        <f t="shared" si="294"/>
        <v>2571.72678</v>
      </c>
      <c r="BY239" s="295">
        <f t="shared" si="298"/>
        <v>15043.637422244057</v>
      </c>
      <c r="BZ239" s="39">
        <v>11936.919180086157</v>
      </c>
      <c r="CA239" s="41">
        <v>819.7</v>
      </c>
      <c r="CB239" s="39">
        <v>534.99146215789915</v>
      </c>
      <c r="CC239" s="47">
        <v>1.0448182193484565</v>
      </c>
      <c r="CD239" s="41">
        <f t="shared" si="295"/>
        <v>1.2602613115904062</v>
      </c>
      <c r="CE239" s="39">
        <v>14305.982404076973</v>
      </c>
      <c r="CF239" s="47">
        <v>0.87179686721058491</v>
      </c>
    </row>
    <row r="240" spans="1:84" s="22" customFormat="1" ht="15" customHeight="1">
      <c r="A240" s="324" t="str">
        <f t="shared" si="282"/>
        <v>Existing Residential; 5W Chandelier LED bulb; RES-Lighting; MURB</v>
      </c>
      <c r="B240" s="108" t="s">
        <v>157</v>
      </c>
      <c r="C240" s="15" t="s">
        <v>141</v>
      </c>
      <c r="D240" s="15" t="s">
        <v>155</v>
      </c>
      <c r="E240" s="37">
        <v>25</v>
      </c>
      <c r="F240" s="38">
        <v>37.968342635815198</v>
      </c>
      <c r="G240" s="38">
        <v>4.3342856890200192</v>
      </c>
      <c r="H240" s="39">
        <v>13.75</v>
      </c>
      <c r="I240" s="40">
        <v>1</v>
      </c>
      <c r="J240" s="39">
        <v>1.4048286775251622</v>
      </c>
      <c r="K240" s="39">
        <v>15.154828677525161</v>
      </c>
      <c r="L240" s="39">
        <v>0</v>
      </c>
      <c r="M240" s="39">
        <v>15.154828677525161</v>
      </c>
      <c r="N240" s="39">
        <v>51.638760877720927</v>
      </c>
      <c r="O240" s="41">
        <v>0.83</v>
      </c>
      <c r="P240" s="41">
        <v>3.3439238867036716</v>
      </c>
      <c r="Q240" s="261">
        <f t="shared" si="283"/>
        <v>3.3439238867036716</v>
      </c>
      <c r="R240" s="262">
        <f t="shared" si="284"/>
        <v>3.7800000000000002</v>
      </c>
      <c r="S240" s="262">
        <f t="shared" si="285"/>
        <v>0</v>
      </c>
      <c r="T240" s="261">
        <f t="shared" si="286"/>
        <v>3.5887018805380144</v>
      </c>
      <c r="U240" s="267">
        <f t="shared" si="287"/>
        <v>7.3200826970866495E-2</v>
      </c>
      <c r="V240" s="42" t="s">
        <v>191</v>
      </c>
      <c r="W240" s="198">
        <f>3*W3</f>
        <v>3.7800000000000002</v>
      </c>
      <c r="X240" s="198"/>
      <c r="Y240" s="344">
        <f t="shared" si="288"/>
        <v>3.7800000000000002</v>
      </c>
      <c r="Z240" s="335">
        <v>0</v>
      </c>
      <c r="AA240" s="241">
        <v>0</v>
      </c>
      <c r="AB240" s="241">
        <v>0</v>
      </c>
      <c r="AC240" s="241">
        <v>0</v>
      </c>
      <c r="AD240" s="320">
        <v>0</v>
      </c>
      <c r="AE240" s="241">
        <v>0</v>
      </c>
      <c r="AF240" s="241">
        <f t="shared" si="289"/>
        <v>3.7800000000000002</v>
      </c>
      <c r="AG240" s="241">
        <v>0</v>
      </c>
      <c r="AH240" s="246">
        <v>0</v>
      </c>
      <c r="AI240" s="241">
        <f t="shared" si="296"/>
        <v>3.7800000000000002</v>
      </c>
      <c r="AJ240" s="241"/>
      <c r="AK240" s="241"/>
      <c r="AL240" s="241" t="s">
        <v>473</v>
      </c>
      <c r="AM240" s="254" t="s">
        <v>288</v>
      </c>
      <c r="AN240" s="102" t="s">
        <v>191</v>
      </c>
      <c r="AO240" s="241"/>
      <c r="AP240" s="43" t="s">
        <v>157</v>
      </c>
      <c r="AQ240" s="44">
        <v>11.769662453958512</v>
      </c>
      <c r="AR240" s="45">
        <v>103.10224309667609</v>
      </c>
      <c r="AS240" s="46">
        <v>11.769662453958512</v>
      </c>
      <c r="AT240" s="45">
        <v>103.10224309667609</v>
      </c>
      <c r="AU240" s="393">
        <v>140223.97891562851</v>
      </c>
      <c r="AV240" s="295">
        <f t="shared" si="290"/>
        <v>10264.511217769357</v>
      </c>
      <c r="AW240" s="295">
        <f t="shared" si="248"/>
        <v>150488.49013339786</v>
      </c>
      <c r="AX240" s="39">
        <v>41933.962514277395</v>
      </c>
      <c r="AY240" s="41">
        <v>3271.661636313303</v>
      </c>
      <c r="AZ240" s="39">
        <v>98290.016401351109</v>
      </c>
      <c r="BA240" s="47">
        <v>3.3439238867036711</v>
      </c>
      <c r="BB240" s="41">
        <f t="shared" si="291"/>
        <v>3.588701880538014</v>
      </c>
      <c r="BC240" s="39">
        <v>49581.471589159737</v>
      </c>
      <c r="BD240" s="47">
        <v>2.82815282445724</v>
      </c>
      <c r="BE240" s="46">
        <v>12.308158254962422</v>
      </c>
      <c r="BF240" s="45">
        <v>107.81946631347031</v>
      </c>
      <c r="BG240" s="46">
        <v>24.077820708920932</v>
      </c>
      <c r="BH240" s="45">
        <v>210.92170941014641</v>
      </c>
      <c r="BI240" s="393">
        <v>153934.61937066668</v>
      </c>
      <c r="BJ240" s="295">
        <f t="shared" si="292"/>
        <v>10611.232011139507</v>
      </c>
      <c r="BK240" s="295">
        <f t="shared" si="297"/>
        <v>164545.85138180619</v>
      </c>
      <c r="BL240" s="39">
        <v>43405.468185673359</v>
      </c>
      <c r="BM240" s="41">
        <v>3382.1737780134849</v>
      </c>
      <c r="BN240" s="39">
        <v>110529.15118499333</v>
      </c>
      <c r="BO240" s="47">
        <v>3.5464337975157512</v>
      </c>
      <c r="BP240" s="41">
        <f t="shared" si="293"/>
        <v>3.7909014292378278</v>
      </c>
      <c r="BQ240" s="39">
        <v>51311.299391779881</v>
      </c>
      <c r="BR240" s="47">
        <v>3.000014055292608</v>
      </c>
      <c r="BS240" s="44">
        <v>10.605097339765134</v>
      </c>
      <c r="BT240" s="45">
        <v>92.900652696342149</v>
      </c>
      <c r="BU240" s="46">
        <v>34.682918048686062</v>
      </c>
      <c r="BV240" s="45">
        <v>303.82236210648853</v>
      </c>
      <c r="BW240" s="393">
        <v>139476.95723631681</v>
      </c>
      <c r="BX240" s="295">
        <f t="shared" si="294"/>
        <v>9039.4668233850989</v>
      </c>
      <c r="BY240" s="295">
        <f t="shared" si="298"/>
        <v>148516.42405970191</v>
      </c>
      <c r="BZ240" s="39">
        <v>37023.012815704991</v>
      </c>
      <c r="CA240" s="41">
        <v>2881.1967946022501</v>
      </c>
      <c r="CB240" s="39">
        <v>102453.94442061182</v>
      </c>
      <c r="CC240" s="47">
        <v>3.7673043501514099</v>
      </c>
      <c r="CD240" s="41">
        <f t="shared" si="295"/>
        <v>4.0114624058013435</v>
      </c>
      <c r="CE240" s="39">
        <v>43757.810323087753</v>
      </c>
      <c r="CF240" s="47">
        <v>3.1874757033426135</v>
      </c>
    </row>
    <row r="241" spans="1:85" s="22" customFormat="1" ht="15" customHeight="1">
      <c r="A241" s="324" t="str">
        <f t="shared" si="282"/>
        <v>Existing Residential; 1W LED Nightlight; RES-Lighting; RES-SF</v>
      </c>
      <c r="B241" s="108" t="s">
        <v>158</v>
      </c>
      <c r="C241" s="15" t="s">
        <v>141</v>
      </c>
      <c r="D241" s="15" t="s">
        <v>136</v>
      </c>
      <c r="E241" s="37">
        <v>8</v>
      </c>
      <c r="F241" s="38">
        <v>31.358361907199999</v>
      </c>
      <c r="G241" s="38">
        <v>7.8610688068084258</v>
      </c>
      <c r="H241" s="39">
        <v>7</v>
      </c>
      <c r="I241" s="40">
        <v>1</v>
      </c>
      <c r="J241" s="39">
        <v>1.1602593905663998</v>
      </c>
      <c r="K241" s="39">
        <v>8.1602593905664005</v>
      </c>
      <c r="L241" s="39">
        <v>0</v>
      </c>
      <c r="M241" s="39">
        <v>8.1602593905664005</v>
      </c>
      <c r="N241" s="39">
        <v>19.763513147396857</v>
      </c>
      <c r="O241" s="41">
        <v>0.90720000000000001</v>
      </c>
      <c r="P241" s="41">
        <v>2.3872017348887282</v>
      </c>
      <c r="Q241" s="261">
        <f t="shared" si="283"/>
        <v>2.3872017348887282</v>
      </c>
      <c r="R241" s="262">
        <f t="shared" si="284"/>
        <v>3.7800000000000002</v>
      </c>
      <c r="S241" s="262">
        <f t="shared" si="285"/>
        <v>0</v>
      </c>
      <c r="T241" s="261">
        <f t="shared" si="286"/>
        <v>2.8437816197796866</v>
      </c>
      <c r="U241" s="267">
        <f t="shared" si="287"/>
        <v>0.19126154200463513</v>
      </c>
      <c r="V241" s="42" t="s">
        <v>191</v>
      </c>
      <c r="W241" s="198">
        <f>3*W3</f>
        <v>3.7800000000000002</v>
      </c>
      <c r="X241" s="198"/>
      <c r="Y241" s="344">
        <f t="shared" si="288"/>
        <v>3.7800000000000002</v>
      </c>
      <c r="Z241" s="335">
        <v>0</v>
      </c>
      <c r="AA241" s="241">
        <v>0</v>
      </c>
      <c r="AB241" s="241">
        <v>0</v>
      </c>
      <c r="AC241" s="241">
        <v>0</v>
      </c>
      <c r="AD241" s="320">
        <v>0</v>
      </c>
      <c r="AE241" s="241">
        <v>0</v>
      </c>
      <c r="AF241" s="241">
        <f t="shared" si="289"/>
        <v>3.7800000000000002</v>
      </c>
      <c r="AG241" s="241">
        <v>0</v>
      </c>
      <c r="AH241" s="246">
        <v>0</v>
      </c>
      <c r="AI241" s="241">
        <f t="shared" si="296"/>
        <v>3.7800000000000002</v>
      </c>
      <c r="AJ241" s="241"/>
      <c r="AK241" s="241"/>
      <c r="AL241" s="241" t="s">
        <v>473</v>
      </c>
      <c r="AM241" s="254" t="s">
        <v>288</v>
      </c>
      <c r="AN241" s="102" t="s">
        <v>191</v>
      </c>
      <c r="AO241" s="241"/>
      <c r="AP241" s="43" t="s">
        <v>158</v>
      </c>
      <c r="AQ241" s="44">
        <v>270.06248823057922</v>
      </c>
      <c r="AR241" s="45">
        <v>1077.2984503276116</v>
      </c>
      <c r="AS241" s="46">
        <v>270.06248823057922</v>
      </c>
      <c r="AT241" s="45">
        <v>1077.2984503276116</v>
      </c>
      <c r="AU241" s="393">
        <v>678964.10372862837</v>
      </c>
      <c r="AV241" s="295">
        <f t="shared" si="290"/>
        <v>129859.72144493242</v>
      </c>
      <c r="AW241" s="295">
        <f t="shared" si="248"/>
        <v>808823.82517356076</v>
      </c>
      <c r="AX241" s="39">
        <v>284418.40243563504</v>
      </c>
      <c r="AY241" s="41">
        <v>37868.632785141679</v>
      </c>
      <c r="AZ241" s="39">
        <v>394545.70129299333</v>
      </c>
      <c r="BA241" s="47">
        <v>2.3872017348887278</v>
      </c>
      <c r="BB241" s="41">
        <f t="shared" si="291"/>
        <v>2.8437816197796857</v>
      </c>
      <c r="BC241" s="39">
        <v>309017.86629286304</v>
      </c>
      <c r="BD241" s="47">
        <v>2.1971677944509498</v>
      </c>
      <c r="BE241" s="46">
        <v>322.27584123303478</v>
      </c>
      <c r="BF241" s="45">
        <v>1285.5812246014241</v>
      </c>
      <c r="BG241" s="46">
        <v>592.33832946361406</v>
      </c>
      <c r="BH241" s="45">
        <v>2362.8796749290359</v>
      </c>
      <c r="BI241" s="393">
        <v>893768.38972592715</v>
      </c>
      <c r="BJ241" s="295">
        <f t="shared" si="292"/>
        <v>154966.54587297255</v>
      </c>
      <c r="BK241" s="295">
        <f t="shared" si="297"/>
        <v>1048734.9355988996</v>
      </c>
      <c r="BL241" s="39">
        <v>339407.29979811131</v>
      </c>
      <c r="BM241" s="41">
        <v>45190.080144549815</v>
      </c>
      <c r="BN241" s="39">
        <v>554361.08992781583</v>
      </c>
      <c r="BO241" s="47">
        <v>2.6333210577897557</v>
      </c>
      <c r="BP241" s="41">
        <f t="shared" si="293"/>
        <v>3.0899009426807131</v>
      </c>
      <c r="BQ241" s="39">
        <v>368762.77586001082</v>
      </c>
      <c r="BR241" s="47">
        <v>2.4236947117059837</v>
      </c>
      <c r="BS241" s="44">
        <v>325.58689707851312</v>
      </c>
      <c r="BT241" s="45">
        <v>1298.7892615807639</v>
      </c>
      <c r="BU241" s="46">
        <v>917.92522654212723</v>
      </c>
      <c r="BV241" s="45">
        <v>3661.6689365098</v>
      </c>
      <c r="BW241" s="393">
        <v>998683.57163737528</v>
      </c>
      <c r="BX241" s="295">
        <f t="shared" si="294"/>
        <v>156558.66920931434</v>
      </c>
      <c r="BY241" s="295">
        <f t="shared" si="298"/>
        <v>1155242.2408466896</v>
      </c>
      <c r="BZ241" s="39">
        <v>342894.36392210796</v>
      </c>
      <c r="CA241" s="41">
        <v>45654.362165962812</v>
      </c>
      <c r="CB241" s="39">
        <v>655789.20771526732</v>
      </c>
      <c r="CC241" s="47">
        <v>2.9125108975667988</v>
      </c>
      <c r="CD241" s="41">
        <f t="shared" si="295"/>
        <v>3.3690907824577567</v>
      </c>
      <c r="CE241" s="39">
        <v>372551.43758511741</v>
      </c>
      <c r="CF241" s="47">
        <v>2.6806595570019898</v>
      </c>
    </row>
    <row r="242" spans="1:85" s="22" customFormat="1" ht="15" customHeight="1">
      <c r="A242" s="324" t="str">
        <f t="shared" si="282"/>
        <v>Existing Residential; 1W LED Nightlight; RES-Lighting; MURB</v>
      </c>
      <c r="B242" s="108" t="s">
        <v>158</v>
      </c>
      <c r="C242" s="15" t="s">
        <v>141</v>
      </c>
      <c r="D242" s="15" t="s">
        <v>155</v>
      </c>
      <c r="E242" s="37">
        <v>8</v>
      </c>
      <c r="F242" s="38">
        <v>31.358361907199999</v>
      </c>
      <c r="G242" s="38">
        <v>3.579721678904126</v>
      </c>
      <c r="H242" s="39">
        <v>7</v>
      </c>
      <c r="I242" s="40">
        <v>1</v>
      </c>
      <c r="J242" s="39">
        <v>1.1602593905663998</v>
      </c>
      <c r="K242" s="39">
        <v>8.1602593905664005</v>
      </c>
      <c r="L242" s="39">
        <v>0</v>
      </c>
      <c r="M242" s="39">
        <v>8.1602593905664005</v>
      </c>
      <c r="N242" s="39">
        <v>15.994386938607263</v>
      </c>
      <c r="O242" s="41">
        <v>0.83</v>
      </c>
      <c r="P242" s="41">
        <v>1.9045691724200355</v>
      </c>
      <c r="Q242" s="261">
        <f t="shared" si="283"/>
        <v>1.9045691724200355</v>
      </c>
      <c r="R242" s="262">
        <f t="shared" si="284"/>
        <v>3.7800000000000002</v>
      </c>
      <c r="S242" s="262">
        <f t="shared" si="285"/>
        <v>0</v>
      </c>
      <c r="T242" s="261">
        <f t="shared" si="286"/>
        <v>2.3546815461784898</v>
      </c>
      <c r="U242" s="267">
        <f t="shared" si="287"/>
        <v>0.23633290944561505</v>
      </c>
      <c r="V242" s="42" t="s">
        <v>191</v>
      </c>
      <c r="W242" s="198">
        <f>3*W3</f>
        <v>3.7800000000000002</v>
      </c>
      <c r="X242" s="198"/>
      <c r="Y242" s="344">
        <f t="shared" si="288"/>
        <v>3.7800000000000002</v>
      </c>
      <c r="Z242" s="335">
        <v>0</v>
      </c>
      <c r="AA242" s="241">
        <v>0</v>
      </c>
      <c r="AB242" s="241">
        <v>0</v>
      </c>
      <c r="AC242" s="241">
        <v>0</v>
      </c>
      <c r="AD242" s="320">
        <v>0</v>
      </c>
      <c r="AE242" s="241">
        <v>0</v>
      </c>
      <c r="AF242" s="241">
        <f t="shared" si="289"/>
        <v>3.7800000000000002</v>
      </c>
      <c r="AG242" s="241">
        <v>0</v>
      </c>
      <c r="AH242" s="246">
        <v>0</v>
      </c>
      <c r="AI242" s="241">
        <f t="shared" si="296"/>
        <v>3.7800000000000002</v>
      </c>
      <c r="AJ242" s="241"/>
      <c r="AK242" s="241"/>
      <c r="AL242" s="241" t="s">
        <v>473</v>
      </c>
      <c r="AM242" s="254" t="s">
        <v>288</v>
      </c>
      <c r="AN242" s="102" t="s">
        <v>191</v>
      </c>
      <c r="AO242" s="241"/>
      <c r="AP242" s="43" t="s">
        <v>158</v>
      </c>
      <c r="AQ242" s="44">
        <v>3.1353940886888254</v>
      </c>
      <c r="AR242" s="45">
        <v>27.466052216913987</v>
      </c>
      <c r="AS242" s="46">
        <v>3.1353940886888254</v>
      </c>
      <c r="AT242" s="45">
        <v>27.466052216913987</v>
      </c>
      <c r="AU242" s="393">
        <v>14009.107622820333</v>
      </c>
      <c r="AV242" s="295">
        <f t="shared" si="290"/>
        <v>3310.8131632378741</v>
      </c>
      <c r="AW242" s="295">
        <f t="shared" si="248"/>
        <v>17319.920786058206</v>
      </c>
      <c r="AX242" s="39">
        <v>7355.525767026722</v>
      </c>
      <c r="AY242" s="41">
        <v>1055.2728894109371</v>
      </c>
      <c r="AZ242" s="39">
        <v>6653.5818557936109</v>
      </c>
      <c r="BA242" s="47">
        <v>1.9045691724200358</v>
      </c>
      <c r="BB242" s="41">
        <f t="shared" si="291"/>
        <v>2.3546815461784902</v>
      </c>
      <c r="BC242" s="39">
        <v>8611.3005054257374</v>
      </c>
      <c r="BD242" s="47">
        <v>1.6268283302845592</v>
      </c>
      <c r="BE242" s="46">
        <v>3.2033001496140643</v>
      </c>
      <c r="BF242" s="45">
        <v>28.060909310619074</v>
      </c>
      <c r="BG242" s="46">
        <v>6.3386942383028897</v>
      </c>
      <c r="BH242" s="45">
        <v>55.526961527533061</v>
      </c>
      <c r="BI242" s="393">
        <v>15421.666009501007</v>
      </c>
      <c r="BJ242" s="295">
        <f t="shared" si="292"/>
        <v>3382.518433457647</v>
      </c>
      <c r="BK242" s="295">
        <f t="shared" si="297"/>
        <v>18804.184442958653</v>
      </c>
      <c r="BL242" s="39">
        <v>7514.8310303347071</v>
      </c>
      <c r="BM242" s="41">
        <v>1078.1278872498397</v>
      </c>
      <c r="BN242" s="39">
        <v>7906.8349791662995</v>
      </c>
      <c r="BO242" s="47">
        <v>2.0521640403156387</v>
      </c>
      <c r="BP242" s="41">
        <f t="shared" si="293"/>
        <v>2.502276414074093</v>
      </c>
      <c r="BQ242" s="39">
        <v>8797.8032161620176</v>
      </c>
      <c r="BR242" s="47">
        <v>1.7528996308044957</v>
      </c>
      <c r="BS242" s="44">
        <v>2.7445313334620747</v>
      </c>
      <c r="BT242" s="45">
        <v>24.042094481127666</v>
      </c>
      <c r="BU242" s="46">
        <v>9.0832255717649648</v>
      </c>
      <c r="BV242" s="45">
        <v>79.569056008660723</v>
      </c>
      <c r="BW242" s="393">
        <v>14301.339361608971</v>
      </c>
      <c r="BX242" s="295">
        <f t="shared" si="294"/>
        <v>2898.0824128379104</v>
      </c>
      <c r="BY242" s="295">
        <f t="shared" si="298"/>
        <v>17199.421774446881</v>
      </c>
      <c r="BZ242" s="39">
        <v>6438.5753020713892</v>
      </c>
      <c r="CA242" s="41">
        <v>923.72104699366048</v>
      </c>
      <c r="CB242" s="39">
        <v>7862.7640595375815</v>
      </c>
      <c r="CC242" s="47">
        <v>2.2211962570365542</v>
      </c>
      <c r="CD242" s="41">
        <f t="shared" si="295"/>
        <v>2.6713086307950085</v>
      </c>
      <c r="CE242" s="39">
        <v>7537.803347993844</v>
      </c>
      <c r="CF242" s="47">
        <v>1.8972820994879382</v>
      </c>
    </row>
    <row r="243" spans="1:85" s="22" customFormat="1" ht="15" customHeight="1">
      <c r="A243" s="324" t="str">
        <f t="shared" si="282"/>
        <v>Existing Residential; Low Flow Faucet Aerator, 1.5 GPM; RES-Water Heat; RES-SF</v>
      </c>
      <c r="B243" s="233" t="s">
        <v>159</v>
      </c>
      <c r="C243" s="15" t="s">
        <v>160</v>
      </c>
      <c r="D243" s="15" t="s">
        <v>136</v>
      </c>
      <c r="E243" s="37">
        <v>10</v>
      </c>
      <c r="F243" s="38">
        <v>197.27970000000002</v>
      </c>
      <c r="G243" s="38">
        <v>31.987499726042874</v>
      </c>
      <c r="H243" s="39">
        <v>9</v>
      </c>
      <c r="I243" s="40">
        <v>1</v>
      </c>
      <c r="J243" s="39">
        <v>7.2993489</v>
      </c>
      <c r="K243" s="39">
        <v>16.299348899999998</v>
      </c>
      <c r="L243" s="39">
        <v>0</v>
      </c>
      <c r="M243" s="39">
        <v>16.299348899999998</v>
      </c>
      <c r="N243" s="39">
        <v>135.9984371543085</v>
      </c>
      <c r="O243" s="41">
        <v>0.90720000000000001</v>
      </c>
      <c r="P243" s="41">
        <v>7.9783105416418145</v>
      </c>
      <c r="Q243" s="261">
        <f t="shared" si="283"/>
        <v>7.9783105416418145</v>
      </c>
      <c r="R243" s="262">
        <f t="shared" si="284"/>
        <v>0</v>
      </c>
      <c r="S243" s="262">
        <f t="shared" si="285"/>
        <v>0.92319212517059268</v>
      </c>
      <c r="T243" s="261">
        <f t="shared" si="286"/>
        <v>8.0324693512452825</v>
      </c>
      <c r="U243" s="267">
        <f t="shared" si="287"/>
        <v>6.7882553982817166E-3</v>
      </c>
      <c r="V243" s="42" t="s">
        <v>29</v>
      </c>
      <c r="W243" s="198" t="s">
        <v>186</v>
      </c>
      <c r="X243" s="213">
        <f>332/264.172</f>
        <v>1.2567569613736504</v>
      </c>
      <c r="Y243" s="347"/>
      <c r="Z243" s="334">
        <f>((X243*Z3)-3.2994)</f>
        <v>0.13028974758869216</v>
      </c>
      <c r="AA243" s="246">
        <v>0</v>
      </c>
      <c r="AB243" s="246">
        <v>0</v>
      </c>
      <c r="AC243" s="246">
        <v>0</v>
      </c>
      <c r="AD243" s="308">
        <v>0</v>
      </c>
      <c r="AE243" s="246">
        <v>0</v>
      </c>
      <c r="AF243" s="246">
        <v>0</v>
      </c>
      <c r="AG243" s="246">
        <v>0</v>
      </c>
      <c r="AH243" s="246">
        <f>Z243</f>
        <v>0.13028974758869216</v>
      </c>
      <c r="AI243" s="464">
        <f t="shared" si="296"/>
        <v>0.13028974758869216</v>
      </c>
      <c r="AJ243" s="246"/>
      <c r="AK243" s="246"/>
      <c r="AL243" s="241" t="s">
        <v>474</v>
      </c>
      <c r="AM243" s="252" t="s">
        <v>336</v>
      </c>
      <c r="AN243" s="102" t="s">
        <v>29</v>
      </c>
      <c r="AO243" s="246" t="s">
        <v>427</v>
      </c>
      <c r="AP243" s="43" t="s">
        <v>159</v>
      </c>
      <c r="AQ243" s="44">
        <v>109.63082866217077</v>
      </c>
      <c r="AR243" s="45">
        <v>676.13715277708616</v>
      </c>
      <c r="AS243" s="46">
        <v>109.63082866217077</v>
      </c>
      <c r="AT243" s="45">
        <v>676.13715277708616</v>
      </c>
      <c r="AU243" s="393">
        <v>477415.80019705149</v>
      </c>
      <c r="AV243" s="295">
        <f t="shared" si="290"/>
        <v>3164.0584154328694</v>
      </c>
      <c r="AW243" s="295">
        <f t="shared" si="248"/>
        <v>480579.85861248436</v>
      </c>
      <c r="AX243" s="39">
        <v>58421.860424907267</v>
      </c>
      <c r="AY243" s="41">
        <v>3777.8904485915336</v>
      </c>
      <c r="AZ243" s="39">
        <v>418993.93977214419</v>
      </c>
      <c r="BA243" s="47">
        <v>8.1718691723400259</v>
      </c>
      <c r="BB243" s="41">
        <f t="shared" si="291"/>
        <v>8.2260279819434938</v>
      </c>
      <c r="BC243" s="39">
        <v>61577.154527570921</v>
      </c>
      <c r="BD243" s="47">
        <v>7.7531318856783242</v>
      </c>
      <c r="BE243" s="46">
        <v>95.131436331125713</v>
      </c>
      <c r="BF243" s="45">
        <v>586.7136031483534</v>
      </c>
      <c r="BG243" s="46">
        <v>204.76226499329644</v>
      </c>
      <c r="BH243" s="45">
        <v>1262.8507559254394</v>
      </c>
      <c r="BI243" s="393">
        <v>443839.01868859987</v>
      </c>
      <c r="BJ243" s="295">
        <f t="shared" si="292"/>
        <v>2745.5910474165566</v>
      </c>
      <c r="BK243" s="295">
        <f t="shared" si="297"/>
        <v>446584.60973601643</v>
      </c>
      <c r="BL243" s="39">
        <v>50695.188234728164</v>
      </c>
      <c r="BM243" s="41">
        <v>3278.2397894997093</v>
      </c>
      <c r="BN243" s="39">
        <v>393143.83045387169</v>
      </c>
      <c r="BO243" s="47">
        <v>8.7550521882578387</v>
      </c>
      <c r="BP243" s="41">
        <f t="shared" si="293"/>
        <v>8.8092109978613067</v>
      </c>
      <c r="BQ243" s="39">
        <v>53433.174106918319</v>
      </c>
      <c r="BR243" s="47">
        <v>8.3064318395252013</v>
      </c>
      <c r="BS243" s="44">
        <v>78.542108809132117</v>
      </c>
      <c r="BT243" s="45">
        <v>484.40058760259279</v>
      </c>
      <c r="BU243" s="46">
        <v>283.30437380242859</v>
      </c>
      <c r="BV243" s="45">
        <v>1747.2513435280323</v>
      </c>
      <c r="BW243" s="393">
        <v>394060.85256269603</v>
      </c>
      <c r="BX243" s="295">
        <f t="shared" si="294"/>
        <v>2266.8060013408449</v>
      </c>
      <c r="BY243" s="295">
        <f t="shared" si="298"/>
        <v>396327.65856403689</v>
      </c>
      <c r="BZ243" s="39">
        <v>41854.797362380348</v>
      </c>
      <c r="CA243" s="41">
        <v>2706.569733196267</v>
      </c>
      <c r="CB243" s="39">
        <v>352206.05520031566</v>
      </c>
      <c r="CC243" s="47">
        <v>9.4149506722228971</v>
      </c>
      <c r="CD243" s="41">
        <f t="shared" si="295"/>
        <v>9.469109481826365</v>
      </c>
      <c r="CE243" s="39">
        <v>44115.32440354587</v>
      </c>
      <c r="CF243" s="47">
        <v>8.93251626029123</v>
      </c>
    </row>
    <row r="244" spans="1:85" s="22" customFormat="1" ht="15" customHeight="1">
      <c r="A244" s="324" t="str">
        <f t="shared" si="282"/>
        <v>Existing Residential; Low Flow Faucet Aerator, 1.5 GPM; RES-Water Heat; MURB</v>
      </c>
      <c r="B244" s="233" t="s">
        <v>159</v>
      </c>
      <c r="C244" s="15" t="s">
        <v>160</v>
      </c>
      <c r="D244" s="15" t="s">
        <v>155</v>
      </c>
      <c r="E244" s="37">
        <v>10</v>
      </c>
      <c r="F244" s="38">
        <v>126.25900800000002</v>
      </c>
      <c r="G244" s="38">
        <v>20.471999824667442</v>
      </c>
      <c r="H244" s="39">
        <v>9</v>
      </c>
      <c r="I244" s="40">
        <v>1</v>
      </c>
      <c r="J244" s="39">
        <v>4.6715832960000006</v>
      </c>
      <c r="K244" s="39">
        <v>13.671583296000001</v>
      </c>
      <c r="L244" s="39">
        <v>0</v>
      </c>
      <c r="M244" s="39">
        <v>13.671583296000001</v>
      </c>
      <c r="N244" s="39">
        <v>87.038999778757443</v>
      </c>
      <c r="O244" s="41">
        <v>0.83</v>
      </c>
      <c r="P244" s="41">
        <v>5.9499958164573696</v>
      </c>
      <c r="Q244" s="261">
        <f t="shared" si="283"/>
        <v>5.9499958164573696</v>
      </c>
      <c r="R244" s="262">
        <f t="shared" si="284"/>
        <v>0</v>
      </c>
      <c r="S244" s="262">
        <f t="shared" si="285"/>
        <v>9.3394271914690581</v>
      </c>
      <c r="T244" s="261">
        <f t="shared" si="286"/>
        <v>6.5884401099189223</v>
      </c>
      <c r="U244" s="267">
        <f t="shared" si="287"/>
        <v>0.10730163737185326</v>
      </c>
      <c r="V244" s="42" t="s">
        <v>29</v>
      </c>
      <c r="W244" s="198" t="s">
        <v>186</v>
      </c>
      <c r="X244" s="213">
        <f>332/264.172</f>
        <v>1.2567569613736504</v>
      </c>
      <c r="Y244" s="347"/>
      <c r="Z244" s="334">
        <f>((X244*Z3)-2.11162)</f>
        <v>1.3180697475886922</v>
      </c>
      <c r="AA244" s="246">
        <v>0</v>
      </c>
      <c r="AB244" s="246">
        <v>0</v>
      </c>
      <c r="AC244" s="246">
        <v>0</v>
      </c>
      <c r="AD244" s="308">
        <v>0</v>
      </c>
      <c r="AE244" s="246">
        <v>0</v>
      </c>
      <c r="AF244" s="246">
        <v>0</v>
      </c>
      <c r="AG244" s="246">
        <v>0</v>
      </c>
      <c r="AH244" s="246">
        <f>Z244</f>
        <v>1.3180697475886922</v>
      </c>
      <c r="AI244" s="464">
        <f t="shared" si="296"/>
        <v>1.3180697475886922</v>
      </c>
      <c r="AJ244" s="246"/>
      <c r="AK244" s="246"/>
      <c r="AL244" s="241" t="s">
        <v>474</v>
      </c>
      <c r="AM244" s="252" t="s">
        <v>336</v>
      </c>
      <c r="AN244" s="102" t="s">
        <v>29</v>
      </c>
      <c r="AO244" s="246" t="s">
        <v>427</v>
      </c>
      <c r="AP244" s="43" t="s">
        <v>159</v>
      </c>
      <c r="AQ244" s="44">
        <v>71.00224507180971</v>
      </c>
      <c r="AR244" s="45">
        <v>437.89923335861556</v>
      </c>
      <c r="AS244" s="46">
        <v>71.00224507180971</v>
      </c>
      <c r="AT244" s="45">
        <v>437.89923335861556</v>
      </c>
      <c r="AU244" s="393">
        <v>309197.64139703067</v>
      </c>
      <c r="AV244" s="295">
        <f t="shared" si="290"/>
        <v>32391.574050327625</v>
      </c>
      <c r="AW244" s="295">
        <f t="shared" si="248"/>
        <v>341589.21544735832</v>
      </c>
      <c r="AX244" s="39">
        <v>50735.161050160168</v>
      </c>
      <c r="AY244" s="41">
        <v>4178.6280926701438</v>
      </c>
      <c r="AZ244" s="39">
        <v>258462.48034687049</v>
      </c>
      <c r="BA244" s="47">
        <v>6.094346307314118</v>
      </c>
      <c r="BB244" s="41">
        <f t="shared" si="291"/>
        <v>6.7327906007756715</v>
      </c>
      <c r="BC244" s="39">
        <v>57128.462031945484</v>
      </c>
      <c r="BD244" s="47">
        <v>5.4123221665608892</v>
      </c>
      <c r="BE244" s="46">
        <v>71.666778716477751</v>
      </c>
      <c r="BF244" s="45">
        <v>441.99767803803144</v>
      </c>
      <c r="BG244" s="46">
        <v>142.66902378828746</v>
      </c>
      <c r="BH244" s="45">
        <v>879.89691139664706</v>
      </c>
      <c r="BI244" s="393">
        <v>334363.84401238366</v>
      </c>
      <c r="BJ244" s="295">
        <f t="shared" si="292"/>
        <v>32694.737573374379</v>
      </c>
      <c r="BK244" s="295">
        <f t="shared" si="297"/>
        <v>367058.58158575802</v>
      </c>
      <c r="BL244" s="39">
        <v>51210.008309586738</v>
      </c>
      <c r="BM244" s="41">
        <v>4217.7372638424913</v>
      </c>
      <c r="BN244" s="39">
        <v>283153.83570279693</v>
      </c>
      <c r="BO244" s="47">
        <v>6.5292675211261253</v>
      </c>
      <c r="BP244" s="41">
        <f t="shared" si="293"/>
        <v>7.1677118145876779</v>
      </c>
      <c r="BQ244" s="39">
        <v>57663.146323265755</v>
      </c>
      <c r="BR244" s="47">
        <v>5.7985709301727004</v>
      </c>
      <c r="BS244" s="44">
        <v>62.686121728828866</v>
      </c>
      <c r="BT244" s="45">
        <v>386.61037576370484</v>
      </c>
      <c r="BU244" s="46">
        <v>205.35514551711634</v>
      </c>
      <c r="BV244" s="45">
        <v>1266.507287160352</v>
      </c>
      <c r="BW244" s="393">
        <v>314508.31849117758</v>
      </c>
      <c r="BX244" s="295">
        <f t="shared" si="294"/>
        <v>28597.717605318227</v>
      </c>
      <c r="BY244" s="295">
        <f t="shared" si="298"/>
        <v>343106.03609649581</v>
      </c>
      <c r="BZ244" s="39">
        <v>44792.815752593713</v>
      </c>
      <c r="CA244" s="41">
        <v>3689.2071372067708</v>
      </c>
      <c r="CB244" s="39">
        <v>269715.50273858383</v>
      </c>
      <c r="CC244" s="47">
        <v>7.0214009368894406</v>
      </c>
      <c r="CD244" s="41">
        <f t="shared" si="295"/>
        <v>7.6598452303509941</v>
      </c>
      <c r="CE244" s="39">
        <v>50437.302672520069</v>
      </c>
      <c r="CF244" s="47">
        <v>6.2356292233393411</v>
      </c>
    </row>
    <row r="245" spans="1:85" s="22" customFormat="1" ht="15" customHeight="1">
      <c r="A245" s="324" t="str">
        <f t="shared" si="282"/>
        <v>Existing Residential; Low Flow (1.25 GPM) showerhead; RES-Water Heat; RES-SF</v>
      </c>
      <c r="B245" s="233" t="s">
        <v>161</v>
      </c>
      <c r="C245" s="15" t="s">
        <v>160</v>
      </c>
      <c r="D245" s="15" t="s">
        <v>136</v>
      </c>
      <c r="E245" s="37">
        <v>10</v>
      </c>
      <c r="F245" s="38">
        <v>421.863</v>
      </c>
      <c r="G245" s="38">
        <v>68.40208392920114</v>
      </c>
      <c r="H245" s="39">
        <v>27</v>
      </c>
      <c r="I245" s="40">
        <v>1</v>
      </c>
      <c r="J245" s="39">
        <v>15.608930999999998</v>
      </c>
      <c r="K245" s="39">
        <v>42.608930999999998</v>
      </c>
      <c r="L245" s="39">
        <v>0</v>
      </c>
      <c r="M245" s="39">
        <v>42.608930999999998</v>
      </c>
      <c r="N245" s="39">
        <v>290.81911972305335</v>
      </c>
      <c r="O245" s="41">
        <v>0.90720000000000001</v>
      </c>
      <c r="P245" s="41">
        <v>6.5787828301034139</v>
      </c>
      <c r="Q245" s="261">
        <f t="shared" si="283"/>
        <v>6.5787828301034139</v>
      </c>
      <c r="R245" s="262">
        <f t="shared" si="284"/>
        <v>0</v>
      </c>
      <c r="S245" s="262">
        <f t="shared" si="285"/>
        <v>83.129033335382161</v>
      </c>
      <c r="T245" s="261">
        <f t="shared" si="286"/>
        <v>8.4592914352828377</v>
      </c>
      <c r="U245" s="267">
        <f t="shared" si="287"/>
        <v>0.28584445690691135</v>
      </c>
      <c r="V245" s="42" t="s">
        <v>270</v>
      </c>
      <c r="W245" s="199">
        <f>(0.03*W3)*0.45</f>
        <v>1.7010000000000001E-2</v>
      </c>
      <c r="X245" s="213">
        <f>2401/264.172</f>
        <v>9.088775494753417</v>
      </c>
      <c r="Y245" s="348"/>
      <c r="Z245" s="334">
        <f>((X245*Z3)-13.0713)</f>
        <v>11.731968325182073</v>
      </c>
      <c r="AA245" s="246">
        <v>0</v>
      </c>
      <c r="AB245" s="246">
        <v>0</v>
      </c>
      <c r="AC245" s="246">
        <v>0</v>
      </c>
      <c r="AD245" s="308">
        <f t="shared" ref="AD245:AD258" si="299">Y245</f>
        <v>0</v>
      </c>
      <c r="AE245" s="246">
        <v>0</v>
      </c>
      <c r="AF245" s="246">
        <v>0</v>
      </c>
      <c r="AG245" s="246">
        <v>0</v>
      </c>
      <c r="AH245" s="246">
        <f>Z245</f>
        <v>11.731968325182073</v>
      </c>
      <c r="AI245" s="464">
        <f>AH245</f>
        <v>11.731968325182073</v>
      </c>
      <c r="AJ245" s="246"/>
      <c r="AK245" s="246"/>
      <c r="AL245" s="241" t="s">
        <v>474</v>
      </c>
      <c r="AM245" s="252" t="s">
        <v>336</v>
      </c>
      <c r="AN245" s="102">
        <v>0.03</v>
      </c>
      <c r="AO245" s="246" t="s">
        <v>432</v>
      </c>
      <c r="AP245" s="43" t="s">
        <v>161</v>
      </c>
      <c r="AQ245" s="44">
        <v>79.257699946928028</v>
      </c>
      <c r="AR245" s="45">
        <v>488.81392425585108</v>
      </c>
      <c r="AS245" s="46">
        <v>79.257699946928028</v>
      </c>
      <c r="AT245" s="45">
        <v>488.81392425585108</v>
      </c>
      <c r="AU245" s="393">
        <v>352118.70300168963</v>
      </c>
      <c r="AV245" s="295">
        <f t="shared" si="290"/>
        <v>96321.86042450658</v>
      </c>
      <c r="AW245" s="295">
        <f t="shared" si="248"/>
        <v>448440.56342619623</v>
      </c>
      <c r="AX245" s="39">
        <v>51221.175037014167</v>
      </c>
      <c r="AY245" s="41">
        <v>1277.2299397527395</v>
      </c>
      <c r="AZ245" s="39">
        <v>300897.52796467545</v>
      </c>
      <c r="BA245" s="47">
        <v>6.874475307277442</v>
      </c>
      <c r="BB245" s="41">
        <f t="shared" si="291"/>
        <v>8.7549839124568649</v>
      </c>
      <c r="BC245" s="39">
        <v>54421.402374058627</v>
      </c>
      <c r="BD245" s="47">
        <v>6.4702247211758026</v>
      </c>
      <c r="BE245" s="46">
        <v>69.0964462057959</v>
      </c>
      <c r="BF245" s="45">
        <v>426.14540977854244</v>
      </c>
      <c r="BG245" s="46">
        <v>148.35414615272393</v>
      </c>
      <c r="BH245" s="45">
        <v>914.95933403439358</v>
      </c>
      <c r="BI245" s="393">
        <v>328448.75557818072</v>
      </c>
      <c r="BJ245" s="295">
        <f t="shared" si="292"/>
        <v>83972.891614577587</v>
      </c>
      <c r="BK245" s="295">
        <f t="shared" si="297"/>
        <v>412421.64719275828</v>
      </c>
      <c r="BL245" s="39">
        <v>44654.351159730853</v>
      </c>
      <c r="BM245" s="41">
        <v>1113.4823478810488</v>
      </c>
      <c r="BN245" s="39">
        <v>283794.40441844985</v>
      </c>
      <c r="BO245" s="47">
        <v>7.3553583704150807</v>
      </c>
      <c r="BP245" s="41">
        <f t="shared" si="293"/>
        <v>9.2358669755945026</v>
      </c>
      <c r="BQ245" s="39">
        <v>47444.292530581602</v>
      </c>
      <c r="BR245" s="47">
        <v>6.9228296610486817</v>
      </c>
      <c r="BS245" s="44">
        <v>57.309819792606675</v>
      </c>
      <c r="BT245" s="45">
        <v>353.45257217883108</v>
      </c>
      <c r="BU245" s="46">
        <v>205.66396594533063</v>
      </c>
      <c r="BV245" s="45">
        <v>1268.4119062132247</v>
      </c>
      <c r="BW245" s="393">
        <v>292574.65668535512</v>
      </c>
      <c r="BX245" s="295">
        <f t="shared" si="294"/>
        <v>69648.607854044138</v>
      </c>
      <c r="BY245" s="295">
        <f t="shared" si="298"/>
        <v>362223.26453939924</v>
      </c>
      <c r="BZ245" s="39">
        <v>37037.112014384446</v>
      </c>
      <c r="CA245" s="41">
        <v>923.54203730319682</v>
      </c>
      <c r="CB245" s="39">
        <v>255537.54467097067</v>
      </c>
      <c r="CC245" s="47">
        <v>7.8994997388491086</v>
      </c>
      <c r="CD245" s="41">
        <f t="shared" si="295"/>
        <v>9.7800083440285306</v>
      </c>
      <c r="CE245" s="39">
        <v>39351.138943051337</v>
      </c>
      <c r="CF245" s="47">
        <v>7.434973028576553</v>
      </c>
    </row>
    <row r="246" spans="1:85" s="22" customFormat="1" ht="15" customHeight="1">
      <c r="A246" s="324" t="str">
        <f t="shared" si="282"/>
        <v>Existing Residential; Low Flow (1.25 GPM) showerhead; RES-Water Heat; MURB</v>
      </c>
      <c r="B246" s="233" t="s">
        <v>161</v>
      </c>
      <c r="C246" s="15" t="s">
        <v>160</v>
      </c>
      <c r="D246" s="15" t="s">
        <v>155</v>
      </c>
      <c r="E246" s="37">
        <v>10</v>
      </c>
      <c r="F246" s="38">
        <v>421.863</v>
      </c>
      <c r="G246" s="38">
        <v>68.40208392920114</v>
      </c>
      <c r="H246" s="39">
        <v>27</v>
      </c>
      <c r="I246" s="40">
        <v>1</v>
      </c>
      <c r="J246" s="39">
        <v>15.608930999999998</v>
      </c>
      <c r="K246" s="39">
        <v>42.608930999999998</v>
      </c>
      <c r="L246" s="39">
        <v>0</v>
      </c>
      <c r="M246" s="39">
        <v>42.608930999999998</v>
      </c>
      <c r="N246" s="39">
        <v>290.81911972305335</v>
      </c>
      <c r="O246" s="41">
        <v>0.83</v>
      </c>
      <c r="P246" s="41">
        <v>6.3489388844240331</v>
      </c>
      <c r="Q246" s="261">
        <f t="shared" si="283"/>
        <v>6.3489388844240331</v>
      </c>
      <c r="R246" s="262">
        <f t="shared" si="284"/>
        <v>0</v>
      </c>
      <c r="S246" s="262">
        <f t="shared" si="285"/>
        <v>116.47214178263728</v>
      </c>
      <c r="T246" s="261">
        <f t="shared" si="286"/>
        <v>8.8916689175117316</v>
      </c>
      <c r="U246" s="267">
        <f t="shared" si="287"/>
        <v>0.40049685142281399</v>
      </c>
      <c r="V246" s="42" t="s">
        <v>270</v>
      </c>
      <c r="W246" s="199">
        <f>(0.03*W3)*0.45</f>
        <v>1.7010000000000001E-2</v>
      </c>
      <c r="X246" s="213">
        <f>2401/264.172</f>
        <v>9.088775494753417</v>
      </c>
      <c r="Y246" s="348"/>
      <c r="Z246" s="334">
        <f>((X246*Z3)-8.3656)</f>
        <v>16.437668325182074</v>
      </c>
      <c r="AA246" s="246">
        <v>0</v>
      </c>
      <c r="AB246" s="246">
        <v>0</v>
      </c>
      <c r="AC246" s="246">
        <v>0</v>
      </c>
      <c r="AD246" s="308">
        <f t="shared" si="299"/>
        <v>0</v>
      </c>
      <c r="AE246" s="246">
        <v>0</v>
      </c>
      <c r="AF246" s="246">
        <v>0</v>
      </c>
      <c r="AG246" s="246">
        <v>0</v>
      </c>
      <c r="AH246" s="246">
        <f>Z246</f>
        <v>16.437668325182074</v>
      </c>
      <c r="AI246" s="464">
        <f>AH246</f>
        <v>16.437668325182074</v>
      </c>
      <c r="AJ246" s="246"/>
      <c r="AK246" s="246"/>
      <c r="AL246" s="241" t="s">
        <v>474</v>
      </c>
      <c r="AM246" s="252" t="s">
        <v>336</v>
      </c>
      <c r="AN246" s="102">
        <v>0.03</v>
      </c>
      <c r="AO246" s="246" t="s">
        <v>432</v>
      </c>
      <c r="AP246" s="43" t="s">
        <v>161</v>
      </c>
      <c r="AQ246" s="44">
        <v>49.152322976103648</v>
      </c>
      <c r="AR246" s="45">
        <v>303.14202779450579</v>
      </c>
      <c r="AS246" s="46">
        <v>49.152322976103648</v>
      </c>
      <c r="AT246" s="45">
        <v>303.14202779450579</v>
      </c>
      <c r="AU246" s="393">
        <v>214987.96028819997</v>
      </c>
      <c r="AV246" s="295">
        <f t="shared" si="290"/>
        <v>83694.472474613445</v>
      </c>
      <c r="AW246" s="295">
        <f t="shared" si="248"/>
        <v>298682.43276281341</v>
      </c>
      <c r="AX246" s="39">
        <v>32915.201922943117</v>
      </c>
      <c r="AY246" s="41">
        <v>865.75821721402747</v>
      </c>
      <c r="AZ246" s="39">
        <v>182072.75836525686</v>
      </c>
      <c r="BA246" s="47">
        <v>6.5315704515956616</v>
      </c>
      <c r="BB246" s="41">
        <f t="shared" si="291"/>
        <v>9.074300484683361</v>
      </c>
      <c r="BC246" s="39">
        <v>36889.032139955511</v>
      </c>
      <c r="BD246" s="47">
        <v>5.8279642434787737</v>
      </c>
      <c r="BE246" s="46">
        <v>46.221097153456867</v>
      </c>
      <c r="BF246" s="45">
        <v>285.06398618835908</v>
      </c>
      <c r="BG246" s="46">
        <v>95.373420129560515</v>
      </c>
      <c r="BH246" s="45">
        <v>588.20601398286487</v>
      </c>
      <c r="BI246" s="393">
        <v>216531.44536330248</v>
      </c>
      <c r="BJ246" s="295">
        <f t="shared" si="292"/>
        <v>78703.306562685771</v>
      </c>
      <c r="BK246" s="295">
        <f t="shared" si="297"/>
        <v>295234.75192598824</v>
      </c>
      <c r="BL246" s="39">
        <v>30952.28574742339</v>
      </c>
      <c r="BM246" s="41">
        <v>814.12824961920649</v>
      </c>
      <c r="BN246" s="39">
        <v>185579.15961587909</v>
      </c>
      <c r="BO246" s="47">
        <v>6.9956528293335349</v>
      </c>
      <c r="BP246" s="41">
        <f t="shared" si="293"/>
        <v>9.5383828624212335</v>
      </c>
      <c r="BQ246" s="39">
        <v>34689.134413175547</v>
      </c>
      <c r="BR246" s="47">
        <v>6.2420538599850452</v>
      </c>
      <c r="BS246" s="44">
        <v>38.888573227754058</v>
      </c>
      <c r="BT246" s="45">
        <v>239.84137946090215</v>
      </c>
      <c r="BU246" s="46">
        <v>134.26199335731457</v>
      </c>
      <c r="BV246" s="45">
        <v>828.04739344376708</v>
      </c>
      <c r="BW246" s="393">
        <v>195856.31067495144</v>
      </c>
      <c r="BX246" s="295">
        <f t="shared" si="294"/>
        <v>66217.798559991046</v>
      </c>
      <c r="BY246" s="295">
        <f t="shared" si="298"/>
        <v>262074.10923494247</v>
      </c>
      <c r="BZ246" s="39">
        <v>26042.009060466859</v>
      </c>
      <c r="CA246" s="41">
        <v>684.9747842848833</v>
      </c>
      <c r="CB246" s="39">
        <v>169814.30161448458</v>
      </c>
      <c r="CC246" s="47">
        <v>7.5207834472445381</v>
      </c>
      <c r="CD246" s="41">
        <f t="shared" si="295"/>
        <v>10.063513480332237</v>
      </c>
      <c r="CE246" s="39">
        <v>29186.043320334473</v>
      </c>
      <c r="CF246" s="47">
        <v>6.7106153624631473</v>
      </c>
    </row>
    <row r="247" spans="1:85" s="22" customFormat="1" ht="15" customHeight="1">
      <c r="A247" s="324" t="str">
        <f t="shared" si="282"/>
        <v>Existing Residential; DHW Pipe Insulation; RES-Water Heat; RES-SF</v>
      </c>
      <c r="B247" s="108" t="s">
        <v>125</v>
      </c>
      <c r="C247" s="15" t="s">
        <v>160</v>
      </c>
      <c r="D247" s="15" t="s">
        <v>136</v>
      </c>
      <c r="E247" s="37">
        <v>15</v>
      </c>
      <c r="F247" s="38">
        <v>120.69082909796498</v>
      </c>
      <c r="G247" s="38">
        <v>19.56915923284069</v>
      </c>
      <c r="H247" s="39">
        <v>14</v>
      </c>
      <c r="I247" s="40">
        <v>1</v>
      </c>
      <c r="J247" s="39">
        <v>4.4655606766247038</v>
      </c>
      <c r="K247" s="39">
        <v>18.465560676624705</v>
      </c>
      <c r="L247" s="39">
        <v>0</v>
      </c>
      <c r="M247" s="39">
        <v>18.465560676624705</v>
      </c>
      <c r="N247" s="39">
        <v>118.76111821158784</v>
      </c>
      <c r="O247" s="41">
        <v>0.90720000000000001</v>
      </c>
      <c r="P247" s="41">
        <v>6.2762334120278211</v>
      </c>
      <c r="Q247" s="261">
        <f t="shared" si="283"/>
        <v>6.2762334120278211</v>
      </c>
      <c r="R247" s="262">
        <f t="shared" si="284"/>
        <v>0</v>
      </c>
      <c r="S247" s="262">
        <f t="shared" si="285"/>
        <v>64.579237257142196</v>
      </c>
      <c r="T247" s="261">
        <f t="shared" si="286"/>
        <v>9.6890874900302641</v>
      </c>
      <c r="U247" s="267">
        <f t="shared" si="287"/>
        <v>0.54377424387404449</v>
      </c>
      <c r="V247" s="42" t="s">
        <v>300</v>
      </c>
      <c r="W247" s="198" t="s">
        <v>301</v>
      </c>
      <c r="X247" s="198"/>
      <c r="Y247" s="344"/>
      <c r="Z247" s="334">
        <f>5.56*W3</f>
        <v>7.0055999999999994</v>
      </c>
      <c r="AA247" s="246">
        <f>Z247</f>
        <v>7.0055999999999994</v>
      </c>
      <c r="AB247" s="246">
        <v>0</v>
      </c>
      <c r="AC247" s="246">
        <v>0</v>
      </c>
      <c r="AD247" s="308">
        <f t="shared" si="299"/>
        <v>0</v>
      </c>
      <c r="AE247" s="246">
        <v>0</v>
      </c>
      <c r="AF247" s="246">
        <v>0</v>
      </c>
      <c r="AG247" s="246">
        <v>0</v>
      </c>
      <c r="AH247" s="246">
        <v>0</v>
      </c>
      <c r="AI247" s="241">
        <f>AA247</f>
        <v>7.0055999999999994</v>
      </c>
      <c r="AJ247" s="246"/>
      <c r="AK247" s="246"/>
      <c r="AL247" s="246" t="s">
        <v>475</v>
      </c>
      <c r="AM247" s="252" t="s">
        <v>271</v>
      </c>
      <c r="AN247" s="102" t="s">
        <v>194</v>
      </c>
      <c r="AO247" s="246" t="s">
        <v>433</v>
      </c>
      <c r="AP247" s="43" t="s">
        <v>125</v>
      </c>
      <c r="AQ247" s="44">
        <v>154.47908151160868</v>
      </c>
      <c r="AR247" s="45">
        <v>952.7342592542102</v>
      </c>
      <c r="AS247" s="46">
        <v>154.47908151160868</v>
      </c>
      <c r="AT247" s="45">
        <v>952.7342592542102</v>
      </c>
      <c r="AU247" s="393">
        <v>937501.10785697366</v>
      </c>
      <c r="AV247" s="295">
        <f t="shared" si="290"/>
        <v>509788.95605600486</v>
      </c>
      <c r="AW247" s="295">
        <f t="shared" si="248"/>
        <v>1447290.0639129784</v>
      </c>
      <c r="AX247" s="39">
        <v>149373.20623868759</v>
      </c>
      <c r="AY247" s="41">
        <v>8701.5069211546906</v>
      </c>
      <c r="AZ247" s="39">
        <v>788127.90161828604</v>
      </c>
      <c r="BA247" s="47">
        <v>6.2762334120278211</v>
      </c>
      <c r="BB247" s="41">
        <f t="shared" si="291"/>
        <v>9.6890874900302624</v>
      </c>
      <c r="BC247" s="39">
        <v>160678.20403065174</v>
      </c>
      <c r="BD247" s="47">
        <v>5.8346501537827216</v>
      </c>
      <c r="BE247" s="46">
        <v>155.24763815083938</v>
      </c>
      <c r="BF247" s="45">
        <v>957.47425533139642</v>
      </c>
      <c r="BG247" s="46">
        <v>309.72671966244803</v>
      </c>
      <c r="BH247" s="45">
        <v>1910.2085145856067</v>
      </c>
      <c r="BI247" s="393">
        <v>999984.4114467653</v>
      </c>
      <c r="BJ247" s="295">
        <f t="shared" si="292"/>
        <v>512325.23270232795</v>
      </c>
      <c r="BK247" s="295">
        <f t="shared" si="297"/>
        <v>1512309.6441490932</v>
      </c>
      <c r="BL247" s="39">
        <v>150116.3603813363</v>
      </c>
      <c r="BM247" s="41">
        <v>8744.7982253890623</v>
      </c>
      <c r="BN247" s="39">
        <v>849868.051065429</v>
      </c>
      <c r="BO247" s="47">
        <v>6.6613952596941033</v>
      </c>
      <c r="BP247" s="41">
        <f t="shared" si="293"/>
        <v>10.074249337696546</v>
      </c>
      <c r="BQ247" s="39">
        <v>161477.60223576176</v>
      </c>
      <c r="BR247" s="47">
        <v>6.1927127824623032</v>
      </c>
      <c r="BS247" s="44">
        <v>142.64860208016938</v>
      </c>
      <c r="BT247" s="45">
        <v>879.77096255770903</v>
      </c>
      <c r="BU247" s="46">
        <v>452.37532174261742</v>
      </c>
      <c r="BV247" s="45">
        <v>2789.9794771433158</v>
      </c>
      <c r="BW247" s="393">
        <v>979088.68588117603</v>
      </c>
      <c r="BX247" s="295">
        <f t="shared" si="294"/>
        <v>470747.76225823967</v>
      </c>
      <c r="BY247" s="295">
        <f t="shared" si="298"/>
        <v>1449836.4481394156</v>
      </c>
      <c r="BZ247" s="39">
        <v>137933.75031544571</v>
      </c>
      <c r="CA247" s="41">
        <v>8035.1189698157168</v>
      </c>
      <c r="CB247" s="39">
        <v>841154.93556573032</v>
      </c>
      <c r="CC247" s="47">
        <v>7.0982532095448905</v>
      </c>
      <c r="CD247" s="41">
        <f t="shared" si="295"/>
        <v>10.511107287547333</v>
      </c>
      <c r="CE247" s="39">
        <v>148372.97688103031</v>
      </c>
      <c r="CF247" s="47">
        <v>6.5988342787395666</v>
      </c>
      <c r="CG247" s="196"/>
    </row>
    <row r="248" spans="1:85" s="22" customFormat="1" ht="15" customHeight="1">
      <c r="A248" s="324" t="str">
        <f t="shared" si="282"/>
        <v>Existing Residential; DHW Pipe Insulation; RES-Water Heat; MURB</v>
      </c>
      <c r="B248" s="108" t="s">
        <v>125</v>
      </c>
      <c r="C248" s="15" t="s">
        <v>160</v>
      </c>
      <c r="D248" s="15" t="s">
        <v>155</v>
      </c>
      <c r="E248" s="37">
        <v>15</v>
      </c>
      <c r="F248" s="38">
        <v>30.103020036982546</v>
      </c>
      <c r="G248" s="38">
        <v>4.8809905184671418</v>
      </c>
      <c r="H248" s="39">
        <v>14</v>
      </c>
      <c r="I248" s="40">
        <v>1</v>
      </c>
      <c r="J248" s="39">
        <v>1.1138117413683541</v>
      </c>
      <c r="K248" s="39">
        <v>15.113811741368353</v>
      </c>
      <c r="L248" s="39">
        <v>0</v>
      </c>
      <c r="M248" s="39">
        <v>15.113811741368353</v>
      </c>
      <c r="N248" s="39">
        <v>29.621706536094731</v>
      </c>
      <c r="O248" s="41">
        <v>0.83</v>
      </c>
      <c r="P248" s="41">
        <v>1.9307664448254718</v>
      </c>
      <c r="Q248" s="261">
        <f t="shared" si="283"/>
        <v>1.9307664448254718</v>
      </c>
      <c r="R248" s="262">
        <f t="shared" si="284"/>
        <v>0</v>
      </c>
      <c r="S248" s="262">
        <f t="shared" si="285"/>
        <v>64.579237257142196</v>
      </c>
      <c r="T248" s="261">
        <f t="shared" si="286"/>
        <v>6.1400926082785672</v>
      </c>
      <c r="U248" s="267">
        <f t="shared" si="287"/>
        <v>2.1801322343954399</v>
      </c>
      <c r="V248" s="42" t="s">
        <v>300</v>
      </c>
      <c r="W248" s="198" t="s">
        <v>301</v>
      </c>
      <c r="X248" s="198"/>
      <c r="Y248" s="344"/>
      <c r="Z248" s="334">
        <f>5.56*W3</f>
        <v>7.0055999999999994</v>
      </c>
      <c r="AA248" s="246">
        <f>Z248</f>
        <v>7.0055999999999994</v>
      </c>
      <c r="AB248" s="246">
        <v>0</v>
      </c>
      <c r="AC248" s="246">
        <v>0</v>
      </c>
      <c r="AD248" s="308">
        <f t="shared" si="299"/>
        <v>0</v>
      </c>
      <c r="AE248" s="246">
        <v>0</v>
      </c>
      <c r="AF248" s="246">
        <v>0</v>
      </c>
      <c r="AG248" s="246">
        <v>0</v>
      </c>
      <c r="AH248" s="246">
        <v>0</v>
      </c>
      <c r="AI248" s="241">
        <f t="shared" ref="AI248:AI250" si="300">AA248</f>
        <v>7.0055999999999994</v>
      </c>
      <c r="AJ248" s="246"/>
      <c r="AK248" s="246"/>
      <c r="AL248" s="246" t="s">
        <v>475</v>
      </c>
      <c r="AM248" s="252" t="s">
        <v>271</v>
      </c>
      <c r="AN248" s="102" t="s">
        <v>194</v>
      </c>
      <c r="AO248" s="246" t="s">
        <v>433</v>
      </c>
      <c r="AP248" s="43" t="s">
        <v>125</v>
      </c>
      <c r="AQ248" s="44">
        <v>3.9554584378454876</v>
      </c>
      <c r="AR248" s="45">
        <v>24.394893651075623</v>
      </c>
      <c r="AS248" s="46">
        <v>3.9554584378454876</v>
      </c>
      <c r="AT248" s="45">
        <v>24.394893651075623</v>
      </c>
      <c r="AU248" s="393">
        <v>24004.846683942087</v>
      </c>
      <c r="AV248" s="295">
        <f t="shared" si="290"/>
        <v>52333.740037382617</v>
      </c>
      <c r="AW248" s="295">
        <f t="shared" si="248"/>
        <v>76338.586721324711</v>
      </c>
      <c r="AX248" s="39">
        <v>12432.807058707696</v>
      </c>
      <c r="AY248" s="41">
        <v>976.36177691532976</v>
      </c>
      <c r="AZ248" s="39">
        <v>11572.039625234391</v>
      </c>
      <c r="BA248" s="47">
        <v>1.9307664448254716</v>
      </c>
      <c r="BB248" s="41">
        <f t="shared" si="291"/>
        <v>6.1400926082785663</v>
      </c>
      <c r="BC248" s="39">
        <v>14756.548087766181</v>
      </c>
      <c r="BD248" s="47">
        <v>1.626725067486694</v>
      </c>
      <c r="BE248" s="46">
        <v>4.0595742225879379</v>
      </c>
      <c r="BF248" s="45">
        <v>25.03701732298401</v>
      </c>
      <c r="BG248" s="46">
        <v>8.015032660433425</v>
      </c>
      <c r="BH248" s="45">
        <v>49.431910974059633</v>
      </c>
      <c r="BI248" s="393">
        <v>26148.616417306257</v>
      </c>
      <c r="BJ248" s="295">
        <f t="shared" si="292"/>
        <v>53711.27149122527</v>
      </c>
      <c r="BK248" s="295">
        <f t="shared" si="297"/>
        <v>79859.887908531528</v>
      </c>
      <c r="BL248" s="39">
        <v>12760.064059080554</v>
      </c>
      <c r="BM248" s="41">
        <v>1002.0616228860142</v>
      </c>
      <c r="BN248" s="39">
        <v>13388.552358225703</v>
      </c>
      <c r="BO248" s="47">
        <v>2.0492543216268491</v>
      </c>
      <c r="BP248" s="41">
        <f t="shared" si="293"/>
        <v>6.2585804850799436</v>
      </c>
      <c r="BQ248" s="39">
        <v>15144.970721549269</v>
      </c>
      <c r="BR248" s="47">
        <v>1.7265544383060623</v>
      </c>
      <c r="BS248" s="44">
        <v>3.5899704273831063</v>
      </c>
      <c r="BT248" s="45">
        <v>22.140782961739315</v>
      </c>
      <c r="BU248" s="46">
        <v>11.605003087816533</v>
      </c>
      <c r="BV248" s="45">
        <v>71.572693935798952</v>
      </c>
      <c r="BW248" s="393">
        <v>24640.265497473392</v>
      </c>
      <c r="BX248" s="295">
        <f t="shared" si="294"/>
        <v>47498.054154980317</v>
      </c>
      <c r="BY248" s="295">
        <f t="shared" si="298"/>
        <v>72138.319652453705</v>
      </c>
      <c r="BZ248" s="39">
        <v>11284.004211262065</v>
      </c>
      <c r="CA248" s="41">
        <v>886.14504756684164</v>
      </c>
      <c r="CB248" s="39">
        <v>13356.261286211327</v>
      </c>
      <c r="CC248" s="47">
        <v>2.1836455424999786</v>
      </c>
      <c r="CD248" s="41">
        <f t="shared" si="295"/>
        <v>6.3929717059530731</v>
      </c>
      <c r="CE248" s="39">
        <v>13393.029424471149</v>
      </c>
      <c r="CF248" s="47">
        <v>1.8397828240750216</v>
      </c>
      <c r="CG248" s="195"/>
    </row>
    <row r="249" spans="1:85" s="22" customFormat="1" ht="15" customHeight="1">
      <c r="A249" s="324" t="str">
        <f t="shared" si="282"/>
        <v>Existing Residential; DHW Tank Wrap; RES-Water Heat; RES-SF</v>
      </c>
      <c r="B249" s="108" t="s">
        <v>124</v>
      </c>
      <c r="C249" s="15" t="s">
        <v>160</v>
      </c>
      <c r="D249" s="15" t="s">
        <v>136</v>
      </c>
      <c r="E249" s="37">
        <v>7</v>
      </c>
      <c r="F249" s="38">
        <v>287.93152889128186</v>
      </c>
      <c r="G249" s="38">
        <v>46.686048800403604</v>
      </c>
      <c r="H249" s="39">
        <v>33</v>
      </c>
      <c r="I249" s="40">
        <v>1</v>
      </c>
      <c r="J249" s="39">
        <v>10.653466568977429</v>
      </c>
      <c r="K249" s="39">
        <v>43.653466568977429</v>
      </c>
      <c r="L249" s="39">
        <v>0</v>
      </c>
      <c r="M249" s="39">
        <v>43.653466568977429</v>
      </c>
      <c r="N249" s="39">
        <v>137.59046087752364</v>
      </c>
      <c r="O249" s="41">
        <v>0.90720000000000001</v>
      </c>
      <c r="P249" s="41">
        <v>3.075111758789983</v>
      </c>
      <c r="Q249" s="261">
        <f t="shared" si="283"/>
        <v>3.075111758789983</v>
      </c>
      <c r="R249" s="262">
        <f t="shared" si="284"/>
        <v>0</v>
      </c>
      <c r="S249" s="262">
        <f t="shared" si="285"/>
        <v>38.006589984208752</v>
      </c>
      <c r="T249" s="261">
        <f t="shared" si="286"/>
        <v>3.9245493653402357</v>
      </c>
      <c r="U249" s="267">
        <f t="shared" si="287"/>
        <v>0.27622983266289336</v>
      </c>
      <c r="V249" s="42" t="s">
        <v>300</v>
      </c>
      <c r="W249" s="198" t="s">
        <v>301</v>
      </c>
      <c r="X249" s="198"/>
      <c r="Y249" s="344"/>
      <c r="Z249" s="334">
        <f>5.56*W3</f>
        <v>7.0055999999999994</v>
      </c>
      <c r="AA249" s="246">
        <f>Z249</f>
        <v>7.0055999999999994</v>
      </c>
      <c r="AB249" s="246">
        <v>0</v>
      </c>
      <c r="AC249" s="246">
        <v>0</v>
      </c>
      <c r="AD249" s="308">
        <f t="shared" si="299"/>
        <v>0</v>
      </c>
      <c r="AE249" s="246">
        <v>0</v>
      </c>
      <c r="AF249" s="246">
        <v>0</v>
      </c>
      <c r="AG249" s="246">
        <v>0</v>
      </c>
      <c r="AH249" s="246">
        <v>0</v>
      </c>
      <c r="AI249" s="241">
        <f t="shared" si="300"/>
        <v>7.0055999999999994</v>
      </c>
      <c r="AJ249" s="246"/>
      <c r="AK249" s="246"/>
      <c r="AL249" s="246" t="s">
        <v>475</v>
      </c>
      <c r="AM249" s="252" t="s">
        <v>272</v>
      </c>
      <c r="AN249" s="102"/>
      <c r="AO249" s="246" t="s">
        <v>433</v>
      </c>
      <c r="AP249" s="43" t="s">
        <v>124</v>
      </c>
      <c r="AQ249" s="44">
        <v>150.28666364786608</v>
      </c>
      <c r="AR249" s="45">
        <v>926.87794208289949</v>
      </c>
      <c r="AS249" s="46">
        <v>150.28666364786608</v>
      </c>
      <c r="AT249" s="45">
        <v>926.87794208289949</v>
      </c>
      <c r="AU249" s="393">
        <v>442916.28540808352</v>
      </c>
      <c r="AV249" s="295">
        <f t="shared" si="290"/>
        <v>122346.69140194525</v>
      </c>
      <c r="AW249" s="295">
        <f t="shared" si="248"/>
        <v>565262.97681002878</v>
      </c>
      <c r="AX249" s="39">
        <v>144032.58162635536</v>
      </c>
      <c r="AY249" s="41">
        <v>3548.3813016245126</v>
      </c>
      <c r="AZ249" s="39">
        <v>298883.70378172817</v>
      </c>
      <c r="BA249" s="47">
        <v>3.0751117587899839</v>
      </c>
      <c r="BB249" s="41">
        <f t="shared" si="291"/>
        <v>3.924549365340237</v>
      </c>
      <c r="BC249" s="39">
        <v>154899.14452445027</v>
      </c>
      <c r="BD249" s="47">
        <v>2.8593849679923236</v>
      </c>
      <c r="BE249" s="46">
        <v>151.59996296100198</v>
      </c>
      <c r="BF249" s="45">
        <v>934.9775840281784</v>
      </c>
      <c r="BG249" s="46">
        <v>301.88662660886803</v>
      </c>
      <c r="BH249" s="45">
        <v>1861.8555261110778</v>
      </c>
      <c r="BI249" s="393">
        <v>491963.88924152678</v>
      </c>
      <c r="BJ249" s="295">
        <f t="shared" si="292"/>
        <v>123415.83367899456</v>
      </c>
      <c r="BK249" s="295">
        <f t="shared" si="297"/>
        <v>615379.7229205214</v>
      </c>
      <c r="BL249" s="39">
        <v>145291.22884047072</v>
      </c>
      <c r="BM249" s="41">
        <v>3579.3892873835593</v>
      </c>
      <c r="BN249" s="39">
        <v>346672.66040105605</v>
      </c>
      <c r="BO249" s="47">
        <v>3.3860536053535721</v>
      </c>
      <c r="BP249" s="41">
        <f t="shared" si="293"/>
        <v>4.2354912119038257</v>
      </c>
      <c r="BQ249" s="39">
        <v>156252.75059415415</v>
      </c>
      <c r="BR249" s="47">
        <v>3.1485134653362867</v>
      </c>
      <c r="BS249" s="44">
        <v>139.71984300053126</v>
      </c>
      <c r="BT249" s="45">
        <v>861.70813434194588</v>
      </c>
      <c r="BU249" s="46">
        <v>441.60646960939931</v>
      </c>
      <c r="BV249" s="45">
        <v>2723.5636604530237</v>
      </c>
      <c r="BW249" s="393">
        <v>499215.51886241324</v>
      </c>
      <c r="BX249" s="295">
        <f t="shared" si="294"/>
        <v>113744.36093922137</v>
      </c>
      <c r="BY249" s="295">
        <f t="shared" si="298"/>
        <v>612959.87980163458</v>
      </c>
      <c r="BZ249" s="39">
        <v>133905.49236589775</v>
      </c>
      <c r="CA249" s="41">
        <v>3298.8907088299529</v>
      </c>
      <c r="CB249" s="39">
        <v>365310.02649651549</v>
      </c>
      <c r="CC249" s="47">
        <v>3.7281183171957064</v>
      </c>
      <c r="CD249" s="41">
        <f t="shared" si="295"/>
        <v>4.5775559237459591</v>
      </c>
      <c r="CE249" s="39">
        <v>144008.01527261859</v>
      </c>
      <c r="CF249" s="47">
        <v>3.4665814810193631</v>
      </c>
      <c r="CG249" s="195"/>
    </row>
    <row r="250" spans="1:85" s="22" customFormat="1" ht="15" customHeight="1">
      <c r="A250" s="324" t="str">
        <f t="shared" si="282"/>
        <v>Existing Residential; DHW Tank Wrap; RES-Water Heat; MURB</v>
      </c>
      <c r="B250" s="108" t="s">
        <v>124</v>
      </c>
      <c r="C250" s="15" t="s">
        <v>160</v>
      </c>
      <c r="D250" s="15" t="s">
        <v>155</v>
      </c>
      <c r="E250" s="37">
        <v>7</v>
      </c>
      <c r="F250" s="38">
        <v>243.78697430078128</v>
      </c>
      <c r="G250" s="38">
        <v>39.528323358455339</v>
      </c>
      <c r="H250" s="39">
        <v>33</v>
      </c>
      <c r="I250" s="40">
        <v>1</v>
      </c>
      <c r="J250" s="39">
        <v>9.0201180491289072</v>
      </c>
      <c r="K250" s="39">
        <v>42.020118049128911</v>
      </c>
      <c r="L250" s="39">
        <v>0</v>
      </c>
      <c r="M250" s="39">
        <v>42.020118049128911</v>
      </c>
      <c r="N250" s="39">
        <v>116.49562060515679</v>
      </c>
      <c r="O250" s="41">
        <v>0.83</v>
      </c>
      <c r="P250" s="41">
        <v>2.655618006286399</v>
      </c>
      <c r="Q250" s="261">
        <f t="shared" si="283"/>
        <v>2.655618006286399</v>
      </c>
      <c r="R250" s="262">
        <f t="shared" si="284"/>
        <v>0</v>
      </c>
      <c r="S250" s="262">
        <f t="shared" si="285"/>
        <v>38.006589984208752</v>
      </c>
      <c r="T250" s="261">
        <f t="shared" si="286"/>
        <v>3.5220109590455286</v>
      </c>
      <c r="U250" s="267">
        <f t="shared" si="287"/>
        <v>0.32624908804963582</v>
      </c>
      <c r="V250" s="42" t="s">
        <v>300</v>
      </c>
      <c r="W250" s="198" t="s">
        <v>301</v>
      </c>
      <c r="X250" s="198"/>
      <c r="Y250" s="344"/>
      <c r="Z250" s="334">
        <f>5.56*W3</f>
        <v>7.0055999999999994</v>
      </c>
      <c r="AA250" s="246">
        <f>Z250</f>
        <v>7.0055999999999994</v>
      </c>
      <c r="AB250" s="246">
        <v>0</v>
      </c>
      <c r="AC250" s="246">
        <v>0</v>
      </c>
      <c r="AD250" s="308">
        <f t="shared" si="299"/>
        <v>0</v>
      </c>
      <c r="AE250" s="246">
        <v>0</v>
      </c>
      <c r="AF250" s="246">
        <v>0</v>
      </c>
      <c r="AG250" s="246">
        <v>0</v>
      </c>
      <c r="AH250" s="246">
        <v>0</v>
      </c>
      <c r="AI250" s="241">
        <f t="shared" si="300"/>
        <v>7.0055999999999994</v>
      </c>
      <c r="AJ250" s="246"/>
      <c r="AK250" s="246"/>
      <c r="AL250" s="246" t="s">
        <v>475</v>
      </c>
      <c r="AM250" s="252" t="s">
        <v>272</v>
      </c>
      <c r="AN250" s="102"/>
      <c r="AO250" s="246" t="s">
        <v>433</v>
      </c>
      <c r="AP250" s="43" t="s">
        <v>124</v>
      </c>
      <c r="AQ250" s="44">
        <v>26.026623139599739</v>
      </c>
      <c r="AR250" s="45">
        <v>160.51659082353916</v>
      </c>
      <c r="AS250" s="46">
        <v>26.026623139599739</v>
      </c>
      <c r="AT250" s="45">
        <v>160.51659082353916</v>
      </c>
      <c r="AU250" s="393">
        <v>76704.179618477196</v>
      </c>
      <c r="AV250" s="295">
        <f t="shared" si="290"/>
        <v>25024.668650123636</v>
      </c>
      <c r="AW250" s="295">
        <f t="shared" si="248"/>
        <v>101728.84826860084</v>
      </c>
      <c r="AX250" s="39">
        <v>28883.73984394686</v>
      </c>
      <c r="AY250" s="41">
        <v>793.28882715989687</v>
      </c>
      <c r="AZ250" s="39">
        <v>47820.439774530336</v>
      </c>
      <c r="BA250" s="47">
        <v>2.6556180062863994</v>
      </c>
      <c r="BB250" s="41">
        <f t="shared" si="291"/>
        <v>3.5220109590455291</v>
      </c>
      <c r="BC250" s="39">
        <v>33334.090164313886</v>
      </c>
      <c r="BD250" s="47">
        <v>2.3010731428510249</v>
      </c>
      <c r="BE250" s="46">
        <v>26.771586443758622</v>
      </c>
      <c r="BF250" s="45">
        <v>165.11107737028917</v>
      </c>
      <c r="BG250" s="46">
        <v>52.798209583358357</v>
      </c>
      <c r="BH250" s="45">
        <v>325.6276681938283</v>
      </c>
      <c r="BI250" s="393">
        <v>86877.684735485629</v>
      </c>
      <c r="BJ250" s="295">
        <f t="shared" si="292"/>
        <v>25740.952885042792</v>
      </c>
      <c r="BK250" s="295">
        <f t="shared" si="297"/>
        <v>112618.63762052842</v>
      </c>
      <c r="BL250" s="39">
        <v>29710.482758507816</v>
      </c>
      <c r="BM250" s="41">
        <v>815.9952329300022</v>
      </c>
      <c r="BN250" s="39">
        <v>57167.201976977813</v>
      </c>
      <c r="BO250" s="47">
        <v>2.9241424800008531</v>
      </c>
      <c r="BP250" s="41">
        <f t="shared" si="293"/>
        <v>3.7905354327599823</v>
      </c>
      <c r="BQ250" s="39">
        <v>34288.216015245132</v>
      </c>
      <c r="BR250" s="47">
        <v>2.5337475912091287</v>
      </c>
      <c r="BS250" s="44">
        <v>23.710717201144085</v>
      </c>
      <c r="BT250" s="45">
        <v>146.23347295938248</v>
      </c>
      <c r="BU250" s="46">
        <v>76.508926784502435</v>
      </c>
      <c r="BV250" s="45">
        <v>471.86114115321078</v>
      </c>
      <c r="BW250" s="393">
        <v>84717.80196692665</v>
      </c>
      <c r="BX250" s="295">
        <f t="shared" si="294"/>
        <v>22797.918816929654</v>
      </c>
      <c r="BY250" s="295">
        <f t="shared" si="298"/>
        <v>107515.7207838563</v>
      </c>
      <c r="BZ250" s="39">
        <v>26313.601402604931</v>
      </c>
      <c r="CA250" s="41">
        <v>722.7002496146664</v>
      </c>
      <c r="CB250" s="39">
        <v>58404.20056432172</v>
      </c>
      <c r="CC250" s="47">
        <v>3.2195441692196476</v>
      </c>
      <c r="CD250" s="41">
        <f t="shared" si="295"/>
        <v>4.0859371219787768</v>
      </c>
      <c r="CE250" s="39">
        <v>30367.949802943211</v>
      </c>
      <c r="CF250" s="47">
        <v>2.7897109458049729</v>
      </c>
      <c r="CG250" s="195"/>
    </row>
    <row r="251" spans="1:85" s="22" customFormat="1" ht="15" customHeight="1">
      <c r="A251" s="324" t="str">
        <f t="shared" si="282"/>
        <v>Existing Residential; Certified Wood Stove; RES-HVAC/Shell; RES-SF</v>
      </c>
      <c r="B251" s="36" t="s">
        <v>162</v>
      </c>
      <c r="C251" s="15" t="s">
        <v>139</v>
      </c>
      <c r="D251" s="15" t="s">
        <v>136</v>
      </c>
      <c r="E251" s="37">
        <v>25</v>
      </c>
      <c r="F251" s="38">
        <v>11685.717000000001</v>
      </c>
      <c r="G251" s="38">
        <v>1822.5919817164115</v>
      </c>
      <c r="H251" s="39">
        <v>2650</v>
      </c>
      <c r="I251" s="40">
        <v>0.27169811320754716</v>
      </c>
      <c r="J251" s="39">
        <v>432.37152900000001</v>
      </c>
      <c r="K251" s="39">
        <v>1152.371529</v>
      </c>
      <c r="L251" s="39">
        <v>1930</v>
      </c>
      <c r="M251" s="39">
        <v>3082.371529</v>
      </c>
      <c r="N251" s="39">
        <v>16919.397198052578</v>
      </c>
      <c r="O251" s="41">
        <v>0.66</v>
      </c>
      <c r="P251" s="41">
        <v>5.1191656268814825</v>
      </c>
      <c r="Q251" s="261">
        <f>N251*O251/(O251*H251+J251)</f>
        <v>5.1191656268814825</v>
      </c>
      <c r="R251" s="262">
        <f t="shared" si="284"/>
        <v>0</v>
      </c>
      <c r="S251" s="262">
        <f t="shared" si="285"/>
        <v>75.587809425069125</v>
      </c>
      <c r="T251" s="261">
        <f t="shared" si="286"/>
        <v>5.1420356210834397</v>
      </c>
      <c r="U251" s="267">
        <f t="shared" si="287"/>
        <v>4.4675237858809594E-3</v>
      </c>
      <c r="V251" s="42" t="s">
        <v>302</v>
      </c>
      <c r="W251" s="198" t="s">
        <v>303</v>
      </c>
      <c r="X251" s="198"/>
      <c r="Y251" s="344"/>
      <c r="Z251" s="343">
        <f>5.06*W3</f>
        <v>6.3755999999999995</v>
      </c>
      <c r="AA251" s="249">
        <f>2.88*W3</f>
        <v>3.6288</v>
      </c>
      <c r="AB251" s="249">
        <v>0</v>
      </c>
      <c r="AC251" s="249">
        <v>0</v>
      </c>
      <c r="AD251" s="308">
        <f t="shared" si="299"/>
        <v>0</v>
      </c>
      <c r="AE251" s="246">
        <f>1.34*W3</f>
        <v>1.6884000000000001</v>
      </c>
      <c r="AF251" s="246">
        <v>0</v>
      </c>
      <c r="AG251" s="246">
        <f>0.84*W3</f>
        <v>1.0584</v>
      </c>
      <c r="AH251" s="246">
        <v>0</v>
      </c>
      <c r="AI251" s="241">
        <f t="shared" ref="AI251:AI257" si="301">AA251+AE251+AG251</f>
        <v>6.3755999999999995</v>
      </c>
      <c r="AJ251" s="249"/>
      <c r="AK251" s="249"/>
      <c r="AL251" s="246" t="s">
        <v>469</v>
      </c>
      <c r="AM251" s="252" t="s">
        <v>276</v>
      </c>
      <c r="AN251" s="104"/>
      <c r="AO251" s="246" t="s">
        <v>434</v>
      </c>
      <c r="AP251" s="43" t="s">
        <v>162</v>
      </c>
      <c r="AQ251" s="44">
        <v>98.348062945365655</v>
      </c>
      <c r="AR251" s="45">
        <v>630.56769842442509</v>
      </c>
      <c r="AS251" s="46">
        <v>98.348062945365655</v>
      </c>
      <c r="AT251" s="45">
        <v>630.56769842442509</v>
      </c>
      <c r="AU251" s="393">
        <v>940515.20810378972</v>
      </c>
      <c r="AV251" s="295">
        <f t="shared" si="290"/>
        <v>4078.7596531825902</v>
      </c>
      <c r="AW251" s="295">
        <f t="shared" si="248"/>
        <v>944593.9677569723</v>
      </c>
      <c r="AX251" s="39">
        <v>178345.4607449547</v>
      </c>
      <c r="AY251" s="41">
        <v>81.758406751881054</v>
      </c>
      <c r="AZ251" s="39">
        <v>762169.74735883507</v>
      </c>
      <c r="BA251" s="47">
        <v>5.2735584307849921</v>
      </c>
      <c r="BB251" s="41">
        <f t="shared" si="291"/>
        <v>5.2964284249869493</v>
      </c>
      <c r="BC251" s="39">
        <v>94216.060197269107</v>
      </c>
      <c r="BD251" s="47">
        <v>9.9825359512438094</v>
      </c>
      <c r="BE251" s="46">
        <v>109.48324873894832</v>
      </c>
      <c r="BF251" s="45">
        <v>701.96197165264675</v>
      </c>
      <c r="BG251" s="46">
        <v>207.83131168431396</v>
      </c>
      <c r="BH251" s="45">
        <v>1332.5296700770718</v>
      </c>
      <c r="BI251" s="393">
        <v>1099740.6997074317</v>
      </c>
      <c r="BJ251" s="295">
        <f t="shared" si="292"/>
        <v>4540.5658665981764</v>
      </c>
      <c r="BK251" s="295">
        <f t="shared" si="297"/>
        <v>1104281.2655740299</v>
      </c>
      <c r="BL251" s="39">
        <v>198538.12932796878</v>
      </c>
      <c r="BM251" s="41">
        <v>91.015274880287848</v>
      </c>
      <c r="BN251" s="39">
        <v>901202.57037946291</v>
      </c>
      <c r="BO251" s="47">
        <v>5.5391914058520708</v>
      </c>
      <c r="BP251" s="41">
        <f t="shared" si="293"/>
        <v>5.5620614000540289</v>
      </c>
      <c r="BQ251" s="39">
        <v>104883.4114761526</v>
      </c>
      <c r="BR251" s="47">
        <v>10.485363550149971</v>
      </c>
      <c r="BS251" s="44">
        <v>106.47091239462884</v>
      </c>
      <c r="BT251" s="45">
        <v>682.6480986730337</v>
      </c>
      <c r="BU251" s="46">
        <v>314.3022240789428</v>
      </c>
      <c r="BV251" s="45">
        <v>2015.1777687501055</v>
      </c>
      <c r="BW251" s="393">
        <v>1125205.6108691781</v>
      </c>
      <c r="BX251" s="295">
        <f t="shared" si="294"/>
        <v>4415.636146834896</v>
      </c>
      <c r="BY251" s="295">
        <f t="shared" si="298"/>
        <v>1129621.2470160129</v>
      </c>
      <c r="BZ251" s="39">
        <v>193075.52541735716</v>
      </c>
      <c r="CA251" s="41">
        <v>88.511068770512566</v>
      </c>
      <c r="CB251" s="39">
        <v>932130.08545182087</v>
      </c>
      <c r="CC251" s="47">
        <v>5.8278003306576736</v>
      </c>
      <c r="CD251" s="41">
        <f t="shared" si="295"/>
        <v>5.8506703248596308</v>
      </c>
      <c r="CE251" s="39">
        <v>101997.63565249972</v>
      </c>
      <c r="CF251" s="47">
        <v>11.031683270607282</v>
      </c>
      <c r="CG251" s="196"/>
    </row>
    <row r="252" spans="1:85" s="22" customFormat="1" ht="15" customHeight="1">
      <c r="A252" s="324" t="str">
        <f t="shared" si="282"/>
        <v>Existing Residential; Certified Wood Boiler or Furnace; RES-HVAC/Shell; RES-SF</v>
      </c>
      <c r="B252" s="36" t="s">
        <v>163</v>
      </c>
      <c r="C252" s="15" t="s">
        <v>139</v>
      </c>
      <c r="D252" s="15" t="s">
        <v>136</v>
      </c>
      <c r="E252" s="37">
        <v>25</v>
      </c>
      <c r="F252" s="38">
        <v>15446.675999999999</v>
      </c>
      <c r="G252" s="38">
        <v>2409.1793273593166</v>
      </c>
      <c r="H252" s="39">
        <v>12398</v>
      </c>
      <c r="I252" s="40">
        <v>0.14518470721084045</v>
      </c>
      <c r="J252" s="39">
        <v>571.5270119999999</v>
      </c>
      <c r="K252" s="39">
        <v>2371.527012</v>
      </c>
      <c r="L252" s="39">
        <v>10598</v>
      </c>
      <c r="M252" s="39">
        <v>12969.527012</v>
      </c>
      <c r="N252" s="39">
        <v>22364.776302012619</v>
      </c>
      <c r="O252" s="41">
        <v>0.66</v>
      </c>
      <c r="P252" s="41">
        <v>1.6861324319946671</v>
      </c>
      <c r="Q252" s="261">
        <f t="shared" si="283"/>
        <v>1.6861324319946671</v>
      </c>
      <c r="R252" s="262">
        <f t="shared" si="284"/>
        <v>0</v>
      </c>
      <c r="S252" s="262">
        <f t="shared" si="285"/>
        <v>729.28791623159577</v>
      </c>
      <c r="T252" s="261">
        <f t="shared" si="286"/>
        <v>1.741115141913802</v>
      </c>
      <c r="U252" s="267">
        <f t="shared" si="287"/>
        <v>3.2608773116410111E-2</v>
      </c>
      <c r="V252" s="42" t="s">
        <v>304</v>
      </c>
      <c r="W252" s="198" t="s">
        <v>305</v>
      </c>
      <c r="X252" s="198"/>
      <c r="Y252" s="344"/>
      <c r="Z252" s="343">
        <f>48.82*W3</f>
        <v>61.513199999999998</v>
      </c>
      <c r="AA252" s="249">
        <f>27.61*W3</f>
        <v>34.788600000000002</v>
      </c>
      <c r="AB252" s="249">
        <v>0</v>
      </c>
      <c r="AC252" s="249">
        <v>0</v>
      </c>
      <c r="AD252" s="308">
        <f t="shared" si="299"/>
        <v>0</v>
      </c>
      <c r="AE252" s="246">
        <f>13.88*W3</f>
        <v>17.488800000000001</v>
      </c>
      <c r="AF252" s="246">
        <v>0</v>
      </c>
      <c r="AG252" s="246">
        <f>7.33*W3</f>
        <v>9.2357999999999993</v>
      </c>
      <c r="AH252" s="246">
        <v>0</v>
      </c>
      <c r="AI252" s="241">
        <f t="shared" si="301"/>
        <v>61.513199999999998</v>
      </c>
      <c r="AJ252" s="249"/>
      <c r="AK252" s="249"/>
      <c r="AL252" s="246" t="s">
        <v>473</v>
      </c>
      <c r="AM252" s="252" t="s">
        <v>275</v>
      </c>
      <c r="AN252" s="104"/>
      <c r="AO252" s="246" t="s">
        <v>434</v>
      </c>
      <c r="AP252" s="43" t="s">
        <v>163</v>
      </c>
      <c r="AQ252" s="44">
        <v>134.3964072819052</v>
      </c>
      <c r="AR252" s="45">
        <v>861.69499101716667</v>
      </c>
      <c r="AS252" s="46">
        <v>134.3964072819052</v>
      </c>
      <c r="AT252" s="45">
        <v>861.69499101716667</v>
      </c>
      <c r="AU252" s="393">
        <v>1304331.0588816805</v>
      </c>
      <c r="AV252" s="295">
        <f t="shared" si="290"/>
        <v>40683.428876614817</v>
      </c>
      <c r="AW252" s="295">
        <f t="shared" si="248"/>
        <v>1345014.4877582954</v>
      </c>
      <c r="AX252" s="39">
        <v>739931.31543442281</v>
      </c>
      <c r="AY252" s="41">
        <v>84.522940161244478</v>
      </c>
      <c r="AZ252" s="39">
        <v>564399.74344725767</v>
      </c>
      <c r="BA252" s="47">
        <v>1.7627731543108047</v>
      </c>
      <c r="BB252" s="41">
        <f t="shared" si="291"/>
        <v>1.8177558642299396</v>
      </c>
      <c r="BC252" s="39">
        <v>200448.43572605093</v>
      </c>
      <c r="BD252" s="47">
        <v>6.5070652916657581</v>
      </c>
      <c r="BE252" s="46">
        <v>161.65158448172218</v>
      </c>
      <c r="BF252" s="45">
        <v>1036.4440795333867</v>
      </c>
      <c r="BG252" s="46">
        <v>296.04799176362735</v>
      </c>
      <c r="BH252" s="45">
        <v>1898.1390705505532</v>
      </c>
      <c r="BI252" s="393">
        <v>1646713.2310663094</v>
      </c>
      <c r="BJ252" s="295">
        <f t="shared" si="292"/>
        <v>48933.902870331323</v>
      </c>
      <c r="BK252" s="295">
        <f t="shared" si="297"/>
        <v>1695647.1339366408</v>
      </c>
      <c r="BL252" s="39">
        <v>889987.10580653755</v>
      </c>
      <c r="BM252" s="41">
        <v>101.66393193427689</v>
      </c>
      <c r="BN252" s="39">
        <v>756726.12525977183</v>
      </c>
      <c r="BO252" s="47">
        <v>1.8502663918641833</v>
      </c>
      <c r="BP252" s="41">
        <f t="shared" si="293"/>
        <v>1.9052491017833184</v>
      </c>
      <c r="BQ252" s="39">
        <v>241098.76072826702</v>
      </c>
      <c r="BR252" s="47">
        <v>6.8300360652714236</v>
      </c>
      <c r="BS252" s="44">
        <v>169.25106774077349</v>
      </c>
      <c r="BT252" s="45">
        <v>1085.1688690652047</v>
      </c>
      <c r="BU252" s="46">
        <v>465.29905950440093</v>
      </c>
      <c r="BV252" s="45">
        <v>2983.3079396157582</v>
      </c>
      <c r="BW252" s="393">
        <v>1812708.044513124</v>
      </c>
      <c r="BX252" s="295">
        <f t="shared" si="294"/>
        <v>51234.35898312107</v>
      </c>
      <c r="BY252" s="295">
        <f t="shared" si="298"/>
        <v>1863942.4034962452</v>
      </c>
      <c r="BZ252" s="39">
        <v>931826.73350355553</v>
      </c>
      <c r="CA252" s="41">
        <v>106.44330574159781</v>
      </c>
      <c r="CB252" s="39">
        <v>880881.31100956851</v>
      </c>
      <c r="CC252" s="47">
        <v>1.9453273654186349</v>
      </c>
      <c r="CD252" s="41">
        <f t="shared" si="295"/>
        <v>2.0003100753377701</v>
      </c>
      <c r="CE252" s="39">
        <v>252433.17481277388</v>
      </c>
      <c r="CF252" s="47">
        <v>7.180942227017443</v>
      </c>
      <c r="CG252" s="196"/>
    </row>
    <row r="253" spans="1:85" s="22" customFormat="1" ht="15" customHeight="1">
      <c r="A253" s="324" t="str">
        <f t="shared" si="282"/>
        <v>Existing Residential; Certified Pellet Stove; RES-HVAC/Shell; RES-SF</v>
      </c>
      <c r="B253" s="36" t="s">
        <v>164</v>
      </c>
      <c r="C253" s="15" t="s">
        <v>139</v>
      </c>
      <c r="D253" s="15" t="s">
        <v>136</v>
      </c>
      <c r="E253" s="37">
        <v>25</v>
      </c>
      <c r="F253" s="38">
        <v>10025.120999999999</v>
      </c>
      <c r="G253" s="38">
        <v>1563.5929870915761</v>
      </c>
      <c r="H253" s="39">
        <v>4200</v>
      </c>
      <c r="I253" s="40">
        <v>0.17142857142857143</v>
      </c>
      <c r="J253" s="39">
        <v>370.92947699999996</v>
      </c>
      <c r="K253" s="39">
        <v>1090.9294769999999</v>
      </c>
      <c r="L253" s="39">
        <v>3480</v>
      </c>
      <c r="M253" s="39">
        <v>4570.9294769999997</v>
      </c>
      <c r="N253" s="39">
        <v>14515.070333941685</v>
      </c>
      <c r="O253" s="41">
        <v>0.66</v>
      </c>
      <c r="P253" s="41">
        <v>3.0480946169831964</v>
      </c>
      <c r="Q253" s="261">
        <f t="shared" si="283"/>
        <v>3.0480946169831964</v>
      </c>
      <c r="R253" s="262">
        <f t="shared" si="284"/>
        <v>0</v>
      </c>
      <c r="S253" s="262">
        <f t="shared" si="285"/>
        <v>75.587809425069125</v>
      </c>
      <c r="T253" s="261">
        <f t="shared" si="286"/>
        <v>3.0639676916371541</v>
      </c>
      <c r="U253" s="267">
        <f t="shared" si="287"/>
        <v>5.2075400040133384E-3</v>
      </c>
      <c r="V253" s="42" t="s">
        <v>273</v>
      </c>
      <c r="W253" s="198" t="s">
        <v>289</v>
      </c>
      <c r="X253" s="198"/>
      <c r="Y253" s="344"/>
      <c r="Z253" s="343">
        <f>5.06*W3</f>
        <v>6.3755999999999995</v>
      </c>
      <c r="AA253" s="249">
        <f>2.88*W3</f>
        <v>3.6288</v>
      </c>
      <c r="AB253" s="249">
        <v>0</v>
      </c>
      <c r="AC253" s="249">
        <v>0</v>
      </c>
      <c r="AD253" s="308">
        <f t="shared" si="299"/>
        <v>0</v>
      </c>
      <c r="AE253" s="246">
        <f>1.34*W3</f>
        <v>1.6884000000000001</v>
      </c>
      <c r="AF253" s="246">
        <v>0</v>
      </c>
      <c r="AG253" s="246">
        <f>0.84*W3</f>
        <v>1.0584</v>
      </c>
      <c r="AH253" s="246">
        <v>0</v>
      </c>
      <c r="AI253" s="241">
        <f t="shared" si="301"/>
        <v>6.3755999999999995</v>
      </c>
      <c r="AJ253" s="249"/>
      <c r="AK253" s="249"/>
      <c r="AL253" s="246" t="s">
        <v>469</v>
      </c>
      <c r="AM253" s="252" t="s">
        <v>276</v>
      </c>
      <c r="AN253" s="104"/>
      <c r="AO253" s="246" t="s">
        <v>434</v>
      </c>
      <c r="AP253" s="43" t="s">
        <v>164</v>
      </c>
      <c r="AQ253" s="44">
        <v>107.78178393835704</v>
      </c>
      <c r="AR253" s="45">
        <v>691.05287277334264</v>
      </c>
      <c r="AS253" s="46">
        <v>107.78178393835704</v>
      </c>
      <c r="AT253" s="45">
        <v>691.05287277334264</v>
      </c>
      <c r="AU253" s="393">
        <v>1000554.6120368546</v>
      </c>
      <c r="AV253" s="295">
        <f t="shared" si="290"/>
        <v>5210.4281683820045</v>
      </c>
      <c r="AW253" s="295">
        <f t="shared" si="248"/>
        <v>1005765.0402052366</v>
      </c>
      <c r="AX253" s="39">
        <v>328255.75901155517</v>
      </c>
      <c r="AY253" s="41">
        <v>104.44261044154354</v>
      </c>
      <c r="AZ253" s="39">
        <v>672298.8530252995</v>
      </c>
      <c r="BA253" s="47">
        <v>3.0480946169831964</v>
      </c>
      <c r="BB253" s="41">
        <f t="shared" si="291"/>
        <v>3.0639676916371541</v>
      </c>
      <c r="BC253" s="39">
        <v>113939.52238550782</v>
      </c>
      <c r="BD253" s="47">
        <v>8.7814534508187219</v>
      </c>
      <c r="BE253" s="46">
        <v>127.68539761798051</v>
      </c>
      <c r="BF253" s="45">
        <v>818.66673208505256</v>
      </c>
      <c r="BG253" s="46">
        <v>235.46718155633755</v>
      </c>
      <c r="BH253" s="45">
        <v>1509.7196048583951</v>
      </c>
      <c r="BI253" s="393">
        <v>1246829.1512120026</v>
      </c>
      <c r="BJ253" s="295">
        <f t="shared" si="292"/>
        <v>6172.616263433536</v>
      </c>
      <c r="BK253" s="295">
        <f t="shared" si="297"/>
        <v>1253001.7674754362</v>
      </c>
      <c r="BL253" s="39">
        <v>388873.38452065067</v>
      </c>
      <c r="BM253" s="41">
        <v>123.72959284210204</v>
      </c>
      <c r="BN253" s="39">
        <v>857955.76669135201</v>
      </c>
      <c r="BO253" s="47">
        <v>3.2062599314913802</v>
      </c>
      <c r="BP253" s="41">
        <f t="shared" si="293"/>
        <v>3.2221330061453384</v>
      </c>
      <c r="BQ253" s="39">
        <v>134980.26000865732</v>
      </c>
      <c r="BR253" s="47">
        <v>9.2371221623964406</v>
      </c>
      <c r="BS253" s="44">
        <v>129.25524248638408</v>
      </c>
      <c r="BT253" s="45">
        <v>828.73193760010702</v>
      </c>
      <c r="BU253" s="46">
        <v>364.72242404272157</v>
      </c>
      <c r="BV253" s="45">
        <v>2338.451542458502</v>
      </c>
      <c r="BW253" s="393">
        <v>1329806.3329986681</v>
      </c>
      <c r="BX253" s="295">
        <f t="shared" si="294"/>
        <v>6248.5063036930096</v>
      </c>
      <c r="BY253" s="295">
        <f t="shared" si="298"/>
        <v>1336054.839302361</v>
      </c>
      <c r="BZ253" s="39">
        <v>393654.4393517985</v>
      </c>
      <c r="CA253" s="41">
        <v>125.25080254983986</v>
      </c>
      <c r="CB253" s="39">
        <v>936151.89364686958</v>
      </c>
      <c r="CC253" s="47">
        <v>3.3781057700971475</v>
      </c>
      <c r="CD253" s="41">
        <f t="shared" si="295"/>
        <v>3.3939788447511052</v>
      </c>
      <c r="CE253" s="39">
        <v>136639.79251952705</v>
      </c>
      <c r="CF253" s="47">
        <v>9.7322039830280538</v>
      </c>
      <c r="CG253" s="195"/>
    </row>
    <row r="254" spans="1:85" s="22" customFormat="1" ht="15" customHeight="1">
      <c r="A254" s="324" t="str">
        <f t="shared" si="282"/>
        <v>Existing Residential; Certified Pellet Boiler or Furnace Supplemented by Baseboard Heat (Whole Home); RES-HVAC/Shell; RES-SF</v>
      </c>
      <c r="B254" s="36" t="s">
        <v>165</v>
      </c>
      <c r="C254" s="15" t="s">
        <v>139</v>
      </c>
      <c r="D254" s="15" t="s">
        <v>136</v>
      </c>
      <c r="E254" s="37">
        <v>25</v>
      </c>
      <c r="F254" s="38">
        <v>15403.035</v>
      </c>
      <c r="G254" s="38">
        <v>2402.3727500073164</v>
      </c>
      <c r="H254" s="39">
        <v>6662</v>
      </c>
      <c r="I254" s="40">
        <v>0.27018913239267489</v>
      </c>
      <c r="J254" s="39">
        <v>569.91229499999997</v>
      </c>
      <c r="K254" s="39">
        <v>2369.9122950000001</v>
      </c>
      <c r="L254" s="39">
        <v>4862</v>
      </c>
      <c r="M254" s="39">
        <v>7231.9122950000001</v>
      </c>
      <c r="N254" s="39">
        <v>22301.589814343934</v>
      </c>
      <c r="O254" s="41">
        <v>0.66</v>
      </c>
      <c r="P254" s="41">
        <v>2.9634681429216641</v>
      </c>
      <c r="Q254" s="261">
        <f t="shared" si="283"/>
        <v>2.9634681429216641</v>
      </c>
      <c r="R254" s="262">
        <f t="shared" si="284"/>
        <v>0</v>
      </c>
      <c r="S254" s="262">
        <f t="shared" si="285"/>
        <v>729.28791623159577</v>
      </c>
      <c r="T254" s="261">
        <f t="shared" si="286"/>
        <v>3.0603769967191634</v>
      </c>
      <c r="U254" s="267">
        <f t="shared" si="287"/>
        <v>3.2701162666104303E-2</v>
      </c>
      <c r="V254" s="42" t="s">
        <v>304</v>
      </c>
      <c r="W254" s="198" t="s">
        <v>388</v>
      </c>
      <c r="X254" s="198"/>
      <c r="Y254" s="344"/>
      <c r="Z254" s="343">
        <f>48.82*W3</f>
        <v>61.513199999999998</v>
      </c>
      <c r="AA254" s="249">
        <f>27.61*W3</f>
        <v>34.788600000000002</v>
      </c>
      <c r="AB254" s="249">
        <v>0</v>
      </c>
      <c r="AC254" s="249">
        <v>0</v>
      </c>
      <c r="AD254" s="308">
        <f t="shared" si="299"/>
        <v>0</v>
      </c>
      <c r="AE254" s="249">
        <f>13.88*W3</f>
        <v>17.488800000000001</v>
      </c>
      <c r="AF254" s="249">
        <v>0</v>
      </c>
      <c r="AG254" s="249">
        <f>7.33*W3</f>
        <v>9.2357999999999993</v>
      </c>
      <c r="AH254" s="249">
        <v>0</v>
      </c>
      <c r="AI254" s="249">
        <f t="shared" si="301"/>
        <v>61.513199999999998</v>
      </c>
      <c r="AJ254" s="249"/>
      <c r="AK254" s="249"/>
      <c r="AL254" s="246" t="s">
        <v>473</v>
      </c>
      <c r="AM254" s="252" t="s">
        <v>274</v>
      </c>
      <c r="AN254" s="104"/>
      <c r="AO254" s="246" t="s">
        <v>433</v>
      </c>
      <c r="AP254" s="43" t="s">
        <v>165</v>
      </c>
      <c r="AQ254" s="44">
        <v>164.62886352999135</v>
      </c>
      <c r="AR254" s="45">
        <v>1055.5331794181222</v>
      </c>
      <c r="AS254" s="46">
        <v>164.62886352999135</v>
      </c>
      <c r="AT254" s="45">
        <v>1055.5331794181222</v>
      </c>
      <c r="AU254" s="393">
        <v>1528274.6551451231</v>
      </c>
      <c r="AV254" s="295">
        <f t="shared" si="290"/>
        <v>49976.358096385127</v>
      </c>
      <c r="AW254" s="295">
        <f t="shared" si="248"/>
        <v>1578251.0132415083</v>
      </c>
      <c r="AX254" s="39">
        <v>515704.76935797493</v>
      </c>
      <c r="AY254" s="41">
        <v>103.8297125266588</v>
      </c>
      <c r="AZ254" s="39">
        <v>1012569.8857871483</v>
      </c>
      <c r="BA254" s="47">
        <v>2.9634681429216641</v>
      </c>
      <c r="BB254" s="41">
        <f t="shared" si="291"/>
        <v>3.0603769967191634</v>
      </c>
      <c r="BC254" s="39">
        <v>246067.31230324419</v>
      </c>
      <c r="BD254" s="47">
        <v>6.2107991542644818</v>
      </c>
      <c r="BE254" s="46">
        <v>191.78033441861672</v>
      </c>
      <c r="BF254" s="45">
        <v>1229.6173453318856</v>
      </c>
      <c r="BG254" s="46">
        <v>356.4091979486081</v>
      </c>
      <c r="BH254" s="45">
        <v>2285.1505247500081</v>
      </c>
      <c r="BI254" s="393">
        <v>1872706.7937535692</v>
      </c>
      <c r="BJ254" s="295">
        <f t="shared" si="292"/>
        <v>58218.725825093388</v>
      </c>
      <c r="BK254" s="295">
        <f t="shared" si="297"/>
        <v>1930925.5195786627</v>
      </c>
      <c r="BL254" s="39">
        <v>600757.55252195196</v>
      </c>
      <c r="BM254" s="41">
        <v>120.95386291313304</v>
      </c>
      <c r="BN254" s="39">
        <v>1271949.2412316173</v>
      </c>
      <c r="BO254" s="47">
        <v>3.1172421984410086</v>
      </c>
      <c r="BP254" s="41">
        <f t="shared" si="293"/>
        <v>3.2141510522385079</v>
      </c>
      <c r="BQ254" s="39">
        <v>286650.04684557853</v>
      </c>
      <c r="BR254" s="47">
        <v>6.5330768801946739</v>
      </c>
      <c r="BS254" s="44">
        <v>191.23310373539212</v>
      </c>
      <c r="BT254" s="45">
        <v>1226.1087252117329</v>
      </c>
      <c r="BU254" s="46">
        <v>547.64230168400024</v>
      </c>
      <c r="BV254" s="45">
        <v>3511.2592499617413</v>
      </c>
      <c r="BW254" s="393">
        <v>1967448.186506666</v>
      </c>
      <c r="BX254" s="295">
        <f t="shared" si="294"/>
        <v>58052.603093029596</v>
      </c>
      <c r="BY254" s="295">
        <f t="shared" si="298"/>
        <v>2025500.7895996957</v>
      </c>
      <c r="BZ254" s="39">
        <v>599043.33627076261</v>
      </c>
      <c r="CA254" s="41">
        <v>120.60873021096492</v>
      </c>
      <c r="CB254" s="39">
        <v>1368404.8502359034</v>
      </c>
      <c r="CC254" s="47">
        <v>3.2843169556891554</v>
      </c>
      <c r="CD254" s="41">
        <f t="shared" si="295"/>
        <v>3.3812258094866547</v>
      </c>
      <c r="CE254" s="39">
        <v>285832.11261130369</v>
      </c>
      <c r="CF254" s="47">
        <v>6.8832300490398435</v>
      </c>
      <c r="CG254" s="195"/>
    </row>
    <row r="255" spans="1:85" s="22" customFormat="1" ht="15" customHeight="1">
      <c r="A255" s="324" t="str">
        <f t="shared" si="282"/>
        <v>Existing Residential; Advanced Automatic Pellet Combo Boiler; RES-HVAC/Shell; RES-SF</v>
      </c>
      <c r="B255" s="36" t="s">
        <v>166</v>
      </c>
      <c r="C255" s="15" t="s">
        <v>139</v>
      </c>
      <c r="D255" s="15" t="s">
        <v>136</v>
      </c>
      <c r="E255" s="37">
        <v>25</v>
      </c>
      <c r="F255" s="38">
        <v>24848.513999999999</v>
      </c>
      <c r="G255" s="38">
        <v>3875.5604276543745</v>
      </c>
      <c r="H255" s="39">
        <v>6949</v>
      </c>
      <c r="I255" s="40">
        <v>0.43171679378327815</v>
      </c>
      <c r="J255" s="39">
        <v>919.39501799999994</v>
      </c>
      <c r="K255" s="39">
        <v>3919.3950180000002</v>
      </c>
      <c r="L255" s="39">
        <v>3949</v>
      </c>
      <c r="M255" s="39">
        <v>7868.3950180000002</v>
      </c>
      <c r="N255" s="39">
        <v>35977.413978737481</v>
      </c>
      <c r="O255" s="41">
        <v>0.66</v>
      </c>
      <c r="P255" s="41">
        <v>4.3127925968715299</v>
      </c>
      <c r="Q255" s="261">
        <f t="shared" si="283"/>
        <v>4.3127925968715299</v>
      </c>
      <c r="R255" s="262">
        <f t="shared" si="284"/>
        <v>0</v>
      </c>
      <c r="S255" s="262">
        <f t="shared" si="285"/>
        <v>40.333416096380759</v>
      </c>
      <c r="T255" s="261">
        <f t="shared" si="286"/>
        <v>4.3176275652338969</v>
      </c>
      <c r="U255" s="267">
        <f t="shared" si="287"/>
        <v>1.1210760206447714E-3</v>
      </c>
      <c r="V255" s="42" t="s">
        <v>306</v>
      </c>
      <c r="W255" s="198" t="s">
        <v>307</v>
      </c>
      <c r="X255" s="198"/>
      <c r="Y255" s="344"/>
      <c r="Z255" s="343">
        <f>2.7*W3</f>
        <v>3.4020000000000001</v>
      </c>
      <c r="AA255" s="249">
        <f>1.21*W3</f>
        <v>1.5246</v>
      </c>
      <c r="AB255" s="249">
        <v>0</v>
      </c>
      <c r="AC255" s="249">
        <v>0</v>
      </c>
      <c r="AD255" s="308">
        <f t="shared" si="299"/>
        <v>0</v>
      </c>
      <c r="AE255" s="249">
        <f>1.1*W3</f>
        <v>1.3860000000000001</v>
      </c>
      <c r="AF255" s="249">
        <v>0</v>
      </c>
      <c r="AG255" s="249">
        <f>0.39*W3</f>
        <v>0.4914</v>
      </c>
      <c r="AH255" s="249">
        <v>0</v>
      </c>
      <c r="AI255" s="249">
        <f t="shared" si="301"/>
        <v>3.4020000000000001</v>
      </c>
      <c r="AJ255" s="249"/>
      <c r="AK255" s="249"/>
      <c r="AL255" s="246" t="s">
        <v>476</v>
      </c>
      <c r="AM255" s="252" t="s">
        <v>367</v>
      </c>
      <c r="AN255" s="104"/>
      <c r="AO255" s="246" t="s">
        <v>433</v>
      </c>
      <c r="AP255" s="43" t="s">
        <v>166</v>
      </c>
      <c r="AQ255" s="44">
        <v>271.1455476323801</v>
      </c>
      <c r="AR255" s="45">
        <v>1738.4747476273192</v>
      </c>
      <c r="AS255" s="46">
        <v>271.1455476323801</v>
      </c>
      <c r="AT255" s="45">
        <v>1738.4747476273192</v>
      </c>
      <c r="AU255" s="393">
        <v>2517085.1539439834</v>
      </c>
      <c r="AV255" s="295">
        <f t="shared" si="290"/>
        <v>2821.8438080081246</v>
      </c>
      <c r="AW255" s="295">
        <f t="shared" si="248"/>
        <v>2519906.9977519913</v>
      </c>
      <c r="AX255" s="39">
        <v>583632.32114845025</v>
      </c>
      <c r="AY255" s="41">
        <v>106.00443342085488</v>
      </c>
      <c r="AZ255" s="39">
        <v>1933452.8327955331</v>
      </c>
      <c r="BA255" s="47">
        <v>4.3127925968715299</v>
      </c>
      <c r="BB255" s="41">
        <f t="shared" si="291"/>
        <v>4.3176275652338969</v>
      </c>
      <c r="BC255" s="39">
        <v>415473.2482356113</v>
      </c>
      <c r="BD255" s="47">
        <v>6.0583567404959995</v>
      </c>
      <c r="BE255" s="46">
        <v>309.31841834979599</v>
      </c>
      <c r="BF255" s="45">
        <v>1983.2236375358655</v>
      </c>
      <c r="BG255" s="46">
        <v>580.46396598217621</v>
      </c>
      <c r="BH255" s="45">
        <v>3721.6983851631849</v>
      </c>
      <c r="BI255" s="393">
        <v>3020448.9174179942</v>
      </c>
      <c r="BJ255" s="295">
        <f t="shared" si="292"/>
        <v>3219.1133918475721</v>
      </c>
      <c r="BK255" s="295">
        <f t="shared" si="297"/>
        <v>3023668.0308098416</v>
      </c>
      <c r="BL255" s="39">
        <v>665798.23291149712</v>
      </c>
      <c r="BM255" s="41">
        <v>120.92812871211396</v>
      </c>
      <c r="BN255" s="39">
        <v>2354650.6845064973</v>
      </c>
      <c r="BO255" s="47">
        <v>4.5365829587888005</v>
      </c>
      <c r="BP255" s="41">
        <f t="shared" si="293"/>
        <v>4.5414179271511674</v>
      </c>
      <c r="BQ255" s="39">
        <v>473965.10521032225</v>
      </c>
      <c r="BR255" s="47">
        <v>6.3727242453379951</v>
      </c>
      <c r="BS255" s="44">
        <v>302.23869894462268</v>
      </c>
      <c r="BT255" s="45">
        <v>1937.8313620083761</v>
      </c>
      <c r="BU255" s="46">
        <v>882.70266492679889</v>
      </c>
      <c r="BV255" s="45">
        <v>5659.5297471715612</v>
      </c>
      <c r="BW255" s="393">
        <v>3109498.1387402974</v>
      </c>
      <c r="BX255" s="295">
        <f t="shared" si="294"/>
        <v>3145.4339140159486</v>
      </c>
      <c r="BY255" s="295">
        <f t="shared" si="298"/>
        <v>3112643.5726543134</v>
      </c>
      <c r="BZ255" s="39">
        <v>650559.3580503721</v>
      </c>
      <c r="CA255" s="41">
        <v>118.16031028073209</v>
      </c>
      <c r="CB255" s="39">
        <v>2458938.7806899254</v>
      </c>
      <c r="CC255" s="47">
        <v>4.7797300895939649</v>
      </c>
      <c r="CD255" s="41">
        <f t="shared" si="295"/>
        <v>4.7845650579563328</v>
      </c>
      <c r="CE255" s="39">
        <v>463116.93143963558</v>
      </c>
      <c r="CF255" s="47">
        <v>6.7142829977607956</v>
      </c>
      <c r="CG255" s="196"/>
    </row>
    <row r="256" spans="1:85" s="22" customFormat="1" ht="15" customHeight="1">
      <c r="A256" s="324" t="str">
        <f t="shared" si="282"/>
        <v>Existing Residential; Ground Source Heat Pump; RES-HVAC/Shell; RES-SF</v>
      </c>
      <c r="B256" s="36" t="s">
        <v>121</v>
      </c>
      <c r="C256" s="15" t="s">
        <v>139</v>
      </c>
      <c r="D256" s="15" t="s">
        <v>136</v>
      </c>
      <c r="E256" s="37">
        <v>15</v>
      </c>
      <c r="F256" s="38">
        <v>16035.27</v>
      </c>
      <c r="G256" s="38">
        <v>4532.8320034802127</v>
      </c>
      <c r="H256" s="39">
        <v>23000</v>
      </c>
      <c r="I256" s="40">
        <v>0.13043478260869565</v>
      </c>
      <c r="J256" s="39">
        <v>593.30498999999998</v>
      </c>
      <c r="K256" s="39">
        <v>3593.3049900000001</v>
      </c>
      <c r="L256" s="39">
        <v>20000</v>
      </c>
      <c r="M256" s="39">
        <v>23593.304990000001</v>
      </c>
      <c r="N256" s="39">
        <v>18806.521544733576</v>
      </c>
      <c r="O256" s="41">
        <v>0.66</v>
      </c>
      <c r="P256" s="41">
        <v>0.78691841864424383</v>
      </c>
      <c r="Q256" s="261">
        <f t="shared" si="283"/>
        <v>0.78691841864424383</v>
      </c>
      <c r="R256" s="262">
        <f t="shared" si="284"/>
        <v>0</v>
      </c>
      <c r="S256" s="262">
        <f t="shared" si="285"/>
        <v>567.04287102404351</v>
      </c>
      <c r="T256" s="261">
        <f t="shared" si="286"/>
        <v>0.81064510719259408</v>
      </c>
      <c r="U256" s="267">
        <f t="shared" si="287"/>
        <v>3.015139560366142E-2</v>
      </c>
      <c r="V256" s="42" t="s">
        <v>304</v>
      </c>
      <c r="W256" s="198" t="s">
        <v>305</v>
      </c>
      <c r="X256" s="198"/>
      <c r="Y256" s="344"/>
      <c r="Z256" s="343">
        <f>48.82*W3</f>
        <v>61.513199999999998</v>
      </c>
      <c r="AA256" s="249">
        <f>27.61*W3</f>
        <v>34.788600000000002</v>
      </c>
      <c r="AB256" s="249">
        <v>0</v>
      </c>
      <c r="AC256" s="249">
        <v>0</v>
      </c>
      <c r="AD256" s="308">
        <f t="shared" si="299"/>
        <v>0</v>
      </c>
      <c r="AE256" s="249">
        <f>13.88*W3</f>
        <v>17.488800000000001</v>
      </c>
      <c r="AF256" s="249">
        <v>0</v>
      </c>
      <c r="AG256" s="249">
        <f>7.33*W3</f>
        <v>9.2357999999999993</v>
      </c>
      <c r="AH256" s="249">
        <v>0</v>
      </c>
      <c r="AI256" s="249">
        <f t="shared" si="301"/>
        <v>61.513199999999998</v>
      </c>
      <c r="AJ256" s="249"/>
      <c r="AK256" s="249"/>
      <c r="AL256" s="246" t="s">
        <v>473</v>
      </c>
      <c r="AM256" s="252" t="s">
        <v>277</v>
      </c>
      <c r="AN256" s="102" t="s">
        <v>192</v>
      </c>
      <c r="AO256" s="246" t="s">
        <v>433</v>
      </c>
      <c r="AP256" s="43" t="s">
        <v>121</v>
      </c>
      <c r="AQ256" s="44">
        <v>266.13421019917718</v>
      </c>
      <c r="AR256" s="45">
        <v>941.4718907526327</v>
      </c>
      <c r="AS256" s="46">
        <v>266.13421019917718</v>
      </c>
      <c r="AT256" s="45">
        <v>941.4718907526327</v>
      </c>
      <c r="AU256" s="393">
        <v>1104179.1873289593</v>
      </c>
      <c r="AV256" s="295">
        <f t="shared" si="290"/>
        <v>33292.543494484817</v>
      </c>
      <c r="AW256" s="295">
        <f t="shared" si="248"/>
        <v>1137471.7308234442</v>
      </c>
      <c r="AX256" s="39">
        <v>1403168.5638154382</v>
      </c>
      <c r="AY256" s="41">
        <v>88.958437353809018</v>
      </c>
      <c r="AZ256" s="39">
        <v>-298989.37648647884</v>
      </c>
      <c r="BA256" s="47">
        <v>0.78691841864424383</v>
      </c>
      <c r="BB256" s="41">
        <f t="shared" si="291"/>
        <v>0.81064510719259408</v>
      </c>
      <c r="BC256" s="39">
        <v>319654.79684604431</v>
      </c>
      <c r="BD256" s="47">
        <v>3.4542863058012121</v>
      </c>
      <c r="BE256" s="46">
        <v>266.28232036772789</v>
      </c>
      <c r="BF256" s="45">
        <v>941.99584278540897</v>
      </c>
      <c r="BG256" s="46">
        <v>532.41653056690507</v>
      </c>
      <c r="BH256" s="45">
        <v>1883.4677335380416</v>
      </c>
      <c r="BI256" s="393">
        <v>1182336.4127148683</v>
      </c>
      <c r="BJ256" s="295">
        <f t="shared" si="292"/>
        <v>33311.071605638805</v>
      </c>
      <c r="BK256" s="295">
        <f t="shared" si="297"/>
        <v>1215647.4843205072</v>
      </c>
      <c r="BL256" s="39">
        <v>1403949.4612894466</v>
      </c>
      <c r="BM256" s="41">
        <v>89.007944890403508</v>
      </c>
      <c r="BN256" s="39">
        <v>-221613.04857457825</v>
      </c>
      <c r="BO256" s="47">
        <v>0.84215026631297718</v>
      </c>
      <c r="BP256" s="41">
        <f t="shared" si="293"/>
        <v>0.86587695486132743</v>
      </c>
      <c r="BQ256" s="39">
        <v>319832.69252433191</v>
      </c>
      <c r="BR256" s="47">
        <v>3.6967340748786013</v>
      </c>
      <c r="BS256" s="44">
        <v>249.71963425526866</v>
      </c>
      <c r="BT256" s="45">
        <v>883.40396390381306</v>
      </c>
      <c r="BU256" s="46">
        <v>782.13616482217378</v>
      </c>
      <c r="BV256" s="45">
        <v>2766.8716974418548</v>
      </c>
      <c r="BW256" s="393">
        <v>1189935.1165637672</v>
      </c>
      <c r="BX256" s="295">
        <f t="shared" si="294"/>
        <v>31239.132235755224</v>
      </c>
      <c r="BY256" s="295">
        <f t="shared" si="298"/>
        <v>1221174.2487995224</v>
      </c>
      <c r="BZ256" s="39">
        <v>1316624.1960860288</v>
      </c>
      <c r="CA256" s="41">
        <v>83.471675525246326</v>
      </c>
      <c r="CB256" s="39">
        <v>-126689.07952226163</v>
      </c>
      <c r="CC256" s="47">
        <v>0.9037773421612072</v>
      </c>
      <c r="CD256" s="41">
        <f t="shared" si="295"/>
        <v>0.92750403070955745</v>
      </c>
      <c r="CE256" s="39">
        <v>299939.18818852847</v>
      </c>
      <c r="CF256" s="47">
        <v>3.9672545750034729</v>
      </c>
      <c r="CG256" s="195"/>
    </row>
    <row r="257" spans="1:95" s="22" customFormat="1" ht="15" customHeight="1">
      <c r="A257" s="324" t="str">
        <f t="shared" si="282"/>
        <v>Existing Residential; ENERGY STAR® Air Source Heat Pump; RES-HVAC/Shell; RES-SF</v>
      </c>
      <c r="B257" s="108" t="s">
        <v>167</v>
      </c>
      <c r="C257" s="15" t="s">
        <v>139</v>
      </c>
      <c r="D257" s="15" t="s">
        <v>136</v>
      </c>
      <c r="E257" s="37">
        <v>12</v>
      </c>
      <c r="F257" s="38">
        <v>7918.0439999999999</v>
      </c>
      <c r="G257" s="38">
        <v>2238.2637303995798</v>
      </c>
      <c r="H257" s="39">
        <v>9000</v>
      </c>
      <c r="I257" s="40">
        <v>0.2</v>
      </c>
      <c r="J257" s="39">
        <v>292.96762799999999</v>
      </c>
      <c r="K257" s="39">
        <v>2092.9676279999999</v>
      </c>
      <c r="L257" s="39">
        <v>7200</v>
      </c>
      <c r="M257" s="39">
        <v>9292.9676280000003</v>
      </c>
      <c r="N257" s="39">
        <v>7693.5740599776345</v>
      </c>
      <c r="O257" s="41">
        <v>0.66</v>
      </c>
      <c r="P257" s="41">
        <v>0.81466151962264588</v>
      </c>
      <c r="Q257" s="261">
        <f t="shared" si="283"/>
        <v>0.81466151962264588</v>
      </c>
      <c r="R257" s="262">
        <f t="shared" si="284"/>
        <v>0</v>
      </c>
      <c r="S257" s="262">
        <f t="shared" si="285"/>
        <v>51.156160938068368</v>
      </c>
      <c r="T257" s="261">
        <f t="shared" si="286"/>
        <v>0.82007837211317614</v>
      </c>
      <c r="U257" s="267">
        <f t="shared" si="287"/>
        <v>6.649206277767189E-3</v>
      </c>
      <c r="V257" s="42" t="s">
        <v>302</v>
      </c>
      <c r="W257" s="198" t="s">
        <v>289</v>
      </c>
      <c r="X257" s="198"/>
      <c r="Y257" s="344"/>
      <c r="Z257" s="343">
        <f>5.06*W3</f>
        <v>6.3755999999999995</v>
      </c>
      <c r="AA257" s="249">
        <f>2.88*W3</f>
        <v>3.6288</v>
      </c>
      <c r="AB257" s="249">
        <v>0</v>
      </c>
      <c r="AC257" s="249">
        <v>0</v>
      </c>
      <c r="AD257" s="308">
        <f t="shared" si="299"/>
        <v>0</v>
      </c>
      <c r="AE257" s="246">
        <f>1.34*W3</f>
        <v>1.6884000000000001</v>
      </c>
      <c r="AF257" s="246">
        <v>0</v>
      </c>
      <c r="AG257" s="246">
        <f>0.84*W3</f>
        <v>1.0584</v>
      </c>
      <c r="AH257" s="246">
        <v>0</v>
      </c>
      <c r="AI257" s="241">
        <f t="shared" si="301"/>
        <v>6.3755999999999995</v>
      </c>
      <c r="AJ257" s="249"/>
      <c r="AK257" s="249"/>
      <c r="AL257" s="246" t="s">
        <v>469</v>
      </c>
      <c r="AM257" s="400" t="s">
        <v>412</v>
      </c>
      <c r="AN257" s="102">
        <f>46.07+(5.15*E257)</f>
        <v>107.87</v>
      </c>
      <c r="AO257" s="246" t="s">
        <v>433</v>
      </c>
      <c r="AP257" s="43" t="s">
        <v>167</v>
      </c>
      <c r="AQ257" s="44">
        <v>118.49918967657649</v>
      </c>
      <c r="AR257" s="45">
        <v>419.20073362220558</v>
      </c>
      <c r="AS257" s="46">
        <v>118.49918967657649</v>
      </c>
      <c r="AT257" s="45">
        <v>419.20073362220558</v>
      </c>
      <c r="AU257" s="393">
        <v>407316.74263484712</v>
      </c>
      <c r="AV257" s="295">
        <f t="shared" si="290"/>
        <v>2708.3330421672167</v>
      </c>
      <c r="AW257" s="295">
        <f t="shared" si="248"/>
        <v>410025.07567701436</v>
      </c>
      <c r="AX257" s="39">
        <v>499982.79386452131</v>
      </c>
      <c r="AY257" s="41">
        <v>80.215849608856871</v>
      </c>
      <c r="AZ257" s="39">
        <v>-92666.051229674194</v>
      </c>
      <c r="BA257" s="47">
        <v>0.81466151962264599</v>
      </c>
      <c r="BB257" s="41">
        <f t="shared" si="291"/>
        <v>0.82007837211317614</v>
      </c>
      <c r="BC257" s="39">
        <v>167889.17648385389</v>
      </c>
      <c r="BD257" s="47">
        <v>2.4261048339469298</v>
      </c>
      <c r="BE257" s="46">
        <v>157.60658094625637</v>
      </c>
      <c r="BF257" s="45">
        <v>557.54638100633258</v>
      </c>
      <c r="BG257" s="46">
        <v>276.10577062283284</v>
      </c>
      <c r="BH257" s="45">
        <v>976.74711462853816</v>
      </c>
      <c r="BI257" s="393">
        <v>584560.76346524071</v>
      </c>
      <c r="BJ257" s="295">
        <f t="shared" si="292"/>
        <v>3602.1437108959653</v>
      </c>
      <c r="BK257" s="295">
        <f t="shared" si="297"/>
        <v>588162.90717613674</v>
      </c>
      <c r="BL257" s="39">
        <v>664988.33357440622</v>
      </c>
      <c r="BM257" s="41">
        <v>106.68887972193495</v>
      </c>
      <c r="BN257" s="39">
        <v>-80427.570109165506</v>
      </c>
      <c r="BO257" s="47">
        <v>0.87905416373719525</v>
      </c>
      <c r="BP257" s="41">
        <f t="shared" si="293"/>
        <v>0.88447101622772539</v>
      </c>
      <c r="BQ257" s="39">
        <v>223296.37152559549</v>
      </c>
      <c r="BR257" s="47">
        <v>2.6178695133800463</v>
      </c>
      <c r="BS257" s="44">
        <v>148.91314351692188</v>
      </c>
      <c r="BT257" s="45">
        <v>526.79262346569249</v>
      </c>
      <c r="BU257" s="46">
        <v>425.01891413975471</v>
      </c>
      <c r="BV257" s="45">
        <v>1503.5397380942306</v>
      </c>
      <c r="BW257" s="393">
        <v>597238.73401831416</v>
      </c>
      <c r="BX257" s="295">
        <f t="shared" si="294"/>
        <v>3679.4083238436456</v>
      </c>
      <c r="BY257" s="295">
        <f t="shared" si="298"/>
        <v>600918.14234215778</v>
      </c>
      <c r="BZ257" s="39">
        <v>676857.56855475414</v>
      </c>
      <c r="CA257" s="41">
        <v>108.9773156254227</v>
      </c>
      <c r="CB257" s="39">
        <v>-79618.834536439972</v>
      </c>
      <c r="CC257" s="47">
        <v>0.88236988365743707</v>
      </c>
      <c r="CD257" s="41">
        <f t="shared" si="295"/>
        <v>0.88780589929023856</v>
      </c>
      <c r="CE257" s="39">
        <v>225691.48186550423</v>
      </c>
      <c r="CF257" s="47">
        <v>2.6462617422762333</v>
      </c>
    </row>
    <row r="258" spans="1:95" s="22" customFormat="1" ht="15" customHeight="1">
      <c r="A258" s="324" t="str">
        <f t="shared" si="282"/>
        <v>Existing Residential; Solar DHW; RES-Water Heat; RES-SF</v>
      </c>
      <c r="B258" s="96" t="s">
        <v>168</v>
      </c>
      <c r="C258" s="15" t="s">
        <v>160</v>
      </c>
      <c r="D258" s="15" t="s">
        <v>136</v>
      </c>
      <c r="E258" s="37">
        <v>15</v>
      </c>
      <c r="F258" s="38">
        <v>1815.254109</v>
      </c>
      <c r="G258" s="38">
        <v>442.04257725430972</v>
      </c>
      <c r="H258" s="39">
        <v>7042</v>
      </c>
      <c r="I258" s="40">
        <v>0.17750639023004827</v>
      </c>
      <c r="J258" s="39">
        <v>67.164402033000002</v>
      </c>
      <c r="K258" s="39">
        <v>1317.164402033</v>
      </c>
      <c r="L258" s="39">
        <v>5792</v>
      </c>
      <c r="M258" s="39">
        <v>7109.1644020330004</v>
      </c>
      <c r="N258" s="39">
        <v>2017.6107425781245</v>
      </c>
      <c r="O258" s="41">
        <v>0.65</v>
      </c>
      <c r="P258" s="41">
        <v>0.28236775420255716</v>
      </c>
      <c r="Q258" s="261">
        <f t="shared" si="283"/>
        <v>0.28236775420255716</v>
      </c>
      <c r="R258" s="262">
        <f t="shared" si="284"/>
        <v>0</v>
      </c>
      <c r="S258" s="262">
        <f t="shared" si="285"/>
        <v>14.286413997533256</v>
      </c>
      <c r="T258" s="261">
        <f t="shared" si="286"/>
        <v>0.28436716001010987</v>
      </c>
      <c r="U258" s="267">
        <f t="shared" si="287"/>
        <v>7.080857420137367E-3</v>
      </c>
      <c r="V258" s="181" t="s">
        <v>278</v>
      </c>
      <c r="W258" s="181" t="s">
        <v>303</v>
      </c>
      <c r="X258" s="181"/>
      <c r="Y258" s="344"/>
      <c r="Z258" s="343">
        <f>1.23*W3</f>
        <v>1.5498000000000001</v>
      </c>
      <c r="AA258" s="249">
        <v>0</v>
      </c>
      <c r="AB258" s="249">
        <v>0</v>
      </c>
      <c r="AC258" s="249">
        <v>0</v>
      </c>
      <c r="AD258" s="308">
        <f t="shared" si="299"/>
        <v>0</v>
      </c>
      <c r="AE258" s="249">
        <v>0</v>
      </c>
      <c r="AF258" s="249">
        <v>0</v>
      </c>
      <c r="AG258" s="249">
        <f>1.23*W3</f>
        <v>1.5498000000000001</v>
      </c>
      <c r="AH258" s="249">
        <v>0</v>
      </c>
      <c r="AI258" s="249">
        <f>AG258</f>
        <v>1.5498000000000001</v>
      </c>
      <c r="AJ258" s="249"/>
      <c r="AK258" s="249"/>
      <c r="AL258" s="246" t="s">
        <v>476</v>
      </c>
      <c r="AM258" s="252" t="s">
        <v>279</v>
      </c>
      <c r="AN258" s="102"/>
      <c r="AO258" s="246" t="s">
        <v>433</v>
      </c>
      <c r="AP258" s="43" t="s">
        <v>168</v>
      </c>
      <c r="AQ258" s="44">
        <v>203.36192058815402</v>
      </c>
      <c r="AR258" s="45">
        <v>835.10860934421271</v>
      </c>
      <c r="AS258" s="46">
        <v>203.36192058815402</v>
      </c>
      <c r="AT258" s="45">
        <v>835.10860934421271</v>
      </c>
      <c r="AU258" s="393">
        <v>928202.88524815114</v>
      </c>
      <c r="AV258" s="295">
        <f t="shared" si="290"/>
        <v>6572.4722874023209</v>
      </c>
      <c r="AW258" s="295">
        <f t="shared" si="248"/>
        <v>934775.35753555351</v>
      </c>
      <c r="AX258" s="39">
        <v>3287212.7621991239</v>
      </c>
      <c r="AY258" s="41">
        <v>707.7700414196795</v>
      </c>
      <c r="AZ258" s="39">
        <v>-2359009.8769509727</v>
      </c>
      <c r="BA258" s="47">
        <v>0.28236775420255716</v>
      </c>
      <c r="BB258" s="41">
        <f t="shared" si="291"/>
        <v>0.28436716001010987</v>
      </c>
      <c r="BC258" s="39">
        <v>932249.50338342378</v>
      </c>
      <c r="BD258" s="47">
        <v>0.99565929708668521</v>
      </c>
      <c r="BE258" s="46">
        <v>176.01759513178897</v>
      </c>
      <c r="BF258" s="45">
        <v>722.81874927957108</v>
      </c>
      <c r="BG258" s="46">
        <v>379.37951571994296</v>
      </c>
      <c r="BH258" s="45">
        <v>1557.9273586237837</v>
      </c>
      <c r="BI258" s="393">
        <v>857745.68667799619</v>
      </c>
      <c r="BJ258" s="295">
        <f t="shared" si="292"/>
        <v>5688.7285621272458</v>
      </c>
      <c r="BK258" s="295">
        <f t="shared" si="297"/>
        <v>863434.4152401234</v>
      </c>
      <c r="BL258" s="39">
        <v>2845209.5820859359</v>
      </c>
      <c r="BM258" s="41">
        <v>612.60230153567659</v>
      </c>
      <c r="BN258" s="39">
        <v>-1987463.8954079398</v>
      </c>
      <c r="BO258" s="47">
        <v>0.3014701244079</v>
      </c>
      <c r="BP258" s="41">
        <f t="shared" si="293"/>
        <v>0.3034695302154527</v>
      </c>
      <c r="BQ258" s="39">
        <v>806897.94418627908</v>
      </c>
      <c r="BR258" s="47">
        <v>1.0630163242552251</v>
      </c>
      <c r="BS258" s="44">
        <v>159.73124711979244</v>
      </c>
      <c r="BT258" s="45">
        <v>655.93863032584318</v>
      </c>
      <c r="BU258" s="46">
        <v>539.11076283973534</v>
      </c>
      <c r="BV258" s="45">
        <v>2213.8659889496266</v>
      </c>
      <c r="BW258" s="393">
        <v>833650.65714560472</v>
      </c>
      <c r="BX258" s="295">
        <f t="shared" si="294"/>
        <v>5162.3686090826632</v>
      </c>
      <c r="BY258" s="295">
        <f t="shared" si="298"/>
        <v>838813.02575468738</v>
      </c>
      <c r="BZ258" s="39">
        <v>2581951.3925496899</v>
      </c>
      <c r="CA258" s="41">
        <v>555.92015979700568</v>
      </c>
      <c r="CB258" s="39">
        <v>-1748300.7354040851</v>
      </c>
      <c r="CC258" s="47">
        <v>0.3228762011365251</v>
      </c>
      <c r="CD258" s="41">
        <f t="shared" si="295"/>
        <v>0.3248756069440778</v>
      </c>
      <c r="CE258" s="39">
        <v>732238.24485711276</v>
      </c>
      <c r="CF258" s="47">
        <v>1.1384964702414326</v>
      </c>
      <c r="CG258" s="196"/>
    </row>
    <row r="259" spans="1:95" s="22" customFormat="1" ht="15" customHeight="1">
      <c r="A259" s="324" t="str">
        <f t="shared" si="282"/>
        <v>Existing Residential; Solar Space and Water Heat (Supplement Electricity); RES-Package; RES-SF</v>
      </c>
      <c r="B259" s="233" t="s">
        <v>169</v>
      </c>
      <c r="C259" s="15" t="s">
        <v>170</v>
      </c>
      <c r="D259" s="15" t="s">
        <v>136</v>
      </c>
      <c r="E259" s="37">
        <v>20</v>
      </c>
      <c r="F259" s="38">
        <v>7637.0131059319438</v>
      </c>
      <c r="G259" s="38">
        <v>0</v>
      </c>
      <c r="H259" s="39">
        <v>19000</v>
      </c>
      <c r="I259" s="40">
        <v>6.5789473684210523E-2</v>
      </c>
      <c r="J259" s="39">
        <v>282.56948491948191</v>
      </c>
      <c r="K259" s="39">
        <v>1532.569484919482</v>
      </c>
      <c r="L259" s="39">
        <v>17750</v>
      </c>
      <c r="M259" s="39">
        <v>19282.569484919481</v>
      </c>
      <c r="N259" s="39">
        <v>7110.9696392390488</v>
      </c>
      <c r="O259" s="41">
        <v>0.65</v>
      </c>
      <c r="P259" s="41">
        <v>0.36588995382318629</v>
      </c>
      <c r="Q259" s="261">
        <f t="shared" si="283"/>
        <v>0.36588995382318629</v>
      </c>
      <c r="R259" s="262">
        <f t="shared" si="284"/>
        <v>0</v>
      </c>
      <c r="S259" s="262">
        <f t="shared" si="285"/>
        <v>0</v>
      </c>
      <c r="T259" s="261">
        <f t="shared" si="286"/>
        <v>0.36588995382318629</v>
      </c>
      <c r="U259" s="267">
        <f t="shared" si="287"/>
        <v>0</v>
      </c>
      <c r="V259" s="181" t="s">
        <v>308</v>
      </c>
      <c r="W259" s="181" t="s">
        <v>253</v>
      </c>
      <c r="X259" s="181"/>
      <c r="Y259" s="344">
        <v>0</v>
      </c>
      <c r="Z259" s="343">
        <v>0</v>
      </c>
      <c r="AA259" s="249"/>
      <c r="AB259" s="249"/>
      <c r="AC259" s="249"/>
      <c r="AD259" s="321"/>
      <c r="AE259" s="249"/>
      <c r="AF259" s="249"/>
      <c r="AG259" s="249"/>
      <c r="AH259" s="249"/>
      <c r="AI259" s="249"/>
      <c r="AJ259" s="249"/>
      <c r="AK259" s="456"/>
      <c r="AL259" s="451" t="s">
        <v>449</v>
      </c>
      <c r="AM259" s="457" t="s">
        <v>280</v>
      </c>
      <c r="AN259" s="181"/>
      <c r="AO259" s="451"/>
      <c r="AP259" s="43" t="s">
        <v>169</v>
      </c>
      <c r="AQ259" s="90">
        <v>0</v>
      </c>
      <c r="AR259" s="45">
        <v>895.48608073932724</v>
      </c>
      <c r="AS259" s="91">
        <v>0</v>
      </c>
      <c r="AT259" s="45">
        <v>895.48608073932724</v>
      </c>
      <c r="AU259" s="393">
        <v>833804.29549773107</v>
      </c>
      <c r="AV259" s="295">
        <f t="shared" si="290"/>
        <v>0</v>
      </c>
      <c r="AW259" s="295">
        <f t="shared" si="248"/>
        <v>833804.29549773107</v>
      </c>
      <c r="AX259" s="39">
        <v>2278838.9973140969</v>
      </c>
      <c r="AY259" s="41">
        <v>180.39394123535445</v>
      </c>
      <c r="AZ259" s="39">
        <v>-1445034.7018163658</v>
      </c>
      <c r="BA259" s="47">
        <v>0.36588995382318629</v>
      </c>
      <c r="BB259" s="41">
        <f t="shared" si="291"/>
        <v>0.36588995382318629</v>
      </c>
      <c r="BC259" s="39">
        <v>276466.24960166245</v>
      </c>
      <c r="BD259" s="47">
        <v>3.015935206192768</v>
      </c>
      <c r="BE259" s="91">
        <v>0</v>
      </c>
      <c r="BF259" s="45">
        <v>696.27082282827553</v>
      </c>
      <c r="BG259" s="91">
        <v>0</v>
      </c>
      <c r="BH259" s="45">
        <v>1591.7569035676029</v>
      </c>
      <c r="BI259" s="393">
        <v>677886.52498123702</v>
      </c>
      <c r="BJ259" s="295">
        <f t="shared" si="292"/>
        <v>0</v>
      </c>
      <c r="BK259" s="295">
        <f t="shared" si="297"/>
        <v>677886.52498123702</v>
      </c>
      <c r="BL259" s="39">
        <v>1771874.6699480277</v>
      </c>
      <c r="BM259" s="41">
        <v>140.2624123352939</v>
      </c>
      <c r="BN259" s="39">
        <v>-1093988.1449667907</v>
      </c>
      <c r="BO259" s="47">
        <v>0.38258153157137276</v>
      </c>
      <c r="BP259" s="41">
        <f t="shared" si="293"/>
        <v>0.38258153157137276</v>
      </c>
      <c r="BQ259" s="39">
        <v>214961.89302626537</v>
      </c>
      <c r="BR259" s="47">
        <v>3.1535195165889642</v>
      </c>
      <c r="BS259" s="90">
        <v>0</v>
      </c>
      <c r="BT259" s="45">
        <v>639.12718844018548</v>
      </c>
      <c r="BU259" s="91">
        <v>0</v>
      </c>
      <c r="BV259" s="45">
        <v>2230.8840920077882</v>
      </c>
      <c r="BW259" s="393">
        <v>653187.20106569841</v>
      </c>
      <c r="BX259" s="295">
        <f t="shared" si="294"/>
        <v>0</v>
      </c>
      <c r="BY259" s="295">
        <f t="shared" si="298"/>
        <v>653187.20106569841</v>
      </c>
      <c r="BZ259" s="39">
        <v>1626455.1650637914</v>
      </c>
      <c r="CA259" s="41">
        <v>128.7509375670106</v>
      </c>
      <c r="CB259" s="39">
        <v>-973267.96399809304</v>
      </c>
      <c r="CC259" s="47">
        <v>0.40160172570147645</v>
      </c>
      <c r="CD259" s="41">
        <f t="shared" si="295"/>
        <v>0.40160172570147645</v>
      </c>
      <c r="CE259" s="39">
        <v>197319.75806997379</v>
      </c>
      <c r="CF259" s="47">
        <v>3.3102980028693545</v>
      </c>
    </row>
    <row r="260" spans="1:95" s="22" customFormat="1" ht="15" customHeight="1">
      <c r="A260" s="324" t="str">
        <f t="shared" si="282"/>
        <v>Existing Residential; Solar Space Heating (Displacing Electricity); RES-HVAC/Shell; RES-SF</v>
      </c>
      <c r="B260" s="233" t="s">
        <v>171</v>
      </c>
      <c r="C260" s="15" t="s">
        <v>139</v>
      </c>
      <c r="D260" s="15" t="s">
        <v>136</v>
      </c>
      <c r="E260" s="37">
        <v>20</v>
      </c>
      <c r="F260" s="38">
        <v>5003.4938114894276</v>
      </c>
      <c r="G260" s="38">
        <v>6328.1501299815882</v>
      </c>
      <c r="H260" s="39">
        <v>9585</v>
      </c>
      <c r="I260" s="40">
        <v>5.2164840897235262E-2</v>
      </c>
      <c r="J260" s="39">
        <v>185.12927102510881</v>
      </c>
      <c r="K260" s="39">
        <v>685.12927102510878</v>
      </c>
      <c r="L260" s="39">
        <v>9085</v>
      </c>
      <c r="M260" s="39">
        <v>9770.1292710251091</v>
      </c>
      <c r="N260" s="39">
        <v>16555.345371818803</v>
      </c>
      <c r="O260" s="41">
        <v>0.65</v>
      </c>
      <c r="P260" s="41">
        <v>1.6773715219431966</v>
      </c>
      <c r="Q260" s="261">
        <f t="shared" si="283"/>
        <v>1.6773715219431966</v>
      </c>
      <c r="R260" s="262">
        <f t="shared" si="284"/>
        <v>0</v>
      </c>
      <c r="S260" s="262">
        <f t="shared" si="285"/>
        <v>0</v>
      </c>
      <c r="T260" s="261">
        <f t="shared" si="286"/>
        <v>1.6773715219431966</v>
      </c>
      <c r="U260" s="267">
        <f t="shared" si="287"/>
        <v>0</v>
      </c>
      <c r="V260" s="181" t="s">
        <v>308</v>
      </c>
      <c r="W260" s="181" t="s">
        <v>253</v>
      </c>
      <c r="X260" s="181"/>
      <c r="Y260" s="344">
        <v>0</v>
      </c>
      <c r="Z260" s="343">
        <v>0</v>
      </c>
      <c r="AA260" s="249"/>
      <c r="AB260" s="249"/>
      <c r="AC260" s="249"/>
      <c r="AD260" s="321"/>
      <c r="AE260" s="249"/>
      <c r="AF260" s="249"/>
      <c r="AG260" s="249"/>
      <c r="AH260" s="249"/>
      <c r="AI260" s="249"/>
      <c r="AJ260" s="249"/>
      <c r="AK260" s="456"/>
      <c r="AL260" s="451" t="s">
        <v>449</v>
      </c>
      <c r="AM260" s="457" t="s">
        <v>280</v>
      </c>
      <c r="AN260" s="181"/>
      <c r="AO260" s="451"/>
      <c r="AP260" s="43" t="s">
        <v>171</v>
      </c>
      <c r="AQ260" s="44">
        <v>745.80247662318186</v>
      </c>
      <c r="AR260" s="45">
        <v>589.68545305173348</v>
      </c>
      <c r="AS260" s="46">
        <v>745.80247662318186</v>
      </c>
      <c r="AT260" s="45">
        <v>589.68545305173348</v>
      </c>
      <c r="AU260" s="393">
        <v>1951125.8939886305</v>
      </c>
      <c r="AV260" s="295">
        <f t="shared" si="290"/>
        <v>0</v>
      </c>
      <c r="AW260" s="295">
        <f t="shared" si="248"/>
        <v>1951125.8939886305</v>
      </c>
      <c r="AX260" s="39">
        <v>1163204.3756938807</v>
      </c>
      <c r="AY260" s="41">
        <v>181.31498178875603</v>
      </c>
      <c r="AZ260" s="39">
        <v>787921.51829474978</v>
      </c>
      <c r="BA260" s="47">
        <v>1.6773715219431966</v>
      </c>
      <c r="BB260" s="41">
        <f t="shared" si="291"/>
        <v>1.6773715219431966</v>
      </c>
      <c r="BC260" s="39">
        <v>124224.2012988613</v>
      </c>
      <c r="BD260" s="47">
        <v>15.706487734178054</v>
      </c>
      <c r="BE260" s="46">
        <v>607.2464437354904</v>
      </c>
      <c r="BF260" s="45">
        <v>480.13301847633778</v>
      </c>
      <c r="BG260" s="46">
        <v>1353.0489203586724</v>
      </c>
      <c r="BH260" s="45">
        <v>1069.8184715280713</v>
      </c>
      <c r="BI260" s="393">
        <v>1720140.8102024412</v>
      </c>
      <c r="BJ260" s="295">
        <f t="shared" si="292"/>
        <v>0</v>
      </c>
      <c r="BK260" s="295">
        <f t="shared" si="297"/>
        <v>1720140.8102024412</v>
      </c>
      <c r="BL260" s="39">
        <v>947102.94296133844</v>
      </c>
      <c r="BM260" s="41">
        <v>147.63007812163247</v>
      </c>
      <c r="BN260" s="39">
        <v>773037.86724110274</v>
      </c>
      <c r="BO260" s="47">
        <v>1.8162131402780983</v>
      </c>
      <c r="BP260" s="41">
        <f t="shared" si="293"/>
        <v>1.8162131402780983</v>
      </c>
      <c r="BQ260" s="39">
        <v>101145.68780485391</v>
      </c>
      <c r="BR260" s="47">
        <v>17.006565949911835</v>
      </c>
      <c r="BS260" s="44">
        <v>557.59045800193667</v>
      </c>
      <c r="BT260" s="45">
        <v>440.87139980137658</v>
      </c>
      <c r="BU260" s="46">
        <v>1910.639378360609</v>
      </c>
      <c r="BV260" s="45">
        <v>1510.6898713294479</v>
      </c>
      <c r="BW260" s="393">
        <v>1710440.8607548382</v>
      </c>
      <c r="BX260" s="295">
        <f t="shared" si="294"/>
        <v>0</v>
      </c>
      <c r="BY260" s="295">
        <f t="shared" si="298"/>
        <v>1710440.8607548382</v>
      </c>
      <c r="BZ260" s="39">
        <v>869656.08310886566</v>
      </c>
      <c r="CA260" s="41">
        <v>135.55801556996707</v>
      </c>
      <c r="CB260" s="39">
        <v>840784.77764597256</v>
      </c>
      <c r="CC260" s="47">
        <v>1.9668014678173891</v>
      </c>
      <c r="CD260" s="41">
        <f t="shared" si="295"/>
        <v>1.9668014678173891</v>
      </c>
      <c r="CE260" s="39">
        <v>92874.764389061893</v>
      </c>
      <c r="CF260" s="47">
        <v>18.416637414977725</v>
      </c>
      <c r="CQ260" s="22" t="s">
        <v>368</v>
      </c>
    </row>
    <row r="261" spans="1:95" s="22" customFormat="1" ht="15" customHeight="1">
      <c r="A261" s="324" t="str">
        <f t="shared" si="282"/>
        <v>Existing Residential; ENERGY STAR® Windows (Replace Single Pane); RES-HVAC/Shell; RES-SF</v>
      </c>
      <c r="B261" s="36" t="s">
        <v>172</v>
      </c>
      <c r="C261" s="15" t="s">
        <v>139</v>
      </c>
      <c r="D261" s="15" t="s">
        <v>136</v>
      </c>
      <c r="E261" s="37">
        <v>20</v>
      </c>
      <c r="F261" s="38">
        <v>1259.4849839999993</v>
      </c>
      <c r="G261" s="38">
        <v>356.02979203829807</v>
      </c>
      <c r="H261" s="39">
        <v>1094.4000000000001</v>
      </c>
      <c r="I261" s="40">
        <v>0.15990497076023391</v>
      </c>
      <c r="J261" s="39">
        <v>46.600944407999968</v>
      </c>
      <c r="K261" s="39">
        <v>221.60094440799998</v>
      </c>
      <c r="L261" s="39">
        <v>919.40000000000009</v>
      </c>
      <c r="M261" s="39">
        <v>1141.0009444080001</v>
      </c>
      <c r="N261" s="39">
        <v>1842.0427044255066</v>
      </c>
      <c r="O261" s="41">
        <v>0.73</v>
      </c>
      <c r="P261" s="41">
        <v>1.5903850829535529</v>
      </c>
      <c r="Q261" s="261">
        <f t="shared" si="283"/>
        <v>1.5903850829535529</v>
      </c>
      <c r="R261" s="262">
        <f t="shared" si="284"/>
        <v>0</v>
      </c>
      <c r="S261" s="262">
        <f t="shared" si="285"/>
        <v>16.528401827175156</v>
      </c>
      <c r="T261" s="261">
        <f t="shared" si="286"/>
        <v>1.6046553947372311</v>
      </c>
      <c r="U261" s="267">
        <f t="shared" si="287"/>
        <v>8.9728657144949962E-3</v>
      </c>
      <c r="V261" s="42">
        <v>7.94</v>
      </c>
      <c r="W261" s="198" t="s">
        <v>390</v>
      </c>
      <c r="X261" s="198"/>
      <c r="Y261" s="344">
        <f>AD261</f>
        <v>0</v>
      </c>
      <c r="Z261" s="343">
        <f>AA261+AB261</f>
        <v>1.5372000000000001</v>
      </c>
      <c r="AA261" s="319">
        <f>0.68*W3</f>
        <v>0.85680000000000012</v>
      </c>
      <c r="AB261" s="249">
        <f>0.54*W3</f>
        <v>0.6804</v>
      </c>
      <c r="AC261" s="249">
        <v>0</v>
      </c>
      <c r="AD261" s="321"/>
      <c r="AE261" s="249">
        <v>0</v>
      </c>
      <c r="AF261" s="249">
        <v>0</v>
      </c>
      <c r="AG261" s="249">
        <v>0</v>
      </c>
      <c r="AH261" s="249">
        <v>0</v>
      </c>
      <c r="AI261" s="465">
        <f>AA261+AB261</f>
        <v>1.5372000000000001</v>
      </c>
      <c r="AJ261" s="249"/>
      <c r="AK261" s="249"/>
      <c r="AL261" s="249" t="s">
        <v>477</v>
      </c>
      <c r="AM261" s="463" t="s">
        <v>281</v>
      </c>
      <c r="AN261" s="102"/>
      <c r="AO261" s="246" t="s">
        <v>433</v>
      </c>
      <c r="AP261" s="43" t="s">
        <v>172</v>
      </c>
      <c r="AQ261" s="44">
        <v>122.60870235933093</v>
      </c>
      <c r="AR261" s="45">
        <v>433.7384763370905</v>
      </c>
      <c r="AS261" s="46">
        <v>122.60870235933093</v>
      </c>
      <c r="AT261" s="45">
        <v>433.7384763370905</v>
      </c>
      <c r="AU261" s="393">
        <v>634358.33385479508</v>
      </c>
      <c r="AV261" s="295">
        <f t="shared" si="290"/>
        <v>5692.0121445498235</v>
      </c>
      <c r="AW261" s="295">
        <f t="shared" si="248"/>
        <v>640050.34599934495</v>
      </c>
      <c r="AX261" s="39">
        <v>398870.90281097766</v>
      </c>
      <c r="AY261" s="41">
        <v>471.75020258294654</v>
      </c>
      <c r="AZ261" s="39">
        <v>235487.43104381743</v>
      </c>
      <c r="BA261" s="47">
        <v>1.5903850829535526</v>
      </c>
      <c r="BB261" s="41">
        <f t="shared" si="291"/>
        <v>1.6046553947372308</v>
      </c>
      <c r="BC261" s="39">
        <v>104540.29041704626</v>
      </c>
      <c r="BD261" s="47">
        <v>6.0680751060105829</v>
      </c>
      <c r="BE261" s="46">
        <v>148.75676411407372</v>
      </c>
      <c r="BF261" s="45">
        <v>526.23941832921628</v>
      </c>
      <c r="BG261" s="46">
        <v>271.36546647340469</v>
      </c>
      <c r="BH261" s="45">
        <v>959.97789466630684</v>
      </c>
      <c r="BI261" s="393">
        <v>819214.09433010698</v>
      </c>
      <c r="BJ261" s="295">
        <f t="shared" si="292"/>
        <v>6905.9152542022011</v>
      </c>
      <c r="BK261" s="295">
        <f t="shared" si="297"/>
        <v>826120.00958430918</v>
      </c>
      <c r="BL261" s="39">
        <v>483935.83538244379</v>
      </c>
      <c r="BM261" s="41">
        <v>572.35768959312566</v>
      </c>
      <c r="BN261" s="39">
        <v>335278.25894766318</v>
      </c>
      <c r="BO261" s="47">
        <v>1.6928155231213662</v>
      </c>
      <c r="BP261" s="41">
        <f t="shared" si="293"/>
        <v>1.7070858349050444</v>
      </c>
      <c r="BQ261" s="39">
        <v>126835.00455301754</v>
      </c>
      <c r="BR261" s="47">
        <v>6.4588959271702651</v>
      </c>
      <c r="BS261" s="44">
        <v>166.81614805372803</v>
      </c>
      <c r="BT261" s="45">
        <v>590.12599018621029</v>
      </c>
      <c r="BU261" s="46">
        <v>438.18161452713275</v>
      </c>
      <c r="BV261" s="45">
        <v>1550.1038848525172</v>
      </c>
      <c r="BW261" s="393">
        <v>980027.68482424482</v>
      </c>
      <c r="BX261" s="295">
        <f t="shared" si="294"/>
        <v>7744.3078864506033</v>
      </c>
      <c r="BY261" s="295">
        <f t="shared" si="298"/>
        <v>987771.99271069537</v>
      </c>
      <c r="BZ261" s="39">
        <v>542686.66332211962</v>
      </c>
      <c r="CA261" s="41">
        <v>641.84311654990779</v>
      </c>
      <c r="CB261" s="39">
        <v>437341.02150212519</v>
      </c>
      <c r="CC261" s="47">
        <v>1.8058812774666162</v>
      </c>
      <c r="CD261" s="41">
        <f t="shared" si="295"/>
        <v>1.8201515892502942</v>
      </c>
      <c r="CE261" s="39">
        <v>142233.04078923358</v>
      </c>
      <c r="CF261" s="47">
        <v>6.890295527580597</v>
      </c>
    </row>
    <row r="262" spans="1:95" s="22" customFormat="1" ht="15" customHeight="1">
      <c r="A262" s="324" t="str">
        <f t="shared" si="282"/>
        <v>Existing Residential; ENERGY STAR® Windows (300 ft2) (Replace Double Pane); RES-HVAC/Shell; RES-SF</v>
      </c>
      <c r="B262" s="36" t="s">
        <v>173</v>
      </c>
      <c r="C262" s="15" t="s">
        <v>139</v>
      </c>
      <c r="D262" s="15" t="s">
        <v>136</v>
      </c>
      <c r="E262" s="37">
        <v>20</v>
      </c>
      <c r="F262" s="38">
        <v>390.98516042748207</v>
      </c>
      <c r="G262" s="38">
        <v>110.52324332995551</v>
      </c>
      <c r="H262" s="39">
        <v>1094.4000000000001</v>
      </c>
      <c r="I262" s="40">
        <v>0.68530701754385959</v>
      </c>
      <c r="J262" s="39">
        <v>14.466450935816836</v>
      </c>
      <c r="K262" s="39">
        <v>764.46645093581685</v>
      </c>
      <c r="L262" s="39">
        <v>344.40000000000009</v>
      </c>
      <c r="M262" s="39">
        <v>1108.8664509358168</v>
      </c>
      <c r="N262" s="39">
        <v>571.83005073769107</v>
      </c>
      <c r="O262" s="41">
        <v>0.73</v>
      </c>
      <c r="P262" s="41">
        <v>0.51321243703744746</v>
      </c>
      <c r="Q262" s="261">
        <f t="shared" si="283"/>
        <v>0.51321243703744746</v>
      </c>
      <c r="R262" s="262">
        <f t="shared" si="284"/>
        <v>0</v>
      </c>
      <c r="S262" s="262">
        <f t="shared" si="285"/>
        <v>16.528401827175156</v>
      </c>
      <c r="T262" s="261">
        <f t="shared" si="286"/>
        <v>0.52804653218707409</v>
      </c>
      <c r="U262" s="267">
        <f t="shared" si="287"/>
        <v>2.8904395293413827E-2</v>
      </c>
      <c r="V262" s="42">
        <v>7.94</v>
      </c>
      <c r="W262" s="198" t="s">
        <v>390</v>
      </c>
      <c r="X262" s="198"/>
      <c r="Y262" s="344">
        <f>AD262</f>
        <v>0</v>
      </c>
      <c r="Z262" s="343">
        <f>AA262+AB262</f>
        <v>1.5372000000000001</v>
      </c>
      <c r="AA262" s="319">
        <f>0.68*W3</f>
        <v>0.85680000000000012</v>
      </c>
      <c r="AB262" s="249">
        <f>0.54*W3</f>
        <v>0.6804</v>
      </c>
      <c r="AC262" s="249">
        <v>0</v>
      </c>
      <c r="AD262" s="321"/>
      <c r="AE262" s="249">
        <v>0</v>
      </c>
      <c r="AF262" s="249">
        <v>0</v>
      </c>
      <c r="AG262" s="249">
        <v>0</v>
      </c>
      <c r="AH262" s="249">
        <v>0</v>
      </c>
      <c r="AI262" s="465">
        <f>AA262+AB262</f>
        <v>1.5372000000000001</v>
      </c>
      <c r="AJ262" s="249"/>
      <c r="AK262" s="249"/>
      <c r="AL262" s="249" t="s">
        <v>477</v>
      </c>
      <c r="AM262" s="463" t="s">
        <v>281</v>
      </c>
      <c r="AN262" s="102"/>
      <c r="AO262" s="246" t="s">
        <v>433</v>
      </c>
      <c r="AP262" s="43" t="s">
        <v>173</v>
      </c>
      <c r="AQ262" s="44">
        <v>17.005877820711127</v>
      </c>
      <c r="AR262" s="45">
        <v>60.159706389459394</v>
      </c>
      <c r="AS262" s="46">
        <v>17.005877820711127</v>
      </c>
      <c r="AT262" s="45">
        <v>60.159706389459394</v>
      </c>
      <c r="AU262" s="393">
        <v>87985.763754912914</v>
      </c>
      <c r="AV262" s="295">
        <f t="shared" si="290"/>
        <v>2543.1752957649328</v>
      </c>
      <c r="AW262" s="295">
        <f t="shared" si="248"/>
        <v>90528.939050677844</v>
      </c>
      <c r="AX262" s="39">
        <v>171441.21499240451</v>
      </c>
      <c r="AY262" s="41">
        <v>210.77668678725894</v>
      </c>
      <c r="AZ262" s="39">
        <v>-83455.451237491594</v>
      </c>
      <c r="BA262" s="47">
        <v>0.51321243703744757</v>
      </c>
      <c r="BB262" s="41">
        <f t="shared" si="291"/>
        <v>0.5280465321870742</v>
      </c>
      <c r="BC262" s="39">
        <v>161131.70568826614</v>
      </c>
      <c r="BD262" s="47">
        <v>0.54604873310988711</v>
      </c>
      <c r="BE262" s="46">
        <v>46.977161075147393</v>
      </c>
      <c r="BF262" s="45">
        <v>166.18561223868821</v>
      </c>
      <c r="BG262" s="46">
        <v>63.98303889585852</v>
      </c>
      <c r="BH262" s="45">
        <v>226.3453186281476</v>
      </c>
      <c r="BI262" s="393">
        <v>258706.57172177263</v>
      </c>
      <c r="BJ262" s="295">
        <f t="shared" si="292"/>
        <v>7025.2860082284769</v>
      </c>
      <c r="BK262" s="295">
        <f t="shared" si="297"/>
        <v>265731.85773000109</v>
      </c>
      <c r="BL262" s="39">
        <v>473590.46422223322</v>
      </c>
      <c r="BM262" s="41">
        <v>582.25105875051497</v>
      </c>
      <c r="BN262" s="39">
        <v>-214883.89250046058</v>
      </c>
      <c r="BO262" s="47">
        <v>0.5462664290478072</v>
      </c>
      <c r="BP262" s="41">
        <f t="shared" si="293"/>
        <v>0.56110052419743384</v>
      </c>
      <c r="BQ262" s="39">
        <v>445111.40043662797</v>
      </c>
      <c r="BR262" s="47">
        <v>0.58121758163910608</v>
      </c>
      <c r="BS262" s="44">
        <v>95.334523620594027</v>
      </c>
      <c r="BT262" s="45">
        <v>337.25380190659791</v>
      </c>
      <c r="BU262" s="46">
        <v>159.31756251645254</v>
      </c>
      <c r="BV262" s="45">
        <v>563.59912053474545</v>
      </c>
      <c r="BW262" s="393">
        <v>560080.50514163054</v>
      </c>
      <c r="BX262" s="295">
        <f t="shared" si="294"/>
        <v>14256.976785410932</v>
      </c>
      <c r="BY262" s="295">
        <f t="shared" si="298"/>
        <v>574337.48192704143</v>
      </c>
      <c r="BZ262" s="39">
        <v>961095.14207678032</v>
      </c>
      <c r="CA262" s="41">
        <v>1181.608808262637</v>
      </c>
      <c r="CB262" s="39">
        <v>-401014.63693514979</v>
      </c>
      <c r="CC262" s="47">
        <v>0.58275240464891109</v>
      </c>
      <c r="CD262" s="41">
        <f t="shared" si="295"/>
        <v>0.59758649979853773</v>
      </c>
      <c r="CE262" s="39">
        <v>903300.29204703821</v>
      </c>
      <c r="CF262" s="47">
        <v>0.62003799851806651</v>
      </c>
    </row>
    <row r="263" spans="1:95" s="22" customFormat="1" ht="15" customHeight="1">
      <c r="A263" s="324" t="str">
        <f t="shared" si="282"/>
        <v>Existing Residential; ENERGY STAR® Door; RES-HVAC/Shell; RES-SF</v>
      </c>
      <c r="B263" s="233" t="s">
        <v>174</v>
      </c>
      <c r="C263" s="15" t="s">
        <v>139</v>
      </c>
      <c r="D263" s="15" t="s">
        <v>136</v>
      </c>
      <c r="E263" s="37">
        <v>25</v>
      </c>
      <c r="F263" s="38">
        <v>137.41439960039176</v>
      </c>
      <c r="G263" s="38">
        <v>38.844147198498952</v>
      </c>
      <c r="H263" s="39">
        <v>600</v>
      </c>
      <c r="I263" s="40">
        <v>0.83333333333333337</v>
      </c>
      <c r="J263" s="39">
        <v>5.0843327852144951</v>
      </c>
      <c r="K263" s="39">
        <v>505.08433278521449</v>
      </c>
      <c r="L263" s="39">
        <v>100</v>
      </c>
      <c r="M263" s="39">
        <v>605.08433278521443</v>
      </c>
      <c r="N263" s="39">
        <v>235.53009829683356</v>
      </c>
      <c r="O263" s="41">
        <v>0.73</v>
      </c>
      <c r="P263" s="41">
        <v>0.38804570379615538</v>
      </c>
      <c r="Q263" s="261">
        <f t="shared" si="283"/>
        <v>0.38804570379615538</v>
      </c>
      <c r="R263" s="262">
        <f t="shared" si="284"/>
        <v>0</v>
      </c>
      <c r="S263" s="262">
        <f t="shared" si="285"/>
        <v>0</v>
      </c>
      <c r="T263" s="261">
        <f t="shared" si="286"/>
        <v>0.38804570379615538</v>
      </c>
      <c r="U263" s="267">
        <f t="shared" si="287"/>
        <v>0</v>
      </c>
      <c r="V263" s="42"/>
      <c r="W263" s="198"/>
      <c r="X263" s="198"/>
      <c r="Y263" s="344">
        <v>0</v>
      </c>
      <c r="Z263" s="343">
        <v>0</v>
      </c>
      <c r="AA263" s="249"/>
      <c r="AB263" s="249"/>
      <c r="AC263" s="249"/>
      <c r="AD263" s="321"/>
      <c r="AE263" s="249"/>
      <c r="AF263" s="249"/>
      <c r="AG263" s="249"/>
      <c r="AH263" s="249"/>
      <c r="AI263" s="249"/>
      <c r="AJ263" s="249"/>
      <c r="AK263" s="456"/>
      <c r="AL263" s="451" t="s">
        <v>449</v>
      </c>
      <c r="AM263" s="457" t="s">
        <v>290</v>
      </c>
      <c r="AN263" s="181"/>
      <c r="AO263" s="451"/>
      <c r="AP263" s="43" t="s">
        <v>174</v>
      </c>
      <c r="AQ263" s="44">
        <v>11.216835532910796</v>
      </c>
      <c r="AR263" s="45">
        <v>39.680488087297739</v>
      </c>
      <c r="AS263" s="46">
        <v>11.216835532910796</v>
      </c>
      <c r="AT263" s="45">
        <v>39.680488087297739</v>
      </c>
      <c r="AU263" s="393">
        <v>68012.881378123959</v>
      </c>
      <c r="AV263" s="295">
        <f t="shared" si="290"/>
        <v>0</v>
      </c>
      <c r="AW263" s="295">
        <f t="shared" ref="AW263:AW284" si="302">AU263+AV263</f>
        <v>68012.881378123959</v>
      </c>
      <c r="AX263" s="39">
        <v>175270.2857234875</v>
      </c>
      <c r="AY263" s="41">
        <v>395.56868242608329</v>
      </c>
      <c r="AZ263" s="39">
        <v>-107257.40434536354</v>
      </c>
      <c r="BA263" s="47">
        <v>0.38804570379615544</v>
      </c>
      <c r="BB263" s="41">
        <f t="shared" si="291"/>
        <v>0.38804570379615544</v>
      </c>
      <c r="BC263" s="39">
        <v>199795.54403390468</v>
      </c>
      <c r="BD263" s="47">
        <v>0.34041240362488956</v>
      </c>
      <c r="BE263" s="46">
        <v>35.225449084010158</v>
      </c>
      <c r="BF263" s="45">
        <v>124.6129542192775</v>
      </c>
      <c r="BG263" s="46">
        <v>46.442284616920951</v>
      </c>
      <c r="BH263" s="45">
        <v>164.29344230657523</v>
      </c>
      <c r="BI263" s="393">
        <v>225771.54236423172</v>
      </c>
      <c r="BJ263" s="295">
        <f t="shared" si="292"/>
        <v>0</v>
      </c>
      <c r="BK263" s="295">
        <f t="shared" si="297"/>
        <v>225771.54236423172</v>
      </c>
      <c r="BL263" s="39">
        <v>550420.34873185481</v>
      </c>
      <c r="BM263" s="41">
        <v>1242.2473737040746</v>
      </c>
      <c r="BN263" s="39">
        <v>-324648.8063676231</v>
      </c>
      <c r="BO263" s="47">
        <v>0.4101802247762093</v>
      </c>
      <c r="BP263" s="41">
        <f t="shared" si="293"/>
        <v>0.4101802247762093</v>
      </c>
      <c r="BQ263" s="39">
        <v>627439.6859015075</v>
      </c>
      <c r="BR263" s="47">
        <v>0.35982987279461354</v>
      </c>
      <c r="BS263" s="44">
        <v>81.450947158137154</v>
      </c>
      <c r="BT263" s="45">
        <v>288.13949611052766</v>
      </c>
      <c r="BU263" s="46">
        <v>127.8932317750581</v>
      </c>
      <c r="BV263" s="45">
        <v>452.43293841710289</v>
      </c>
      <c r="BW263" s="393">
        <v>552533.82783946465</v>
      </c>
      <c r="BX263" s="295">
        <f t="shared" si="294"/>
        <v>0</v>
      </c>
      <c r="BY263" s="295">
        <f t="shared" si="298"/>
        <v>552533.82783946465</v>
      </c>
      <c r="BZ263" s="39">
        <v>1272723.5537125452</v>
      </c>
      <c r="CA263" s="41">
        <v>2872.4183175519752</v>
      </c>
      <c r="CB263" s="39">
        <v>-720189.72587308055</v>
      </c>
      <c r="CC263" s="47">
        <v>0.4341349904523405</v>
      </c>
      <c r="CD263" s="41">
        <f t="shared" si="295"/>
        <v>0.4341349904523405</v>
      </c>
      <c r="CE263" s="39">
        <v>1450813.4894007677</v>
      </c>
      <c r="CF263" s="47">
        <v>0.38084414838717745</v>
      </c>
    </row>
    <row r="264" spans="1:95" s="22" customFormat="1" ht="15" customHeight="1">
      <c r="A264" s="324" t="str">
        <f t="shared" si="282"/>
        <v>Existing Residential; Embertec Power Strip; RES-Plug Load; RES-SF</v>
      </c>
      <c r="B264" s="36" t="s">
        <v>175</v>
      </c>
      <c r="C264" s="15" t="s">
        <v>146</v>
      </c>
      <c r="D264" s="15" t="s">
        <v>136</v>
      </c>
      <c r="E264" s="37">
        <v>15</v>
      </c>
      <c r="F264" s="38">
        <v>459.90899999999999</v>
      </c>
      <c r="G264" s="92">
        <v>-2.615210864869694E-7</v>
      </c>
      <c r="H264" s="39">
        <v>50</v>
      </c>
      <c r="I264" s="40">
        <v>1</v>
      </c>
      <c r="J264" s="39">
        <v>17.016632999999999</v>
      </c>
      <c r="K264" s="39">
        <v>67.016632999999999</v>
      </c>
      <c r="L264" s="39">
        <v>0</v>
      </c>
      <c r="M264" s="39">
        <v>67.016632999999999</v>
      </c>
      <c r="N264" s="39">
        <v>335.74539322490313</v>
      </c>
      <c r="O264" s="41">
        <v>0.91</v>
      </c>
      <c r="P264" s="41">
        <v>4.8871523172826956</v>
      </c>
      <c r="Q264" s="261">
        <f t="shared" si="283"/>
        <v>4.8871523172826956</v>
      </c>
      <c r="R264" s="262">
        <f t="shared" si="284"/>
        <v>0</v>
      </c>
      <c r="S264" s="262">
        <f t="shared" si="285"/>
        <v>0</v>
      </c>
      <c r="T264" s="261">
        <f t="shared" si="286"/>
        <v>4.8871523172826956</v>
      </c>
      <c r="U264" s="267">
        <f t="shared" si="287"/>
        <v>0</v>
      </c>
      <c r="V264" s="42" t="s">
        <v>38</v>
      </c>
      <c r="W264" s="198" t="s">
        <v>38</v>
      </c>
      <c r="X264" s="198"/>
      <c r="Y264" s="344">
        <v>0</v>
      </c>
      <c r="Z264" s="343">
        <v>0</v>
      </c>
      <c r="AA264" s="249"/>
      <c r="AB264" s="249"/>
      <c r="AC264" s="249"/>
      <c r="AD264" s="321"/>
      <c r="AE264" s="249"/>
      <c r="AF264" s="249"/>
      <c r="AG264" s="249"/>
      <c r="AH264" s="249"/>
      <c r="AI264" s="249"/>
      <c r="AJ264" s="249"/>
      <c r="AK264" s="249"/>
      <c r="AL264" s="246" t="s">
        <v>471</v>
      </c>
      <c r="AM264" s="252"/>
      <c r="AN264" s="102" t="s">
        <v>38</v>
      </c>
      <c r="AO264" s="246"/>
      <c r="AP264" s="43" t="s">
        <v>175</v>
      </c>
      <c r="AQ264" s="50">
        <v>-4.8801507304461332E-6</v>
      </c>
      <c r="AR264" s="45">
        <v>8582.1960761874616</v>
      </c>
      <c r="AS264" s="93">
        <v>-4.8801507304461332E-6</v>
      </c>
      <c r="AT264" s="45">
        <v>8582.1960761874616</v>
      </c>
      <c r="AU264" s="393">
        <v>6265223.764555119</v>
      </c>
      <c r="AV264" s="295">
        <f t="shared" si="290"/>
        <v>0</v>
      </c>
      <c r="AW264" s="295">
        <f t="shared" si="302"/>
        <v>6265223.764555119</v>
      </c>
      <c r="AX264" s="39">
        <v>1281978.4115177004</v>
      </c>
      <c r="AY264" s="41">
        <v>20506.197311005224</v>
      </c>
      <c r="AZ264" s="39">
        <v>4983245.3530374188</v>
      </c>
      <c r="BA264" s="47">
        <v>4.8871523172826956</v>
      </c>
      <c r="BB264" s="41">
        <f t="shared" si="291"/>
        <v>4.8871523172826956</v>
      </c>
      <c r="BC264" s="39">
        <v>1374256.299417224</v>
      </c>
      <c r="BD264" s="47">
        <v>4.558992210704794</v>
      </c>
      <c r="BE264" s="93">
        <v>-5.234544476136222E-6</v>
      </c>
      <c r="BF264" s="45">
        <v>9205.4302305572819</v>
      </c>
      <c r="BG264" s="93">
        <v>-1.0114695206582355E-5</v>
      </c>
      <c r="BH264" s="45">
        <v>17787.626306744743</v>
      </c>
      <c r="BI264" s="393">
        <v>7004526.4786549285</v>
      </c>
      <c r="BJ264" s="295">
        <f t="shared" si="292"/>
        <v>0</v>
      </c>
      <c r="BK264" s="295">
        <f t="shared" si="297"/>
        <v>7004526.4786549285</v>
      </c>
      <c r="BL264" s="39">
        <v>1375074.9481302188</v>
      </c>
      <c r="BM264" s="41">
        <v>21995.345592751593</v>
      </c>
      <c r="BN264" s="39">
        <v>5629451.5305247102</v>
      </c>
      <c r="BO264" s="47">
        <v>5.093923417177697</v>
      </c>
      <c r="BP264" s="41">
        <f t="shared" si="293"/>
        <v>5.093923417177697</v>
      </c>
      <c r="BQ264" s="39">
        <v>1474054.0032976009</v>
      </c>
      <c r="BR264" s="47">
        <v>4.7518791462084344</v>
      </c>
      <c r="BS264" s="50">
        <v>-5.053054751759807E-6</v>
      </c>
      <c r="BT264" s="45">
        <v>8886.2637772151284</v>
      </c>
      <c r="BU264" s="93">
        <v>-1.5167749958342163E-5</v>
      </c>
      <c r="BV264" s="45">
        <v>26673.890083959872</v>
      </c>
      <c r="BW264" s="393">
        <v>7091110.7205297258</v>
      </c>
      <c r="BX264" s="295">
        <f t="shared" si="294"/>
        <v>0</v>
      </c>
      <c r="BY264" s="295">
        <f t="shared" si="298"/>
        <v>7091110.7205297258</v>
      </c>
      <c r="BZ264" s="39">
        <v>1327398.9804369849</v>
      </c>
      <c r="CA264" s="41">
        <v>21232.733062207382</v>
      </c>
      <c r="CB264" s="39">
        <v>5763711.7400927413</v>
      </c>
      <c r="CC264" s="47">
        <v>5.3421095126917342</v>
      </c>
      <c r="CD264" s="41">
        <f t="shared" si="295"/>
        <v>5.3421095126917342</v>
      </c>
      <c r="CE264" s="39">
        <v>1422946.2792169182</v>
      </c>
      <c r="CF264" s="47">
        <v>4.9834001635199723</v>
      </c>
    </row>
    <row r="265" spans="1:95" s="22" customFormat="1" ht="15" customHeight="1">
      <c r="A265" s="324" t="str">
        <f t="shared" si="282"/>
        <v>Existing Residential; ENERGY STAR® Refrigerator (Replacement); RES-Appliance; MURB</v>
      </c>
      <c r="B265" s="36" t="s">
        <v>176</v>
      </c>
      <c r="C265" s="15" t="s">
        <v>135</v>
      </c>
      <c r="D265" s="15" t="s">
        <v>155</v>
      </c>
      <c r="E265" s="37">
        <v>10</v>
      </c>
      <c r="F265" s="38">
        <v>830.74560000000008</v>
      </c>
      <c r="G265" s="38">
        <v>114.96062961511747</v>
      </c>
      <c r="H265" s="39">
        <v>500</v>
      </c>
      <c r="I265" s="40">
        <v>0.5</v>
      </c>
      <c r="J265" s="39">
        <v>30.7375872</v>
      </c>
      <c r="K265" s="39">
        <v>280.73758720000001</v>
      </c>
      <c r="L265" s="39">
        <v>250</v>
      </c>
      <c r="M265" s="39">
        <v>530.73758720000001</v>
      </c>
      <c r="N265" s="39">
        <v>550.62815105412301</v>
      </c>
      <c r="O265" s="41">
        <v>0.83</v>
      </c>
      <c r="P265" s="41">
        <v>1.0253148455480356</v>
      </c>
      <c r="Q265" s="261">
        <f t="shared" si="283"/>
        <v>1.0253148455480356</v>
      </c>
      <c r="R265" s="262">
        <f t="shared" si="284"/>
        <v>0</v>
      </c>
      <c r="S265" s="262">
        <f t="shared" si="285"/>
        <v>0</v>
      </c>
      <c r="T265" s="261">
        <f t="shared" si="286"/>
        <v>1.0253148455480356</v>
      </c>
      <c r="U265" s="267">
        <f t="shared" si="287"/>
        <v>0</v>
      </c>
      <c r="V265" s="181">
        <v>1.44</v>
      </c>
      <c r="W265" s="181">
        <f>V265*W3</f>
        <v>1.8144</v>
      </c>
      <c r="X265" s="181"/>
      <c r="Y265" s="344"/>
      <c r="Z265" s="343">
        <v>0</v>
      </c>
      <c r="AA265" s="249">
        <v>0</v>
      </c>
      <c r="AB265" s="249">
        <v>0</v>
      </c>
      <c r="AC265" s="249">
        <v>0</v>
      </c>
      <c r="AD265" s="321">
        <f>Y265</f>
        <v>0</v>
      </c>
      <c r="AE265" s="249">
        <v>0</v>
      </c>
      <c r="AF265" s="249">
        <v>0</v>
      </c>
      <c r="AG265" s="249">
        <v>0</v>
      </c>
      <c r="AH265" s="249">
        <v>0</v>
      </c>
      <c r="AI265" s="249">
        <v>0</v>
      </c>
      <c r="AJ265" s="249"/>
      <c r="AK265" s="249"/>
      <c r="AL265" s="246" t="s">
        <v>468</v>
      </c>
      <c r="AM265" s="457" t="s">
        <v>264</v>
      </c>
      <c r="AN265" s="102">
        <v>1.44</v>
      </c>
      <c r="AO265" s="246" t="s">
        <v>433</v>
      </c>
      <c r="AP265" s="43" t="s">
        <v>176</v>
      </c>
      <c r="AQ265" s="44">
        <v>177.42619925795964</v>
      </c>
      <c r="AR265" s="45">
        <v>1282.1435899555172</v>
      </c>
      <c r="AS265" s="46">
        <v>177.42619925795964</v>
      </c>
      <c r="AT265" s="45">
        <v>1282.1435899555172</v>
      </c>
      <c r="AU265" s="393">
        <v>849820.15471776435</v>
      </c>
      <c r="AV265" s="295">
        <f t="shared" si="290"/>
        <v>0</v>
      </c>
      <c r="AW265" s="295">
        <f t="shared" si="302"/>
        <v>849820.15471776435</v>
      </c>
      <c r="AX265" s="39">
        <v>828838.24262149585</v>
      </c>
      <c r="AY265" s="41">
        <v>1859.4757687544998</v>
      </c>
      <c r="AZ265" s="39">
        <v>20981.912096268497</v>
      </c>
      <c r="BA265" s="47">
        <v>1.0253148455480356</v>
      </c>
      <c r="BB265" s="41">
        <f t="shared" si="291"/>
        <v>1.0253148455480356</v>
      </c>
      <c r="BC265" s="39">
        <v>522024.7407770034</v>
      </c>
      <c r="BD265" s="47">
        <v>1.6279308016184377</v>
      </c>
      <c r="BE265" s="46">
        <v>186.71085713602227</v>
      </c>
      <c r="BF265" s="45">
        <v>1349.2377656357412</v>
      </c>
      <c r="BG265" s="46">
        <v>364.13705639398194</v>
      </c>
      <c r="BH265" s="45">
        <v>2631.3813555912584</v>
      </c>
      <c r="BI265" s="393">
        <v>956257.25131921784</v>
      </c>
      <c r="BJ265" s="295">
        <f t="shared" si="292"/>
        <v>0</v>
      </c>
      <c r="BK265" s="295">
        <f t="shared" si="297"/>
        <v>956257.25131921784</v>
      </c>
      <c r="BL265" s="39">
        <v>893770.32076434768</v>
      </c>
      <c r="BM265" s="41">
        <v>2008.7315108314303</v>
      </c>
      <c r="BN265" s="39">
        <v>62486.930554870167</v>
      </c>
      <c r="BO265" s="47">
        <v>1.0699138571768994</v>
      </c>
      <c r="BP265" s="41">
        <f t="shared" si="293"/>
        <v>1.0699138571768994</v>
      </c>
      <c r="BQ265" s="39">
        <v>562329.62147716177</v>
      </c>
      <c r="BR265" s="47">
        <v>1.7005279729125116</v>
      </c>
      <c r="BS265" s="44">
        <v>169.8857318142895</v>
      </c>
      <c r="BT265" s="45">
        <v>1227.6535426084863</v>
      </c>
      <c r="BU265" s="46">
        <v>534.02278820827144</v>
      </c>
      <c r="BV265" s="45">
        <v>3859.0348981997449</v>
      </c>
      <c r="BW265" s="393">
        <v>934293.5038512639</v>
      </c>
      <c r="BX265" s="295">
        <f t="shared" si="294"/>
        <v>0</v>
      </c>
      <c r="BY265" s="295">
        <f t="shared" si="298"/>
        <v>934293.5038512639</v>
      </c>
      <c r="BZ265" s="39">
        <v>833916.20356372732</v>
      </c>
      <c r="CA265" s="41">
        <v>1877.565010542545</v>
      </c>
      <c r="CB265" s="39">
        <v>100377.30028753658</v>
      </c>
      <c r="CC265" s="47">
        <v>1.120368569238223</v>
      </c>
      <c r="CD265" s="41">
        <f t="shared" si="295"/>
        <v>1.120368569238223</v>
      </c>
      <c r="CE265" s="39">
        <v>524117.97682420735</v>
      </c>
      <c r="CF265" s="47">
        <v>1.7826015232532888</v>
      </c>
    </row>
    <row r="266" spans="1:95" s="22" customFormat="1" ht="15" customHeight="1">
      <c r="A266" s="324" t="str">
        <f t="shared" si="282"/>
        <v>Existing Residential; Advanced Power Strip (load sensing or remote control/wireless APS); RES-Plug Load; MURB</v>
      </c>
      <c r="B266" s="233" t="s">
        <v>149</v>
      </c>
      <c r="C266" s="15" t="s">
        <v>146</v>
      </c>
      <c r="D266" s="15" t="s">
        <v>155</v>
      </c>
      <c r="E266" s="37">
        <v>10</v>
      </c>
      <c r="F266" s="38">
        <v>459.30204020491738</v>
      </c>
      <c r="G266" s="92">
        <v>-2.6117594693748481E-7</v>
      </c>
      <c r="H266" s="39">
        <v>28</v>
      </c>
      <c r="I266" s="40">
        <v>0.7142857142857143</v>
      </c>
      <c r="J266" s="39">
        <v>16.994175487581941</v>
      </c>
      <c r="K266" s="39">
        <v>36.994175487581941</v>
      </c>
      <c r="L266" s="39">
        <v>8</v>
      </c>
      <c r="M266" s="39">
        <v>44.994175487581941</v>
      </c>
      <c r="N266" s="39">
        <v>233.39162846652985</v>
      </c>
      <c r="O266" s="41">
        <v>0.83</v>
      </c>
      <c r="P266" s="41">
        <v>4.8146892356973705</v>
      </c>
      <c r="Q266" s="261">
        <f t="shared" si="283"/>
        <v>4.8146892356973705</v>
      </c>
      <c r="R266" s="262">
        <f t="shared" si="284"/>
        <v>0</v>
      </c>
      <c r="S266" s="262">
        <f t="shared" si="285"/>
        <v>0</v>
      </c>
      <c r="T266" s="261">
        <f t="shared" si="286"/>
        <v>4.8146892356973705</v>
      </c>
      <c r="U266" s="267">
        <f t="shared" si="287"/>
        <v>0</v>
      </c>
      <c r="V266" s="42" t="s">
        <v>38</v>
      </c>
      <c r="W266" s="198" t="s">
        <v>38</v>
      </c>
      <c r="X266" s="198"/>
      <c r="Y266" s="344">
        <v>0</v>
      </c>
      <c r="Z266" s="344">
        <v>0</v>
      </c>
      <c r="AA266" s="250"/>
      <c r="AB266" s="250"/>
      <c r="AC266" s="250"/>
      <c r="AD266" s="315"/>
      <c r="AE266" s="250"/>
      <c r="AF266" s="250"/>
      <c r="AG266" s="250"/>
      <c r="AH266" s="250"/>
      <c r="AI266" s="250"/>
      <c r="AJ266" s="250"/>
      <c r="AK266" s="458"/>
      <c r="AL266" s="451" t="s">
        <v>449</v>
      </c>
      <c r="AM266" s="457" t="s">
        <v>339</v>
      </c>
      <c r="AN266" s="181" t="s">
        <v>38</v>
      </c>
      <c r="AO266" s="459" t="s">
        <v>428</v>
      </c>
      <c r="AP266" s="43" t="s">
        <v>149</v>
      </c>
      <c r="AQ266" s="50">
        <v>-5.5797400573990714E-7</v>
      </c>
      <c r="AR266" s="45">
        <v>981.24885627003232</v>
      </c>
      <c r="AS266" s="93">
        <v>-5.5797400573990714E-7</v>
      </c>
      <c r="AT266" s="45">
        <v>981.24885627003232</v>
      </c>
      <c r="AU266" s="393">
        <v>498615.8310849386</v>
      </c>
      <c r="AV266" s="295">
        <f t="shared" si="290"/>
        <v>0</v>
      </c>
      <c r="AW266" s="295">
        <f t="shared" si="302"/>
        <v>498615.8310849386</v>
      </c>
      <c r="AX266" s="39">
        <v>103561.37367871427</v>
      </c>
      <c r="AY266" s="41">
        <v>2573.9653521836908</v>
      </c>
      <c r="AZ266" s="39">
        <v>395054.45740622433</v>
      </c>
      <c r="BA266" s="47">
        <v>4.8146892356973705</v>
      </c>
      <c r="BB266" s="41">
        <f t="shared" si="291"/>
        <v>4.8146892356973705</v>
      </c>
      <c r="BC266" s="39">
        <v>95221.72593763913</v>
      </c>
      <c r="BD266" s="47">
        <v>5.2363662407409306</v>
      </c>
      <c r="BE266" s="93">
        <v>-6.1938207407430092E-7</v>
      </c>
      <c r="BF266" s="45">
        <v>1089.2406196837635</v>
      </c>
      <c r="BG266" s="93">
        <v>-1.1773560798142081E-6</v>
      </c>
      <c r="BH266" s="45">
        <v>2070.4894759537956</v>
      </c>
      <c r="BI266" s="393">
        <v>575202.54562908516</v>
      </c>
      <c r="BJ266" s="295">
        <f t="shared" si="292"/>
        <v>0</v>
      </c>
      <c r="BK266" s="295">
        <f t="shared" si="297"/>
        <v>575202.54562908516</v>
      </c>
      <c r="BL266" s="39">
        <v>114958.86504255135</v>
      </c>
      <c r="BM266" s="41">
        <v>2857.2442121507565</v>
      </c>
      <c r="BN266" s="39">
        <v>460243.6805865338</v>
      </c>
      <c r="BO266" s="47">
        <v>5.0035510129312541</v>
      </c>
      <c r="BP266" s="41">
        <f t="shared" si="293"/>
        <v>5.0035510129312541</v>
      </c>
      <c r="BQ266" s="39">
        <v>105701.3937951829</v>
      </c>
      <c r="BR266" s="47">
        <v>5.4417687882494006</v>
      </c>
      <c r="BS266" s="50">
        <v>-5.9725012638240966E-7</v>
      </c>
      <c r="BT266" s="45">
        <v>1050.3195442639533</v>
      </c>
      <c r="BU266" s="93">
        <v>-1.7746062061966177E-6</v>
      </c>
      <c r="BV266" s="45">
        <v>3120.8090202177491</v>
      </c>
      <c r="BW266" s="393">
        <v>580724.05837872415</v>
      </c>
      <c r="BX266" s="295">
        <f t="shared" si="294"/>
        <v>0</v>
      </c>
      <c r="BY266" s="295">
        <f t="shared" si="298"/>
        <v>580724.05837872415</v>
      </c>
      <c r="BZ266" s="39">
        <v>110851.12009103097</v>
      </c>
      <c r="CA266" s="41">
        <v>2755.1482973782963</v>
      </c>
      <c r="CB266" s="39">
        <v>469872.93828769319</v>
      </c>
      <c r="CC266" s="47">
        <v>5.2387748351287149</v>
      </c>
      <c r="CD266" s="41">
        <f t="shared" si="295"/>
        <v>5.2387748351287149</v>
      </c>
      <c r="CE266" s="39">
        <v>101924.4396075253</v>
      </c>
      <c r="CF266" s="47">
        <v>5.6975938314194865</v>
      </c>
    </row>
    <row r="267" spans="1:95" s="22" customFormat="1" ht="15" customHeight="1" thickBot="1">
      <c r="A267" s="324" t="str">
        <f t="shared" si="282"/>
        <v>Existing Residential; Building Envelope Retrofits (Insulation, Draft Proofing, EnergyStar Windows and Doors); RES-HVAC/Shell; RES-SF</v>
      </c>
      <c r="B267" s="109" t="s">
        <v>177</v>
      </c>
      <c r="C267" s="16" t="s">
        <v>139</v>
      </c>
      <c r="D267" s="16" t="s">
        <v>136</v>
      </c>
      <c r="E267" s="54">
        <v>25</v>
      </c>
      <c r="F267" s="55">
        <v>4653.9210000000003</v>
      </c>
      <c r="G267" s="55">
        <v>1315.5651292724497</v>
      </c>
      <c r="H267" s="56">
        <v>6206</v>
      </c>
      <c r="I267" s="57">
        <v>0.18208185626812762</v>
      </c>
      <c r="J267" s="56">
        <v>172.195077</v>
      </c>
      <c r="K267" s="56">
        <v>1302.1950770000001</v>
      </c>
      <c r="L267" s="56">
        <v>5076</v>
      </c>
      <c r="M267" s="56">
        <v>6378.1950770000003</v>
      </c>
      <c r="N267" s="56">
        <v>7976.8821446902639</v>
      </c>
      <c r="O267" s="58">
        <v>0.73</v>
      </c>
      <c r="P267" s="58">
        <v>1.2382841039804822</v>
      </c>
      <c r="Q267" s="263">
        <f t="shared" si="283"/>
        <v>1.2382841039804822</v>
      </c>
      <c r="R267" s="264">
        <f t="shared" si="284"/>
        <v>0</v>
      </c>
      <c r="S267" s="264">
        <f t="shared" si="285"/>
        <v>981.29707532268606</v>
      </c>
      <c r="T267" s="263">
        <f t="shared" si="286"/>
        <v>1.3906148702640801</v>
      </c>
      <c r="U267" s="268">
        <f t="shared" si="287"/>
        <v>0.12301762236463226</v>
      </c>
      <c r="V267" s="184" t="s">
        <v>391</v>
      </c>
      <c r="W267" s="184" t="s">
        <v>392</v>
      </c>
      <c r="X267" s="184"/>
      <c r="Y267" s="349"/>
      <c r="Z267" s="350">
        <f>65.69*W3</f>
        <v>82.769400000000005</v>
      </c>
      <c r="AA267" s="279">
        <f>35.44*W3</f>
        <v>44.654399999999995</v>
      </c>
      <c r="AB267" s="279">
        <f>16.42*W3</f>
        <v>20.689200000000003</v>
      </c>
      <c r="AC267" s="279">
        <v>0</v>
      </c>
      <c r="AD267" s="322">
        <f>Y267</f>
        <v>0</v>
      </c>
      <c r="AE267" s="279">
        <v>0</v>
      </c>
      <c r="AF267" s="279">
        <v>0</v>
      </c>
      <c r="AG267" s="279">
        <f>13.83*W3</f>
        <v>17.425799999999999</v>
      </c>
      <c r="AH267" s="279">
        <v>0</v>
      </c>
      <c r="AI267" s="279">
        <f>AA267+AB267+AG267</f>
        <v>82.76939999999999</v>
      </c>
      <c r="AJ267" s="279"/>
      <c r="AK267" s="279"/>
      <c r="AL267" s="275" t="s">
        <v>469</v>
      </c>
      <c r="AM267" s="253" t="s">
        <v>282</v>
      </c>
      <c r="AN267" s="103" t="s">
        <v>193</v>
      </c>
      <c r="AO267" s="275" t="s">
        <v>433</v>
      </c>
      <c r="AP267" s="43" t="s">
        <v>177</v>
      </c>
      <c r="AQ267" s="44">
        <v>2065.6858766228347</v>
      </c>
      <c r="AR267" s="45">
        <v>7307.5354968818756</v>
      </c>
      <c r="AS267" s="46">
        <v>2065.6858766228347</v>
      </c>
      <c r="AT267" s="45">
        <v>7307.5354968818756</v>
      </c>
      <c r="AU267" s="393">
        <v>12525212.487871481</v>
      </c>
      <c r="AV267" s="295">
        <f t="shared" si="290"/>
        <v>1540821.8598697518</v>
      </c>
      <c r="AW267" s="295">
        <f t="shared" si="302"/>
        <v>14066034.347741233</v>
      </c>
      <c r="AX267" s="39">
        <v>10114974.784549847</v>
      </c>
      <c r="AY267" s="41">
        <v>2150.9438167232151</v>
      </c>
      <c r="AZ267" s="39">
        <v>2410237.7033216339</v>
      </c>
      <c r="BA267" s="47">
        <v>1.2382841039804824</v>
      </c>
      <c r="BB267" s="41">
        <f>SUM(AU267:AV267)/AX267</f>
        <v>1.3906148702640806</v>
      </c>
      <c r="BC267" s="39">
        <v>2800948.449040561</v>
      </c>
      <c r="BD267" s="47">
        <v>4.4717754416943576</v>
      </c>
      <c r="BE267" s="46">
        <v>2509.0726757253919</v>
      </c>
      <c r="BF267" s="45">
        <v>8876.0531548463641</v>
      </c>
      <c r="BG267" s="46">
        <v>4574.7585523482267</v>
      </c>
      <c r="BH267" s="45">
        <v>16183.58865172824</v>
      </c>
      <c r="BI267" s="393">
        <v>16081475.825942326</v>
      </c>
      <c r="BJ267" s="295">
        <f t="shared" si="292"/>
        <v>1871549.8181553658</v>
      </c>
      <c r="BK267" s="295">
        <f t="shared" si="297"/>
        <v>17953025.644097693</v>
      </c>
      <c r="BL267" s="39">
        <v>12286092.060162373</v>
      </c>
      <c r="BM267" s="41">
        <v>2612.6307095558936</v>
      </c>
      <c r="BN267" s="39">
        <v>3795383.7657799534</v>
      </c>
      <c r="BO267" s="47">
        <v>1.3089170866696074</v>
      </c>
      <c r="BP267" s="41">
        <f t="shared" si="293"/>
        <v>1.4612478529532056</v>
      </c>
      <c r="BQ267" s="39">
        <v>3402154.8480027015</v>
      </c>
      <c r="BR267" s="47">
        <v>4.7268500536897244</v>
      </c>
      <c r="BS267" s="44">
        <v>2825.7204451649695</v>
      </c>
      <c r="BT267" s="45">
        <v>9996.2209603072679</v>
      </c>
      <c r="BU267" s="46">
        <v>7400.4789975131962</v>
      </c>
      <c r="BV267" s="45">
        <v>26179.809612035508</v>
      </c>
      <c r="BW267" s="393">
        <v>19168667.626908723</v>
      </c>
      <c r="BX267" s="295">
        <f t="shared" si="294"/>
        <v>2107741.4920942695</v>
      </c>
      <c r="BY267" s="295">
        <f t="shared" si="298"/>
        <v>21276409.119002994</v>
      </c>
      <c r="BZ267" s="39">
        <v>13836610.57786732</v>
      </c>
      <c r="CA267" s="41">
        <v>2942.3476183381558</v>
      </c>
      <c r="CB267" s="39">
        <v>5332057.0490414035</v>
      </c>
      <c r="CC267" s="47">
        <v>1.3853586121423713</v>
      </c>
      <c r="CD267" s="41">
        <f t="shared" si="295"/>
        <v>1.5376893784259695</v>
      </c>
      <c r="CE267" s="39">
        <v>3831510.5834226212</v>
      </c>
      <c r="CF267" s="47">
        <v>5.002900868874983</v>
      </c>
    </row>
    <row r="268" spans="1:95" s="22" customFormat="1" ht="15" customHeight="1" thickBot="1">
      <c r="A268" s="324"/>
      <c r="B268" s="60"/>
      <c r="C268" s="15"/>
      <c r="D268" s="15"/>
      <c r="E268" s="15"/>
      <c r="F268" s="60"/>
      <c r="G268" s="60"/>
      <c r="H268" s="42"/>
      <c r="I268" s="40"/>
      <c r="J268" s="39"/>
      <c r="K268" s="39"/>
      <c r="L268" s="39"/>
      <c r="M268" s="39"/>
      <c r="N268" s="39"/>
      <c r="O268" s="41"/>
      <c r="P268" s="61"/>
      <c r="Q268"/>
      <c r="R268"/>
      <c r="S268"/>
      <c r="T268"/>
      <c r="U268"/>
      <c r="V268" s="42"/>
      <c r="W268" s="42"/>
      <c r="X268" s="42"/>
      <c r="Y268" s="42"/>
      <c r="Z268" s="280"/>
      <c r="AJ268" s="280"/>
      <c r="AK268" s="280"/>
      <c r="AL268" s="280"/>
      <c r="AM268" s="42"/>
      <c r="AN268" s="42"/>
      <c r="AO268" s="276"/>
      <c r="AP268" s="62" t="s">
        <v>101</v>
      </c>
      <c r="AQ268" s="63">
        <v>7470.6319960813034</v>
      </c>
      <c r="AR268" s="64">
        <v>40999.874695891776</v>
      </c>
      <c r="AS268" s="65">
        <v>7470.6319960813034</v>
      </c>
      <c r="AT268" s="64">
        <v>40999.874695891776</v>
      </c>
      <c r="AU268" s="371">
        <v>50888949.009890027</v>
      </c>
      <c r="AV268" s="296">
        <f>SUM(AV235:AV267)</f>
        <v>3366576.135574922</v>
      </c>
      <c r="AW268" s="373">
        <f t="shared" si="302"/>
        <v>54255525.145464949</v>
      </c>
      <c r="AX268" s="66">
        <v>27536119.499884021</v>
      </c>
      <c r="AY268" s="67"/>
      <c r="AZ268" s="66">
        <v>23352829.510006003</v>
      </c>
      <c r="BA268" s="68">
        <v>1.8480799013856823</v>
      </c>
      <c r="BB268" s="67"/>
      <c r="BC268" s="66">
        <v>11960616.632820159</v>
      </c>
      <c r="BD268" s="68">
        <v>4.254709482975132</v>
      </c>
      <c r="BE268" s="65">
        <v>8026.147296844998</v>
      </c>
      <c r="BF268" s="64">
        <v>44213.402650288634</v>
      </c>
      <c r="BG268" s="65">
        <v>15496.779292926303</v>
      </c>
      <c r="BH268" s="64">
        <v>85213.277346180432</v>
      </c>
      <c r="BI268" s="371">
        <v>58340623.982215136</v>
      </c>
      <c r="BJ268" s="296">
        <f>SUM(BJ235:BJ267)</f>
        <v>3755172.8234662218</v>
      </c>
      <c r="BK268" s="373">
        <f>BI268+BJ268</f>
        <v>62095796.805681355</v>
      </c>
      <c r="BL268" s="66">
        <v>30153511.053497214</v>
      </c>
      <c r="BM268" s="67"/>
      <c r="BN268" s="66">
        <v>28187112.928717922</v>
      </c>
      <c r="BO268" s="68">
        <v>1.9347870925780224</v>
      </c>
      <c r="BP268" s="67"/>
      <c r="BQ268" s="66">
        <v>13591679.304923601</v>
      </c>
      <c r="BR268" s="68">
        <v>4.2923779080838953</v>
      </c>
      <c r="BS268" s="65">
        <v>8039.6991785704995</v>
      </c>
      <c r="BT268" s="64">
        <v>43604.09334265026</v>
      </c>
      <c r="BU268" s="65">
        <v>23536.478471496801</v>
      </c>
      <c r="BV268" s="64">
        <v>128817.37068883068</v>
      </c>
      <c r="BW268" s="371">
        <v>61756674.927013591</v>
      </c>
      <c r="BX268" s="296">
        <f>SUM(BX235:BX267)</f>
        <v>3855365.2943397798</v>
      </c>
      <c r="BY268" s="373">
        <f t="shared" si="298"/>
        <v>65612040.221353367</v>
      </c>
      <c r="BZ268" s="66">
        <v>32040077.913416751</v>
      </c>
      <c r="CA268" s="67"/>
      <c r="CB268" s="66">
        <v>29716597.01359684</v>
      </c>
      <c r="CC268" s="68">
        <v>1.9274820458895652</v>
      </c>
      <c r="CD268" s="67"/>
      <c r="CE268" s="66">
        <v>14786953.302050846</v>
      </c>
      <c r="CF268" s="68">
        <v>4.1764299694142117</v>
      </c>
    </row>
    <row r="269" spans="1:95" s="22" customFormat="1" ht="15" customHeight="1" thickBot="1">
      <c r="A269" s="324"/>
      <c r="B269"/>
      <c r="C269" s="15"/>
      <c r="D269" s="15"/>
      <c r="E269" s="15"/>
      <c r="F269" s="60"/>
      <c r="G269" s="60"/>
      <c r="H269" s="42"/>
      <c r="I269" s="40"/>
      <c r="J269" s="39"/>
      <c r="K269" s="39"/>
      <c r="L269" s="39"/>
      <c r="M269" s="39"/>
      <c r="N269" s="39"/>
      <c r="O269" s="41"/>
      <c r="P269" s="61"/>
      <c r="Q269"/>
      <c r="R269"/>
      <c r="S269"/>
      <c r="T269"/>
      <c r="U269"/>
      <c r="V269" s="42"/>
      <c r="W269" s="42"/>
      <c r="X269" s="42"/>
      <c r="Y269" s="42"/>
      <c r="Z269" s="280"/>
      <c r="AJ269" s="280"/>
      <c r="AK269" s="280"/>
      <c r="AL269" s="280"/>
      <c r="AM269" s="42"/>
      <c r="AN269" s="42"/>
      <c r="AO269" s="276"/>
      <c r="AP269" s="69" t="s">
        <v>102</v>
      </c>
      <c r="AQ269" s="382">
        <v>7470.6319960813034</v>
      </c>
      <c r="AR269" s="70">
        <v>40999.874695891776</v>
      </c>
      <c r="AS269" s="71">
        <v>7470.6319960813034</v>
      </c>
      <c r="AT269" s="70">
        <v>40999.874695891776</v>
      </c>
      <c r="AU269" s="394">
        <v>50888949.009890027</v>
      </c>
      <c r="AV269" s="372">
        <f>SUM(AU268:AV268)/AX268</f>
        <v>1.9703402705560407</v>
      </c>
      <c r="AW269" s="295"/>
      <c r="AX269" s="72"/>
      <c r="AY269" s="73"/>
      <c r="AZ269" s="72"/>
      <c r="BA269" s="372">
        <v>1.8480799013856823</v>
      </c>
      <c r="BB269" s="73"/>
      <c r="BC269" s="72"/>
      <c r="BD269" s="383">
        <v>4.2547094829751311</v>
      </c>
      <c r="BE269" s="70">
        <v>8026.147296844998</v>
      </c>
      <c r="BF269" s="70">
        <v>44213.402650288634</v>
      </c>
      <c r="BG269" s="71">
        <v>15496.779292926303</v>
      </c>
      <c r="BH269" s="70">
        <v>85213.277346180432</v>
      </c>
      <c r="BI269" s="394">
        <v>58340623.982215136</v>
      </c>
      <c r="BJ269" s="372">
        <f>SUM(BI268:BJ268)/BL268</f>
        <v>2.059322269155103</v>
      </c>
      <c r="BK269" s="295"/>
      <c r="BL269" s="72"/>
      <c r="BM269" s="73"/>
      <c r="BN269" s="72"/>
      <c r="BO269" s="372">
        <v>1.9347870925780226</v>
      </c>
      <c r="BP269" s="73"/>
      <c r="BQ269" s="72"/>
      <c r="BR269" s="73">
        <v>4.2923779080838953</v>
      </c>
      <c r="BS269" s="70">
        <v>8039.6991785704995</v>
      </c>
      <c r="BT269" s="70">
        <v>43604.09334265026</v>
      </c>
      <c r="BU269" s="71">
        <v>23536.478471496801</v>
      </c>
      <c r="BV269" s="70">
        <v>128817.37068883068</v>
      </c>
      <c r="BW269" s="394">
        <v>61756674.927013591</v>
      </c>
      <c r="BX269" s="372">
        <f>SUM(BW268:BX268)/BZ268</f>
        <v>2.0478115065343956</v>
      </c>
      <c r="BY269" s="295"/>
      <c r="BZ269" s="72"/>
      <c r="CA269" s="73"/>
      <c r="CB269" s="72"/>
      <c r="CC269" s="372">
        <v>1.9274820458895652</v>
      </c>
      <c r="CD269" s="73"/>
      <c r="CE269" s="72"/>
      <c r="CF269" s="73">
        <v>4.1764299694142117</v>
      </c>
    </row>
    <row r="270" spans="1:95" s="22" customFormat="1" ht="15" customHeight="1" thickBot="1">
      <c r="A270" s="324"/>
      <c r="B270" s="74"/>
      <c r="C270" s="74"/>
      <c r="D270" s="74"/>
      <c r="E270" s="21"/>
      <c r="F270" s="75"/>
      <c r="G270" s="75"/>
      <c r="H270" s="21"/>
      <c r="I270" s="21"/>
      <c r="J270" s="21"/>
      <c r="K270" s="21"/>
      <c r="L270" s="21"/>
      <c r="M270" s="21"/>
      <c r="N270" s="21"/>
      <c r="O270" s="21"/>
      <c r="P270" s="21"/>
      <c r="Q270"/>
      <c r="R270"/>
      <c r="S270"/>
      <c r="T270"/>
      <c r="U270"/>
      <c r="V270" s="21"/>
      <c r="W270" s="21"/>
      <c r="X270" s="21"/>
      <c r="Y270" s="21"/>
      <c r="Z270" s="281"/>
      <c r="AJ270" s="281"/>
      <c r="AK270" s="281"/>
      <c r="AL270" s="281"/>
      <c r="AM270" s="21"/>
      <c r="AN270" s="21"/>
      <c r="AO270" s="277"/>
      <c r="AP270" s="21"/>
      <c r="AQ270" s="390"/>
      <c r="AR270" s="21"/>
      <c r="AS270" s="77"/>
      <c r="AT270" s="21"/>
      <c r="AU270" s="384"/>
      <c r="AV270" s="412" t="s">
        <v>372</v>
      </c>
      <c r="AW270" s="411"/>
      <c r="AX270" s="385"/>
      <c r="AY270" s="386"/>
      <c r="AZ270" s="385"/>
      <c r="BA270" s="413" t="s">
        <v>413</v>
      </c>
      <c r="BB270" s="21"/>
      <c r="BC270" s="21"/>
      <c r="BD270" s="389"/>
      <c r="BE270" s="77"/>
      <c r="BF270" s="21"/>
      <c r="BG270" s="77"/>
      <c r="BH270" s="21"/>
      <c r="BI270" s="384"/>
      <c r="BJ270" s="412" t="s">
        <v>372</v>
      </c>
      <c r="BK270" s="411"/>
      <c r="BL270" s="385"/>
      <c r="BM270" s="386"/>
      <c r="BN270" s="385"/>
      <c r="BO270" s="413" t="s">
        <v>413</v>
      </c>
      <c r="BP270" s="21"/>
      <c r="BQ270" s="21"/>
      <c r="BR270" s="21"/>
      <c r="BS270" s="77"/>
      <c r="BT270" s="21"/>
      <c r="BU270" s="77"/>
      <c r="BV270" s="21"/>
      <c r="BW270" s="384"/>
      <c r="BX270" s="412" t="s">
        <v>372</v>
      </c>
      <c r="BY270" s="411"/>
      <c r="BZ270" s="385"/>
      <c r="CA270" s="386"/>
      <c r="CB270" s="385"/>
      <c r="CC270" s="413" t="s">
        <v>413</v>
      </c>
      <c r="CD270" s="21"/>
      <c r="CE270" s="21"/>
      <c r="CF270" s="21"/>
    </row>
    <row r="271" spans="1:95" s="22" customFormat="1" ht="15" customHeight="1" thickBot="1">
      <c r="A271" s="324"/>
      <c r="B271" s="76"/>
      <c r="C271" s="76"/>
      <c r="D271" s="76"/>
      <c r="E271" s="21"/>
      <c r="F271" s="75"/>
      <c r="G271" s="75"/>
      <c r="H271" s="21"/>
      <c r="I271" s="21"/>
      <c r="J271" s="21"/>
      <c r="K271" s="21"/>
      <c r="L271" s="21"/>
      <c r="M271" s="21"/>
      <c r="N271" s="21"/>
      <c r="O271" s="21"/>
      <c r="P271" s="21"/>
      <c r="Q271"/>
      <c r="R271"/>
      <c r="S271"/>
      <c r="T271"/>
      <c r="U271"/>
      <c r="V271" s="21"/>
      <c r="W271" s="21"/>
      <c r="X271" s="21"/>
      <c r="Y271" s="21"/>
      <c r="Z271" s="281"/>
      <c r="AA271" s="476" t="s">
        <v>386</v>
      </c>
      <c r="AB271" s="477"/>
      <c r="AC271" s="478"/>
      <c r="AD271" s="318" t="s">
        <v>385</v>
      </c>
      <c r="AE271" s="476" t="s">
        <v>386</v>
      </c>
      <c r="AF271" s="477"/>
      <c r="AG271" s="477"/>
      <c r="AH271" s="478"/>
      <c r="AI271" s="323"/>
      <c r="AJ271" s="281"/>
      <c r="AK271" s="281"/>
      <c r="AL271" s="281"/>
      <c r="AM271" s="21"/>
      <c r="AN271" s="21"/>
      <c r="AO271" s="277"/>
      <c r="AP271" s="76" t="s">
        <v>178</v>
      </c>
      <c r="AQ271" s="388"/>
      <c r="AR271" s="21"/>
      <c r="AS271" s="77"/>
      <c r="AT271" s="21"/>
      <c r="AU271" s="395"/>
      <c r="AV271" s="297"/>
      <c r="AW271" s="369"/>
      <c r="AX271" s="21"/>
      <c r="AY271" s="326"/>
      <c r="AZ271" s="21"/>
      <c r="BA271" s="389"/>
      <c r="BB271" s="21"/>
      <c r="BC271" s="21"/>
      <c r="BD271" s="389"/>
      <c r="BE271" s="77"/>
      <c r="BF271" s="21"/>
      <c r="BG271" s="77"/>
      <c r="BH271" s="21"/>
      <c r="BI271" s="395"/>
      <c r="BJ271" s="297"/>
      <c r="BK271" s="297"/>
      <c r="BL271" s="21"/>
      <c r="BM271" s="326"/>
      <c r="BN271" s="21"/>
      <c r="BO271" s="389"/>
      <c r="BP271" s="21"/>
      <c r="BQ271" s="21"/>
      <c r="BR271" s="21"/>
      <c r="BS271" s="77"/>
      <c r="BT271" s="21"/>
      <c r="BU271" s="77"/>
      <c r="BV271" s="21"/>
      <c r="BW271" s="395"/>
      <c r="BX271" s="297"/>
      <c r="BY271" s="297"/>
      <c r="BZ271" s="21"/>
      <c r="CA271" s="326"/>
      <c r="CB271" s="21"/>
      <c r="CC271" s="389"/>
      <c r="CD271" s="21"/>
      <c r="CE271" s="21"/>
      <c r="CF271" s="21"/>
    </row>
    <row r="272" spans="1:95" s="22" customFormat="1" ht="15" customHeight="1" thickBot="1">
      <c r="A272" s="324"/>
      <c r="B272" s="76" t="s">
        <v>403</v>
      </c>
      <c r="C272" s="76"/>
      <c r="D272" s="76"/>
      <c r="E272" s="21"/>
      <c r="F272" s="75"/>
      <c r="G272" s="75"/>
      <c r="H272" s="21"/>
      <c r="I272" s="21"/>
      <c r="J272" s="21"/>
      <c r="K272" s="21"/>
      <c r="L272" s="21"/>
      <c r="M272" s="21"/>
      <c r="N272" s="21"/>
      <c r="O272" s="21"/>
      <c r="P272" s="21"/>
      <c r="Q272"/>
      <c r="R272"/>
      <c r="S272"/>
      <c r="T272"/>
      <c r="U272"/>
      <c r="V272" s="21"/>
      <c r="W272" s="21"/>
      <c r="X272" s="21"/>
      <c r="Y272" s="21"/>
      <c r="Z272" s="281"/>
      <c r="AA272" s="472" t="s">
        <v>196</v>
      </c>
      <c r="AB272" s="479" t="s">
        <v>197</v>
      </c>
      <c r="AC272" s="479" t="s">
        <v>198</v>
      </c>
      <c r="AD272" s="479" t="s">
        <v>201</v>
      </c>
      <c r="AE272" s="479" t="s">
        <v>199</v>
      </c>
      <c r="AF272" s="479" t="s">
        <v>200</v>
      </c>
      <c r="AG272" s="482" t="s">
        <v>383</v>
      </c>
      <c r="AH272" s="474" t="s">
        <v>29</v>
      </c>
      <c r="AI272" s="474" t="s">
        <v>387</v>
      </c>
      <c r="AJ272" s="281"/>
      <c r="AK272" s="281"/>
      <c r="AL272" s="281"/>
      <c r="AM272" s="21"/>
      <c r="AN272" s="21"/>
      <c r="AO272" s="277"/>
      <c r="AP272" s="377" t="s">
        <v>0</v>
      </c>
      <c r="AQ272" s="5" t="s">
        <v>104</v>
      </c>
      <c r="AR272" s="6"/>
      <c r="AS272" s="7"/>
      <c r="AT272" s="6"/>
      <c r="AU272" s="396"/>
      <c r="AV272" s="298"/>
      <c r="AW272" s="369"/>
      <c r="AX272" s="6"/>
      <c r="AY272" s="327"/>
      <c r="AZ272" s="6"/>
      <c r="BA272" s="8"/>
      <c r="BB272" s="6"/>
      <c r="BC272" s="6"/>
      <c r="BD272" s="8"/>
      <c r="BE272" s="7" t="s">
        <v>105</v>
      </c>
      <c r="BF272" s="6"/>
      <c r="BG272" s="7"/>
      <c r="BH272" s="6"/>
      <c r="BI272" s="396"/>
      <c r="BJ272" s="298"/>
      <c r="BK272" s="298"/>
      <c r="BL272" s="6"/>
      <c r="BM272" s="327"/>
      <c r="BN272" s="6"/>
      <c r="BO272" s="8"/>
      <c r="BP272" s="6"/>
      <c r="BQ272" s="6"/>
      <c r="BR272" s="8"/>
      <c r="BS272" s="5" t="s">
        <v>106</v>
      </c>
      <c r="BT272" s="6"/>
      <c r="BU272" s="7"/>
      <c r="BV272" s="6"/>
      <c r="BW272" s="396"/>
      <c r="BX272" s="298"/>
      <c r="BY272" s="298"/>
      <c r="BZ272" s="6"/>
      <c r="CA272" s="327"/>
      <c r="CB272" s="6"/>
      <c r="CC272" s="8"/>
      <c r="CD272" s="6"/>
      <c r="CE272" s="6"/>
      <c r="CF272" s="8"/>
    </row>
    <row r="273" spans="1:84" s="22" customFormat="1" ht="15" customHeight="1" thickBot="1">
      <c r="A273" s="324"/>
      <c r="B273" s="76"/>
      <c r="C273" s="76"/>
      <c r="D273" s="76"/>
      <c r="E273" s="21"/>
      <c r="F273" s="75"/>
      <c r="G273" s="75"/>
      <c r="H273" s="21"/>
      <c r="I273" s="21"/>
      <c r="J273" s="21"/>
      <c r="K273" s="21"/>
      <c r="L273" s="21"/>
      <c r="M273" s="21"/>
      <c r="N273" s="21"/>
      <c r="O273" s="21"/>
      <c r="P273" s="21"/>
      <c r="Q273"/>
      <c r="R273"/>
      <c r="S273"/>
      <c r="T273"/>
      <c r="U273"/>
      <c r="V273" s="107"/>
      <c r="W273" s="107"/>
      <c r="X273" s="107"/>
      <c r="Y273" s="107"/>
      <c r="Z273" s="282"/>
      <c r="AA273" s="473"/>
      <c r="AB273" s="480"/>
      <c r="AC273" s="480"/>
      <c r="AD273" s="480"/>
      <c r="AE273" s="480"/>
      <c r="AF273" s="480"/>
      <c r="AG273" s="483"/>
      <c r="AH273" s="475"/>
      <c r="AI273" s="475"/>
      <c r="AJ273" s="282"/>
      <c r="AK273" s="282"/>
      <c r="AL273" s="282"/>
      <c r="AM273" s="107"/>
      <c r="AN273" s="107"/>
      <c r="AO273" s="437"/>
      <c r="AP273" s="378"/>
      <c r="AQ273" s="9"/>
      <c r="AR273" s="10"/>
      <c r="AS273" s="11"/>
      <c r="AT273" s="10"/>
      <c r="AU273" s="397" t="s">
        <v>107</v>
      </c>
      <c r="AV273" s="299"/>
      <c r="AW273" s="370"/>
      <c r="AX273" s="10" t="s">
        <v>108</v>
      </c>
      <c r="AY273" s="328"/>
      <c r="AZ273" s="10" t="s">
        <v>109</v>
      </c>
      <c r="BA273" s="12" t="s">
        <v>110</v>
      </c>
      <c r="BB273" s="10"/>
      <c r="BC273" s="10" t="s">
        <v>111</v>
      </c>
      <c r="BD273" s="12" t="s">
        <v>112</v>
      </c>
      <c r="BE273" s="11"/>
      <c r="BF273" s="10"/>
      <c r="BG273" s="11"/>
      <c r="BH273" s="10"/>
      <c r="BI273" s="397" t="s">
        <v>107</v>
      </c>
      <c r="BJ273" s="299"/>
      <c r="BK273" s="299"/>
      <c r="BL273" s="10" t="s">
        <v>108</v>
      </c>
      <c r="BM273" s="328"/>
      <c r="BN273" s="10" t="s">
        <v>109</v>
      </c>
      <c r="BO273" s="12" t="s">
        <v>110</v>
      </c>
      <c r="BP273" s="10"/>
      <c r="BQ273" s="10" t="s">
        <v>111</v>
      </c>
      <c r="BR273" s="12" t="s">
        <v>112</v>
      </c>
      <c r="BS273" s="9"/>
      <c r="BT273" s="10"/>
      <c r="BU273" s="11"/>
      <c r="BV273" s="10"/>
      <c r="BW273" s="397" t="s">
        <v>107</v>
      </c>
      <c r="BX273" s="299"/>
      <c r="BY273" s="299"/>
      <c r="BZ273" s="10" t="s">
        <v>108</v>
      </c>
      <c r="CA273" s="328"/>
      <c r="CB273" s="10" t="s">
        <v>109</v>
      </c>
      <c r="CC273" s="12" t="s">
        <v>110</v>
      </c>
      <c r="CD273" s="10"/>
      <c r="CE273" s="10" t="s">
        <v>111</v>
      </c>
      <c r="CF273" s="12" t="s">
        <v>112</v>
      </c>
    </row>
    <row r="274" spans="1:84" s="22" customFormat="1" ht="15" customHeight="1" thickBot="1">
      <c r="A274" s="324"/>
      <c r="B274" s="17" t="s">
        <v>0</v>
      </c>
      <c r="C274" s="18" t="s">
        <v>1</v>
      </c>
      <c r="D274" s="18" t="s">
        <v>2</v>
      </c>
      <c r="E274" s="19" t="s">
        <v>3</v>
      </c>
      <c r="F274" s="19" t="s">
        <v>4</v>
      </c>
      <c r="G274" s="19" t="s">
        <v>5</v>
      </c>
      <c r="H274" s="19" t="s">
        <v>6</v>
      </c>
      <c r="I274" s="19" t="s">
        <v>7</v>
      </c>
      <c r="J274" s="19" t="s">
        <v>8</v>
      </c>
      <c r="K274" s="19" t="s">
        <v>9</v>
      </c>
      <c r="L274" s="19" t="s">
        <v>10</v>
      </c>
      <c r="M274" s="19" t="s">
        <v>11</v>
      </c>
      <c r="N274" s="19" t="s">
        <v>12</v>
      </c>
      <c r="O274" s="19" t="s">
        <v>13</v>
      </c>
      <c r="P274" s="19" t="s">
        <v>14</v>
      </c>
      <c r="Q274" s="258" t="s">
        <v>342</v>
      </c>
      <c r="R274" s="258" t="s">
        <v>343</v>
      </c>
      <c r="S274" s="258" t="s">
        <v>344</v>
      </c>
      <c r="T274" s="258" t="s">
        <v>345</v>
      </c>
      <c r="U274" s="258" t="s">
        <v>346</v>
      </c>
      <c r="V274" s="178"/>
      <c r="W274" s="178"/>
      <c r="X274" s="178"/>
      <c r="Y274" s="330"/>
      <c r="Z274" s="364"/>
      <c r="AA274" s="361"/>
      <c r="AB274" s="283"/>
      <c r="AC274" s="283"/>
      <c r="AD274" s="283"/>
      <c r="AE274" s="283"/>
      <c r="AF274" s="283"/>
      <c r="AG274" s="283"/>
      <c r="AH274" s="283"/>
      <c r="AI274" s="283"/>
      <c r="AJ274" s="283"/>
      <c r="AK274" s="283"/>
      <c r="AL274" s="283"/>
      <c r="AM274" s="19"/>
      <c r="AN274" s="106"/>
      <c r="AO274" s="448"/>
      <c r="AP274" s="376"/>
      <c r="AQ274" s="13" t="s">
        <v>15</v>
      </c>
      <c r="AR274" s="1" t="s">
        <v>16</v>
      </c>
      <c r="AS274" s="14" t="s">
        <v>17</v>
      </c>
      <c r="AT274" s="1" t="s">
        <v>18</v>
      </c>
      <c r="AU274" s="398" t="s">
        <v>19</v>
      </c>
      <c r="AV274" s="293"/>
      <c r="AW274" s="370"/>
      <c r="AX274" s="1" t="s">
        <v>20</v>
      </c>
      <c r="AY274" s="329"/>
      <c r="AZ274" s="2" t="s">
        <v>21</v>
      </c>
      <c r="BA274" s="4" t="s">
        <v>22</v>
      </c>
      <c r="BB274" s="3"/>
      <c r="BC274" s="1" t="s">
        <v>23</v>
      </c>
      <c r="BD274" s="4" t="s">
        <v>24</v>
      </c>
      <c r="BE274" s="14" t="s">
        <v>15</v>
      </c>
      <c r="BF274" s="1" t="s">
        <v>16</v>
      </c>
      <c r="BG274" s="14" t="s">
        <v>17</v>
      </c>
      <c r="BH274" s="1" t="s">
        <v>18</v>
      </c>
      <c r="BI274" s="398" t="s">
        <v>19</v>
      </c>
      <c r="BJ274" s="293"/>
      <c r="BK274" s="293"/>
      <c r="BL274" s="1" t="s">
        <v>20</v>
      </c>
      <c r="BM274" s="329"/>
      <c r="BN274" s="2" t="s">
        <v>21</v>
      </c>
      <c r="BO274" s="4" t="s">
        <v>22</v>
      </c>
      <c r="BP274" s="3"/>
      <c r="BQ274" s="1" t="s">
        <v>23</v>
      </c>
      <c r="BR274" s="4" t="s">
        <v>24</v>
      </c>
      <c r="BS274" s="13" t="s">
        <v>15</v>
      </c>
      <c r="BT274" s="1" t="s">
        <v>16</v>
      </c>
      <c r="BU274" s="14" t="s">
        <v>17</v>
      </c>
      <c r="BV274" s="1" t="s">
        <v>18</v>
      </c>
      <c r="BW274" s="398" t="s">
        <v>19</v>
      </c>
      <c r="BX274" s="293"/>
      <c r="BY274" s="293"/>
      <c r="BZ274" s="1" t="s">
        <v>20</v>
      </c>
      <c r="CA274" s="329"/>
      <c r="CB274" s="2" t="s">
        <v>21</v>
      </c>
      <c r="CC274" s="4" t="s">
        <v>22</v>
      </c>
      <c r="CD274" s="3"/>
      <c r="CE274" s="1" t="s">
        <v>23</v>
      </c>
      <c r="CF274" s="4" t="s">
        <v>24</v>
      </c>
    </row>
    <row r="275" spans="1:84" s="22" customFormat="1" ht="15" customHeight="1">
      <c r="A275" s="324" t="str">
        <f t="shared" ref="A275:A283" si="303">CONCATENATE($B$272,"; ",B275,"; ",C275,"; ",D275)</f>
        <v>New Residential; EnerGuide 83 New Home; RES-Package; RES-NC</v>
      </c>
      <c r="B275" s="108" t="s">
        <v>179</v>
      </c>
      <c r="C275" s="15" t="s">
        <v>170</v>
      </c>
      <c r="D275" s="15" t="s">
        <v>180</v>
      </c>
      <c r="E275" s="37">
        <v>30</v>
      </c>
      <c r="F275" s="38">
        <v>4934.79</v>
      </c>
      <c r="G275" s="38">
        <v>1394.9608608058434</v>
      </c>
      <c r="H275" s="39">
        <v>2661.19776</v>
      </c>
      <c r="I275" s="40">
        <v>0.52607890365877952</v>
      </c>
      <c r="J275" s="39">
        <v>1073.3168249999999</v>
      </c>
      <c r="K275" s="39">
        <v>2473.3168249999999</v>
      </c>
      <c r="L275" s="39">
        <v>1261.1977600000002</v>
      </c>
      <c r="M275" s="39">
        <v>3734.5145849999999</v>
      </c>
      <c r="N275" s="39">
        <v>9368.9272581881178</v>
      </c>
      <c r="O275" s="41">
        <v>0.79</v>
      </c>
      <c r="P275" s="41">
        <v>2.3306794218558373</v>
      </c>
      <c r="Q275" s="261">
        <f t="shared" ref="Q275:Q283" si="304">N275*O275/(O275*H275+J275)</f>
        <v>2.3306794218558373</v>
      </c>
      <c r="R275" s="262">
        <f t="shared" ref="R275:R283" si="305">Y275</f>
        <v>0</v>
      </c>
      <c r="S275" s="262">
        <f t="shared" ref="S275:S283" si="306">-PV(RDR,E275,Z275)</f>
        <v>1864.8056533617619</v>
      </c>
      <c r="T275" s="261">
        <f t="shared" ref="T275:T283" si="307">(N275+SUM(R275:S275))*O275/(O275*H275+J275)</f>
        <v>2.794581429233705</v>
      </c>
      <c r="U275" s="267">
        <f t="shared" ref="U275:U283" si="308">(T275-Q275)/Q275</f>
        <v>0.19904153399547286</v>
      </c>
      <c r="V275" s="186" t="s">
        <v>393</v>
      </c>
      <c r="W275" s="197">
        <f>148.68*W3</f>
        <v>187.33680000000001</v>
      </c>
      <c r="X275" s="197"/>
      <c r="Y275" s="362"/>
      <c r="Z275" s="363">
        <f>AI275</f>
        <v>147.41999999999999</v>
      </c>
      <c r="AA275" s="284">
        <f>77*W3</f>
        <v>97.02</v>
      </c>
      <c r="AB275" s="284">
        <f>40*W3</f>
        <v>50.4</v>
      </c>
      <c r="AC275" s="284">
        <v>0</v>
      </c>
      <c r="AD275" s="284"/>
      <c r="AE275" s="284">
        <v>0</v>
      </c>
      <c r="AF275" s="284">
        <v>0</v>
      </c>
      <c r="AG275" s="284">
        <v>0</v>
      </c>
      <c r="AH275" s="284">
        <v>0</v>
      </c>
      <c r="AI275" s="284">
        <f>AA275+AB275+AD275</f>
        <v>147.41999999999999</v>
      </c>
      <c r="AJ275" s="284"/>
      <c r="AK275" s="284"/>
      <c r="AL275" s="284" t="s">
        <v>478</v>
      </c>
      <c r="AM275" s="468" t="s">
        <v>283</v>
      </c>
      <c r="AN275" s="105" t="s">
        <v>195</v>
      </c>
      <c r="AO275" s="246" t="s">
        <v>433</v>
      </c>
      <c r="AP275" s="43" t="s">
        <v>179</v>
      </c>
      <c r="AQ275" s="78">
        <v>95.369395921802777</v>
      </c>
      <c r="AR275" s="79">
        <v>337.37716557085332</v>
      </c>
      <c r="AS275" s="80">
        <v>95.369395921802777</v>
      </c>
      <c r="AT275" s="79">
        <v>337.37716557085332</v>
      </c>
      <c r="AU275" s="392">
        <v>640526.16682918894</v>
      </c>
      <c r="AV275" s="294">
        <f t="shared" ref="AV275:AV283" si="309">SUM(R275:S275)*O275*AY275</f>
        <v>127491.3108099219</v>
      </c>
      <c r="AW275" s="295">
        <f t="shared" si="302"/>
        <v>768017.47763911088</v>
      </c>
      <c r="AX275" s="81">
        <v>274823.79636713862</v>
      </c>
      <c r="AY275" s="82">
        <v>86.540603197754052</v>
      </c>
      <c r="AZ275" s="81">
        <v>365702.37046205031</v>
      </c>
      <c r="BA275" s="83">
        <v>2.3306794218558369</v>
      </c>
      <c r="BB275" s="82">
        <f t="shared" ref="BB275:BB283" si="310">SUM(AU275:AV275)/AX275</f>
        <v>2.7945814292337046</v>
      </c>
      <c r="BC275" s="81">
        <v>214042.32993465388</v>
      </c>
      <c r="BD275" s="83">
        <v>2.9925209981817082</v>
      </c>
      <c r="BE275" s="80">
        <v>96.895931920533073</v>
      </c>
      <c r="BF275" s="79">
        <v>342.77741355832916</v>
      </c>
      <c r="BG275" s="80">
        <v>192.26532784233584</v>
      </c>
      <c r="BH275" s="79">
        <v>680.15457912918248</v>
      </c>
      <c r="BI275" s="392">
        <v>684291.81137339934</v>
      </c>
      <c r="BJ275" s="294">
        <f t="shared" ref="BJ275:BJ283" si="311">SUM(R275:S275)*O275*BM275</f>
        <v>129532.00818034708</v>
      </c>
      <c r="BK275" s="294">
        <f>BI275+BJ275</f>
        <v>813823.81955374638</v>
      </c>
      <c r="BL275" s="81">
        <v>279222.78007052874</v>
      </c>
      <c r="BM275" s="82">
        <v>87.925820592247433</v>
      </c>
      <c r="BN275" s="81">
        <v>405069.0313028706</v>
      </c>
      <c r="BO275" s="83">
        <v>2.450701949176763</v>
      </c>
      <c r="BP275" s="82">
        <f t="shared" ref="BP275:BP283" si="312">SUM(BI275:BJ275)/BL275</f>
        <v>2.9146039565546302</v>
      </c>
      <c r="BQ275" s="81">
        <v>217468.41142273706</v>
      </c>
      <c r="BR275" s="83">
        <v>3.1466262474470548</v>
      </c>
      <c r="BS275" s="78">
        <v>98.608713015497287</v>
      </c>
      <c r="BT275" s="79">
        <v>348.83651905519287</v>
      </c>
      <c r="BU275" s="80">
        <v>290.87404085783317</v>
      </c>
      <c r="BV275" s="79">
        <v>1028.9910981843755</v>
      </c>
      <c r="BW275" s="392">
        <v>733297.79143218452</v>
      </c>
      <c r="BX275" s="294">
        <f t="shared" ref="BX275:BX283" si="313">SUM(R275:S275)*O275*CA275</f>
        <v>131821.68092931242</v>
      </c>
      <c r="BY275" s="294">
        <f>BW275+BX275</f>
        <v>865119.47236149688</v>
      </c>
      <c r="BZ275" s="81">
        <v>284158.46198729251</v>
      </c>
      <c r="CA275" s="82">
        <v>89.480041500026346</v>
      </c>
      <c r="CB275" s="81">
        <v>449139.32944489201</v>
      </c>
      <c r="CC275" s="83">
        <v>2.5805945960707564</v>
      </c>
      <c r="CD275" s="82">
        <f t="shared" ref="CD275:CD283" si="314">SUM(BW275:BX275)/BZ275</f>
        <v>3.0444966034486236</v>
      </c>
      <c r="CE275" s="81">
        <v>221312.4921437134</v>
      </c>
      <c r="CF275" s="83">
        <v>3.3134044279615447</v>
      </c>
    </row>
    <row r="276" spans="1:84" s="22" customFormat="1" ht="15" customHeight="1">
      <c r="A276" s="324" t="str">
        <f t="shared" si="303"/>
        <v>New Residential; EnerGuide 85 New Home; RES-Package; RES-NC</v>
      </c>
      <c r="B276" s="108" t="s">
        <v>181</v>
      </c>
      <c r="C276" s="15" t="s">
        <v>170</v>
      </c>
      <c r="D276" s="15" t="s">
        <v>180</v>
      </c>
      <c r="E276" s="37">
        <v>30</v>
      </c>
      <c r="F276" s="38">
        <v>6908.7060000000001</v>
      </c>
      <c r="G276" s="38">
        <v>1952.9452051281808</v>
      </c>
      <c r="H276" s="39">
        <v>3193.437312</v>
      </c>
      <c r="I276" s="40">
        <v>0.43839908638231628</v>
      </c>
      <c r="J276" s="39">
        <v>1502.6435550000001</v>
      </c>
      <c r="K276" s="39">
        <v>2902.6435550000001</v>
      </c>
      <c r="L276" s="39">
        <v>1793.437312</v>
      </c>
      <c r="M276" s="39">
        <v>4696.0808670000006</v>
      </c>
      <c r="N276" s="39">
        <v>13116.498161463365</v>
      </c>
      <c r="O276" s="41">
        <v>0.79</v>
      </c>
      <c r="P276" s="41">
        <v>2.5741247064055583</v>
      </c>
      <c r="Q276" s="261">
        <f t="shared" si="304"/>
        <v>2.5741247064055583</v>
      </c>
      <c r="R276" s="262">
        <f t="shared" si="305"/>
        <v>0</v>
      </c>
      <c r="S276" s="262">
        <f t="shared" si="306"/>
        <v>1864.8056533617619</v>
      </c>
      <c r="T276" s="261">
        <f t="shared" si="307"/>
        <v>2.9400945137331358</v>
      </c>
      <c r="U276" s="267">
        <f t="shared" si="308"/>
        <v>0.14217252428248059</v>
      </c>
      <c r="V276" s="230" t="s">
        <v>393</v>
      </c>
      <c r="W276" s="197">
        <f>148.68*W3</f>
        <v>187.33680000000001</v>
      </c>
      <c r="X276" s="197"/>
      <c r="Y276" s="351"/>
      <c r="Z276" s="352">
        <f>AI276</f>
        <v>147.41999999999999</v>
      </c>
      <c r="AA276" s="284">
        <f>77*W3</f>
        <v>97.02</v>
      </c>
      <c r="AB276" s="284">
        <f>40*W3</f>
        <v>50.4</v>
      </c>
      <c r="AC276" s="284">
        <v>0</v>
      </c>
      <c r="AD276" s="284"/>
      <c r="AE276" s="284">
        <v>0</v>
      </c>
      <c r="AF276" s="284">
        <v>0</v>
      </c>
      <c r="AG276" s="284">
        <v>0</v>
      </c>
      <c r="AH276" s="284">
        <v>0</v>
      </c>
      <c r="AI276" s="284">
        <f>AA276+AB276+AD276</f>
        <v>147.41999999999999</v>
      </c>
      <c r="AJ276" s="284"/>
      <c r="AK276" s="284"/>
      <c r="AL276" s="284" t="s">
        <v>478</v>
      </c>
      <c r="AM276" s="468"/>
      <c r="AN276" s="105" t="s">
        <v>195</v>
      </c>
      <c r="AO276" s="246" t="s">
        <v>433</v>
      </c>
      <c r="AP276" s="43" t="s">
        <v>181</v>
      </c>
      <c r="AQ276" s="44">
        <v>138.42057099748189</v>
      </c>
      <c r="AR276" s="45">
        <v>489.67427599227614</v>
      </c>
      <c r="AS276" s="46">
        <v>138.42057099748189</v>
      </c>
      <c r="AT276" s="45">
        <v>489.67427599227614</v>
      </c>
      <c r="AU276" s="393">
        <v>929669.28116040747</v>
      </c>
      <c r="AV276" s="295">
        <f t="shared" si="309"/>
        <v>132173.42845045429</v>
      </c>
      <c r="AW276" s="295">
        <f t="shared" si="302"/>
        <v>1061842.7096108617</v>
      </c>
      <c r="AX276" s="39">
        <v>361159.37928220024</v>
      </c>
      <c r="AY276" s="41">
        <v>89.718806341799095</v>
      </c>
      <c r="AZ276" s="39">
        <v>568509.90187820722</v>
      </c>
      <c r="BA276" s="47">
        <v>2.5741247064055583</v>
      </c>
      <c r="BB276" s="41">
        <f t="shared" si="310"/>
        <v>2.9400945137331358</v>
      </c>
      <c r="BC276" s="39">
        <v>260421.71499031625</v>
      </c>
      <c r="BD276" s="47">
        <v>3.5698608358944917</v>
      </c>
      <c r="BE276" s="46">
        <v>141.11054581100788</v>
      </c>
      <c r="BF276" s="45">
        <v>499.19028549692382</v>
      </c>
      <c r="BG276" s="46">
        <v>279.5311168084898</v>
      </c>
      <c r="BH276" s="45">
        <v>988.86456148920001</v>
      </c>
      <c r="BI276" s="393">
        <v>996541.22813015163</v>
      </c>
      <c r="BJ276" s="295">
        <f t="shared" si="311"/>
        <v>134742.00038298569</v>
      </c>
      <c r="BK276" s="295">
        <f t="shared" ref="BK276:BK284" si="315">BI276+BJ276</f>
        <v>1131283.2285131374</v>
      </c>
      <c r="BL276" s="39">
        <v>368177.91436652292</v>
      </c>
      <c r="BM276" s="41">
        <v>91.462342924692152</v>
      </c>
      <c r="BN276" s="39">
        <v>628363.31376362871</v>
      </c>
      <c r="BO276" s="47">
        <v>2.706683886361771</v>
      </c>
      <c r="BP276" s="41">
        <f t="shared" si="312"/>
        <v>3.0726536936893489</v>
      </c>
      <c r="BQ276" s="39">
        <v>265482.58021555754</v>
      </c>
      <c r="BR276" s="47">
        <v>3.7536972381427582</v>
      </c>
      <c r="BS276" s="44">
        <v>144.04905066288137</v>
      </c>
      <c r="BT276" s="45">
        <v>509.58549067106748</v>
      </c>
      <c r="BU276" s="46">
        <v>423.58016747137111</v>
      </c>
      <c r="BV276" s="45">
        <v>1498.4500521602674</v>
      </c>
      <c r="BW276" s="393">
        <v>1071212.1422007899</v>
      </c>
      <c r="BX276" s="295">
        <f t="shared" si="313"/>
        <v>137547.88579432011</v>
      </c>
      <c r="BY276" s="295">
        <f t="shared" ref="BY276:BY284" si="316">BW276+BX276</f>
        <v>1208760.02799511</v>
      </c>
      <c r="BZ276" s="39">
        <v>375844.90042699559</v>
      </c>
      <c r="CA276" s="41">
        <v>93.366966968935344</v>
      </c>
      <c r="CB276" s="39">
        <v>695367.24177379429</v>
      </c>
      <c r="CC276" s="47">
        <v>2.8501441445228894</v>
      </c>
      <c r="CD276" s="41">
        <f t="shared" si="314"/>
        <v>3.2161139518504669</v>
      </c>
      <c r="CE276" s="39">
        <v>271011.02492227801</v>
      </c>
      <c r="CF276" s="47">
        <v>3.9526515296121176</v>
      </c>
    </row>
    <row r="277" spans="1:84" s="22" customFormat="1" ht="15" customHeight="1">
      <c r="A277" s="324" t="str">
        <f t="shared" si="303"/>
        <v>New Residential; EnerGuide 86 New Home; RES-Package; RES-NC</v>
      </c>
      <c r="B277" s="108" t="s">
        <v>182</v>
      </c>
      <c r="C277" s="15" t="s">
        <v>170</v>
      </c>
      <c r="D277" s="15" t="s">
        <v>180</v>
      </c>
      <c r="E277" s="37">
        <v>30</v>
      </c>
      <c r="F277" s="38">
        <v>7895.6639999999998</v>
      </c>
      <c r="G277" s="38">
        <v>2231.9373772893491</v>
      </c>
      <c r="H277" s="39">
        <v>3725.676864</v>
      </c>
      <c r="I277" s="40">
        <v>0.37577064547055683</v>
      </c>
      <c r="J277" s="39">
        <v>1717.30692</v>
      </c>
      <c r="K277" s="39">
        <v>3117.30692</v>
      </c>
      <c r="L277" s="39">
        <v>2325.676864</v>
      </c>
      <c r="M277" s="39">
        <v>5442.983784</v>
      </c>
      <c r="N277" s="39">
        <v>14990.283613100986</v>
      </c>
      <c r="O277" s="41">
        <v>0.79</v>
      </c>
      <c r="P277" s="41">
        <v>2.540948652571704</v>
      </c>
      <c r="Q277" s="261">
        <f t="shared" si="304"/>
        <v>2.540948652571704</v>
      </c>
      <c r="R277" s="262">
        <f t="shared" si="305"/>
        <v>0</v>
      </c>
      <c r="S277" s="262">
        <f t="shared" si="306"/>
        <v>1864.8056533617619</v>
      </c>
      <c r="T277" s="261">
        <f t="shared" si="307"/>
        <v>2.8570451010789548</v>
      </c>
      <c r="U277" s="267">
        <f t="shared" si="308"/>
        <v>0.12440095874717043</v>
      </c>
      <c r="V277" s="230" t="s">
        <v>393</v>
      </c>
      <c r="W277" s="197">
        <f>148.68*W3</f>
        <v>187.33680000000001</v>
      </c>
      <c r="X277" s="197"/>
      <c r="Y277" s="351"/>
      <c r="Z277" s="352">
        <f t="shared" ref="Z277:Z280" si="317">AI277</f>
        <v>147.41999999999999</v>
      </c>
      <c r="AA277" s="284">
        <f>AA275</f>
        <v>97.02</v>
      </c>
      <c r="AB277" s="284">
        <f>40*W3</f>
        <v>50.4</v>
      </c>
      <c r="AC277" s="284">
        <v>0</v>
      </c>
      <c r="AD277" s="284"/>
      <c r="AE277" s="284">
        <v>0</v>
      </c>
      <c r="AF277" s="284">
        <v>0</v>
      </c>
      <c r="AG277" s="284">
        <v>0</v>
      </c>
      <c r="AH277" s="284">
        <v>0</v>
      </c>
      <c r="AI277" s="284">
        <f t="shared" ref="AI277:AI280" si="318">AA277+AB277+AD277</f>
        <v>147.41999999999999</v>
      </c>
      <c r="AJ277" s="284"/>
      <c r="AK277" s="284"/>
      <c r="AL277" s="284" t="s">
        <v>478</v>
      </c>
      <c r="AM277" s="468"/>
      <c r="AN277" s="105" t="s">
        <v>195</v>
      </c>
      <c r="AO277" s="246" t="s">
        <v>433</v>
      </c>
      <c r="AP277" s="43" t="s">
        <v>182</v>
      </c>
      <c r="AQ277" s="44">
        <v>159.4511532201231</v>
      </c>
      <c r="AR277" s="45">
        <v>564.07170875359031</v>
      </c>
      <c r="AS277" s="46">
        <v>159.4511532201231</v>
      </c>
      <c r="AT277" s="45">
        <v>564.07170875359031</v>
      </c>
      <c r="AU277" s="393">
        <v>1070916.251292205</v>
      </c>
      <c r="AV277" s="295">
        <f t="shared" si="309"/>
        <v>133223.00839867609</v>
      </c>
      <c r="AW277" s="295">
        <f t="shared" si="302"/>
        <v>1204139.259690881</v>
      </c>
      <c r="AX277" s="39">
        <v>421463.16109470627</v>
      </c>
      <c r="AY277" s="41">
        <v>90.431257106061793</v>
      </c>
      <c r="AZ277" s="39">
        <v>649453.09019749868</v>
      </c>
      <c r="BA277" s="47">
        <v>2.540948652571704</v>
      </c>
      <c r="BB277" s="41">
        <f t="shared" si="310"/>
        <v>2.8570451010789553</v>
      </c>
      <c r="BC277" s="39">
        <v>281901.98356102558</v>
      </c>
      <c r="BD277" s="47">
        <v>3.7988957642803358</v>
      </c>
      <c r="BE277" s="46">
        <v>163.08548011227901</v>
      </c>
      <c r="BF277" s="45">
        <v>576.92844223483041</v>
      </c>
      <c r="BG277" s="46">
        <v>322.53663333240212</v>
      </c>
      <c r="BH277" s="45">
        <v>1141.0001509884207</v>
      </c>
      <c r="BI277" s="393">
        <v>1151731.1034921096</v>
      </c>
      <c r="BJ277" s="295">
        <f t="shared" si="311"/>
        <v>136259.52429899582</v>
      </c>
      <c r="BK277" s="295">
        <f t="shared" si="315"/>
        <v>1287990.6277911053</v>
      </c>
      <c r="BL277" s="39">
        <v>431069.45662462915</v>
      </c>
      <c r="BM277" s="41">
        <v>92.492432224302007</v>
      </c>
      <c r="BN277" s="39">
        <v>720661.64686748036</v>
      </c>
      <c r="BO277" s="47">
        <v>2.6717993719861837</v>
      </c>
      <c r="BP277" s="41">
        <f t="shared" si="312"/>
        <v>2.9878958204934345</v>
      </c>
      <c r="BQ277" s="39">
        <v>288327.29902044765</v>
      </c>
      <c r="BR277" s="47">
        <v>3.9945267319638398</v>
      </c>
      <c r="BS277" s="44">
        <v>166.99743049076858</v>
      </c>
      <c r="BT277" s="45">
        <v>590.76729187618491</v>
      </c>
      <c r="BU277" s="46">
        <v>489.53406382317064</v>
      </c>
      <c r="BV277" s="45">
        <v>1731.7674428646055</v>
      </c>
      <c r="BW277" s="393">
        <v>1241866.3950566393</v>
      </c>
      <c r="BX277" s="295">
        <f t="shared" si="313"/>
        <v>139527.9973555014</v>
      </c>
      <c r="BY277" s="295">
        <f t="shared" si="316"/>
        <v>1381394.3924121407</v>
      </c>
      <c r="BZ277" s="39">
        <v>441409.56981457735</v>
      </c>
      <c r="CA277" s="41">
        <v>94.711058953046788</v>
      </c>
      <c r="CB277" s="39">
        <v>800456.82524206198</v>
      </c>
      <c r="CC277" s="47">
        <v>2.8134106733986521</v>
      </c>
      <c r="CD277" s="41">
        <f t="shared" si="314"/>
        <v>3.129507121905903</v>
      </c>
      <c r="CE277" s="39">
        <v>295243.43947486067</v>
      </c>
      <c r="CF277" s="47">
        <v>4.2062455215448793</v>
      </c>
    </row>
    <row r="278" spans="1:84" s="22" customFormat="1" ht="15" customHeight="1">
      <c r="A278" s="324" t="str">
        <f t="shared" si="303"/>
        <v>New Residential; EnerGuide 87 New Home; RES-Package; RES-NC</v>
      </c>
      <c r="B278" s="108" t="s">
        <v>183</v>
      </c>
      <c r="C278" s="15" t="s">
        <v>170</v>
      </c>
      <c r="D278" s="15" t="s">
        <v>180</v>
      </c>
      <c r="E278" s="37">
        <v>30</v>
      </c>
      <c r="F278" s="38">
        <v>8883.741</v>
      </c>
      <c r="G278" s="38">
        <v>2511.2458671060294</v>
      </c>
      <c r="H278" s="39">
        <v>4257.916416</v>
      </c>
      <c r="I278" s="40">
        <v>0.32879931478673724</v>
      </c>
      <c r="J278" s="39">
        <v>1932.2136674999999</v>
      </c>
      <c r="K278" s="39">
        <v>3332.2136675000002</v>
      </c>
      <c r="L278" s="39">
        <v>2857.916416</v>
      </c>
      <c r="M278" s="39">
        <v>6190.1300835000002</v>
      </c>
      <c r="N278" s="39">
        <v>16866.193538039788</v>
      </c>
      <c r="O278" s="41">
        <v>0.79</v>
      </c>
      <c r="P278" s="41">
        <v>2.5159317070077356</v>
      </c>
      <c r="Q278" s="261">
        <f t="shared" si="304"/>
        <v>2.5159317070077356</v>
      </c>
      <c r="R278" s="262">
        <f t="shared" si="305"/>
        <v>0</v>
      </c>
      <c r="S278" s="262">
        <f t="shared" si="306"/>
        <v>1864.8056533617619</v>
      </c>
      <c r="T278" s="261">
        <f t="shared" si="307"/>
        <v>2.7941049450960143</v>
      </c>
      <c r="U278" s="267">
        <f t="shared" si="308"/>
        <v>0.11056470146366472</v>
      </c>
      <c r="V278" s="230" t="s">
        <v>393</v>
      </c>
      <c r="W278" s="197">
        <f>148.68*W3</f>
        <v>187.33680000000001</v>
      </c>
      <c r="X278" s="197"/>
      <c r="Y278" s="351"/>
      <c r="Z278" s="352">
        <f t="shared" si="317"/>
        <v>147.41999999999999</v>
      </c>
      <c r="AA278" s="284">
        <f>77*W3</f>
        <v>97.02</v>
      </c>
      <c r="AB278" s="284">
        <f>40*W3</f>
        <v>50.4</v>
      </c>
      <c r="AC278" s="284">
        <v>0</v>
      </c>
      <c r="AD278" s="284"/>
      <c r="AE278" s="284">
        <v>0</v>
      </c>
      <c r="AF278" s="284">
        <v>0</v>
      </c>
      <c r="AG278" s="284">
        <v>0</v>
      </c>
      <c r="AH278" s="284">
        <v>0</v>
      </c>
      <c r="AI278" s="284">
        <f t="shared" si="318"/>
        <v>147.41999999999999</v>
      </c>
      <c r="AJ278" s="284"/>
      <c r="AK278" s="284"/>
      <c r="AL278" s="284" t="s">
        <v>478</v>
      </c>
      <c r="AM278" s="468"/>
      <c r="AN278" s="105" t="s">
        <v>195</v>
      </c>
      <c r="AO278" s="246" t="s">
        <v>433</v>
      </c>
      <c r="AP278" s="43" t="s">
        <v>183</v>
      </c>
      <c r="AQ278" s="44">
        <v>180.8360776733353</v>
      </c>
      <c r="AR278" s="45">
        <v>639.72265660993673</v>
      </c>
      <c r="AS278" s="46">
        <v>180.8360776733353</v>
      </c>
      <c r="AT278" s="45">
        <v>639.72265660993673</v>
      </c>
      <c r="AU278" s="393">
        <v>1214543.0778601221</v>
      </c>
      <c r="AV278" s="295">
        <f t="shared" si="309"/>
        <v>134285.59281836505</v>
      </c>
      <c r="AW278" s="295">
        <f t="shared" si="302"/>
        <v>1348828.670678487</v>
      </c>
      <c r="AX278" s="39">
        <v>482740.87666100077</v>
      </c>
      <c r="AY278" s="41">
        <v>91.152535254699842</v>
      </c>
      <c r="AZ278" s="39">
        <v>731802.20119912131</v>
      </c>
      <c r="BA278" s="47">
        <v>2.5159317070077347</v>
      </c>
      <c r="BB278" s="41">
        <f t="shared" si="310"/>
        <v>2.7941049450960138</v>
      </c>
      <c r="BC278" s="39">
        <v>303739.72380298644</v>
      </c>
      <c r="BD278" s="47">
        <v>3.9986310076712477</v>
      </c>
      <c r="BE278" s="46">
        <v>185.50747472502889</v>
      </c>
      <c r="BF278" s="45">
        <v>656.24811198608973</v>
      </c>
      <c r="BG278" s="46">
        <v>366.34355239836418</v>
      </c>
      <c r="BH278" s="45">
        <v>1295.9707685960266</v>
      </c>
      <c r="BI278" s="393">
        <v>1310078.1775544812</v>
      </c>
      <c r="BJ278" s="295">
        <f t="shared" si="311"/>
        <v>137754.48757901011</v>
      </c>
      <c r="BK278" s="295">
        <f t="shared" si="315"/>
        <v>1447832.6651334914</v>
      </c>
      <c r="BL278" s="39">
        <v>495211.14441387559</v>
      </c>
      <c r="BM278" s="41">
        <v>93.507207452425718</v>
      </c>
      <c r="BN278" s="39">
        <v>814867.03314060555</v>
      </c>
      <c r="BO278" s="47">
        <v>2.6454941338306712</v>
      </c>
      <c r="BP278" s="41">
        <f t="shared" si="312"/>
        <v>2.9236673719189503</v>
      </c>
      <c r="BQ278" s="39">
        <v>311585.99468273082</v>
      </c>
      <c r="BR278" s="47">
        <v>4.2045477008312089</v>
      </c>
      <c r="BS278" s="44">
        <v>190.48594148417394</v>
      </c>
      <c r="BT278" s="45">
        <v>673.85985197725279</v>
      </c>
      <c r="BU278" s="46">
        <v>556.82949388253815</v>
      </c>
      <c r="BV278" s="45">
        <v>1969.8306205732792</v>
      </c>
      <c r="BW278" s="393">
        <v>1416537.3009915727</v>
      </c>
      <c r="BX278" s="295">
        <f t="shared" si="313"/>
        <v>141451.40673739824</v>
      </c>
      <c r="BY278" s="295">
        <f t="shared" si="316"/>
        <v>1557988.7077289708</v>
      </c>
      <c r="BZ278" s="39">
        <v>508501.13299723063</v>
      </c>
      <c r="CA278" s="41">
        <v>96.016661719605025</v>
      </c>
      <c r="CB278" s="39">
        <v>908036.16799434205</v>
      </c>
      <c r="CC278" s="47">
        <v>2.7857111991907546</v>
      </c>
      <c r="CD278" s="41">
        <f t="shared" si="314"/>
        <v>3.0638844372790333</v>
      </c>
      <c r="CE278" s="39">
        <v>319948.03248979198</v>
      </c>
      <c r="CF278" s="47">
        <v>4.427398068268376</v>
      </c>
    </row>
    <row r="279" spans="1:84" s="22" customFormat="1" ht="15" customHeight="1">
      <c r="A279" s="324" t="str">
        <f t="shared" si="303"/>
        <v>New Residential; EnerGuide 88 New Home; RES-Package; RES-NC</v>
      </c>
      <c r="B279" s="108" t="s">
        <v>184</v>
      </c>
      <c r="C279" s="15" t="s">
        <v>170</v>
      </c>
      <c r="D279" s="15" t="s">
        <v>180</v>
      </c>
      <c r="E279" s="37">
        <v>30</v>
      </c>
      <c r="F279" s="38">
        <v>9869.58</v>
      </c>
      <c r="G279" s="38">
        <v>2789.9217216116867</v>
      </c>
      <c r="H279" s="39">
        <v>4790.155968</v>
      </c>
      <c r="I279" s="40">
        <v>0.29226605758821089</v>
      </c>
      <c r="J279" s="39">
        <v>2146.6336499999998</v>
      </c>
      <c r="K279" s="39">
        <v>3546.6336499999998</v>
      </c>
      <c r="L279" s="39">
        <v>3390.155968</v>
      </c>
      <c r="M279" s="39">
        <v>6936.7896179999998</v>
      </c>
      <c r="N279" s="39">
        <v>18737.854516376236</v>
      </c>
      <c r="O279" s="41">
        <v>0.79</v>
      </c>
      <c r="P279" s="41">
        <v>2.4959133908614541</v>
      </c>
      <c r="Q279" s="261">
        <f t="shared" si="304"/>
        <v>2.4959133908614541</v>
      </c>
      <c r="R279" s="262">
        <f t="shared" si="305"/>
        <v>0</v>
      </c>
      <c r="S279" s="262">
        <f t="shared" si="306"/>
        <v>1864.8056533617619</v>
      </c>
      <c r="T279" s="261">
        <f t="shared" si="307"/>
        <v>2.7443086058799064</v>
      </c>
      <c r="U279" s="267">
        <f t="shared" si="308"/>
        <v>9.952076699773614E-2</v>
      </c>
      <c r="V279" s="230" t="s">
        <v>393</v>
      </c>
      <c r="W279" s="197">
        <f>148.68*W3</f>
        <v>187.33680000000001</v>
      </c>
      <c r="X279" s="197"/>
      <c r="Y279" s="351"/>
      <c r="Z279" s="352">
        <f t="shared" si="317"/>
        <v>147.41999999999999</v>
      </c>
      <c r="AA279" s="284">
        <f>77*W3</f>
        <v>97.02</v>
      </c>
      <c r="AB279" s="284">
        <f>40*W3</f>
        <v>50.4</v>
      </c>
      <c r="AC279" s="284">
        <v>0</v>
      </c>
      <c r="AD279" s="284"/>
      <c r="AE279" s="284">
        <v>0</v>
      </c>
      <c r="AF279" s="284">
        <v>0</v>
      </c>
      <c r="AG279" s="284">
        <v>0</v>
      </c>
      <c r="AH279" s="284">
        <v>0</v>
      </c>
      <c r="AI279" s="284">
        <f t="shared" si="318"/>
        <v>147.41999999999999</v>
      </c>
      <c r="AJ279" s="284"/>
      <c r="AK279" s="284"/>
      <c r="AL279" s="284" t="s">
        <v>478</v>
      </c>
      <c r="AM279" s="468"/>
      <c r="AN279" s="105" t="s">
        <v>195</v>
      </c>
      <c r="AO279" s="246" t="s">
        <v>433</v>
      </c>
      <c r="AP279" s="43" t="s">
        <v>184</v>
      </c>
      <c r="AQ279" s="44">
        <v>202.31712089312973</v>
      </c>
      <c r="AR279" s="45">
        <v>715.71363259285613</v>
      </c>
      <c r="AS279" s="46">
        <v>202.31712089312973</v>
      </c>
      <c r="AT279" s="45">
        <v>715.71363259285613</v>
      </c>
      <c r="AU279" s="393">
        <v>1358815.4635670506</v>
      </c>
      <c r="AV279" s="295">
        <f t="shared" si="309"/>
        <v>135230.35714257765</v>
      </c>
      <c r="AW279" s="295">
        <f t="shared" si="302"/>
        <v>1494045.8207096283</v>
      </c>
      <c r="AX279" s="39">
        <v>544416.11176983244</v>
      </c>
      <c r="AY279" s="41">
        <v>91.793837583287342</v>
      </c>
      <c r="AZ279" s="39">
        <v>814399.3517972182</v>
      </c>
      <c r="BA279" s="47">
        <v>2.4959133908614537</v>
      </c>
      <c r="BB279" s="41">
        <f t="shared" si="310"/>
        <v>2.7443086058799064</v>
      </c>
      <c r="BC279" s="39">
        <v>325559.11323552154</v>
      </c>
      <c r="BD279" s="47">
        <v>4.1737902836221119</v>
      </c>
      <c r="BE279" s="46">
        <v>208.10113841381852</v>
      </c>
      <c r="BF279" s="45">
        <v>736.17507536368134</v>
      </c>
      <c r="BG279" s="46">
        <v>410.41825930694824</v>
      </c>
      <c r="BH279" s="45">
        <v>1451.8887079565375</v>
      </c>
      <c r="BI279" s="393">
        <v>1469637.6012033811</v>
      </c>
      <c r="BJ279" s="295">
        <f t="shared" si="311"/>
        <v>139096.44001084284</v>
      </c>
      <c r="BK279" s="295">
        <f t="shared" si="315"/>
        <v>1608734.041214224</v>
      </c>
      <c r="BL279" s="39">
        <v>559980.35228057648</v>
      </c>
      <c r="BM279" s="41">
        <v>94.418119515183008</v>
      </c>
      <c r="BN279" s="39">
        <v>909657.2489228046</v>
      </c>
      <c r="BO279" s="47">
        <v>2.6244449385020987</v>
      </c>
      <c r="BP279" s="41">
        <f t="shared" si="312"/>
        <v>2.8728401535205519</v>
      </c>
      <c r="BQ279" s="39">
        <v>334866.47984226973</v>
      </c>
      <c r="BR279" s="47">
        <v>4.3887271186283447</v>
      </c>
      <c r="BS279" s="44">
        <v>214.22196826871456</v>
      </c>
      <c r="BT279" s="45">
        <v>757.8280197639948</v>
      </c>
      <c r="BU279" s="46">
        <v>624.64022757566283</v>
      </c>
      <c r="BV279" s="45">
        <v>2209.7167277205322</v>
      </c>
      <c r="BW279" s="393">
        <v>1593048.8432905108</v>
      </c>
      <c r="BX279" s="295">
        <f t="shared" si="313"/>
        <v>143187.65089617253</v>
      </c>
      <c r="BY279" s="295">
        <f t="shared" si="316"/>
        <v>1736236.4941866833</v>
      </c>
      <c r="BZ279" s="39">
        <v>576450.92271819862</v>
      </c>
      <c r="CA279" s="41">
        <v>97.195217464654377</v>
      </c>
      <c r="CB279" s="39">
        <v>1016597.9205723122</v>
      </c>
      <c r="CC279" s="47">
        <v>2.7635463497545341</v>
      </c>
      <c r="CD279" s="41">
        <f t="shared" si="314"/>
        <v>3.0119415647729868</v>
      </c>
      <c r="CE279" s="39">
        <v>344715.82887921087</v>
      </c>
      <c r="CF279" s="47">
        <v>4.62133940431473</v>
      </c>
    </row>
    <row r="280" spans="1:84" s="22" customFormat="1" ht="15" customHeight="1">
      <c r="A280" s="324" t="str">
        <f t="shared" si="303"/>
        <v>New Residential; EnerGuide 88+ New Home; RES-Package; RES-NC</v>
      </c>
      <c r="B280" s="108" t="s">
        <v>185</v>
      </c>
      <c r="C280" s="15" t="s">
        <v>170</v>
      </c>
      <c r="D280" s="15" t="s">
        <v>180</v>
      </c>
      <c r="E280" s="37">
        <v>30</v>
      </c>
      <c r="F280" s="38">
        <v>10856.538</v>
      </c>
      <c r="G280" s="38">
        <v>3068.9138937728558</v>
      </c>
      <c r="H280" s="39">
        <v>5322.39552</v>
      </c>
      <c r="I280" s="40">
        <v>0.26303945182938976</v>
      </c>
      <c r="J280" s="39">
        <v>2361.2970150000001</v>
      </c>
      <c r="K280" s="39">
        <v>3761.2970150000001</v>
      </c>
      <c r="L280" s="39">
        <v>3922.39552</v>
      </c>
      <c r="M280" s="39">
        <v>7683.6925350000001</v>
      </c>
      <c r="N280" s="39">
        <v>20611.63996801386</v>
      </c>
      <c r="O280" s="41">
        <v>0.79</v>
      </c>
      <c r="P280" s="41">
        <v>2.4799301970777234</v>
      </c>
      <c r="Q280" s="261">
        <f t="shared" si="304"/>
        <v>2.4799301970777234</v>
      </c>
      <c r="R280" s="262">
        <f t="shared" si="305"/>
        <v>0</v>
      </c>
      <c r="S280" s="262">
        <f t="shared" si="306"/>
        <v>1864.8056533617619</v>
      </c>
      <c r="T280" s="261">
        <f t="shared" si="307"/>
        <v>2.7042979746359253</v>
      </c>
      <c r="U280" s="267">
        <f t="shared" si="308"/>
        <v>9.0473424543396491E-2</v>
      </c>
      <c r="V280" s="230" t="s">
        <v>393</v>
      </c>
      <c r="W280" s="197">
        <f>148.68*W3</f>
        <v>187.33680000000001</v>
      </c>
      <c r="X280" s="197"/>
      <c r="Y280" s="351"/>
      <c r="Z280" s="352">
        <f t="shared" si="317"/>
        <v>147.41999999999999</v>
      </c>
      <c r="AA280" s="284">
        <f>77*W3</f>
        <v>97.02</v>
      </c>
      <c r="AB280" s="284">
        <f>40*W3</f>
        <v>50.4</v>
      </c>
      <c r="AC280" s="284">
        <v>0</v>
      </c>
      <c r="AD280" s="284"/>
      <c r="AE280" s="284">
        <v>0</v>
      </c>
      <c r="AF280" s="284">
        <v>0</v>
      </c>
      <c r="AG280" s="284">
        <v>0</v>
      </c>
      <c r="AH280" s="284">
        <v>0</v>
      </c>
      <c r="AI280" s="284">
        <f t="shared" si="318"/>
        <v>147.41999999999999</v>
      </c>
      <c r="AJ280" s="284"/>
      <c r="AK280" s="284"/>
      <c r="AL280" s="284" t="s">
        <v>478</v>
      </c>
      <c r="AM280" s="468"/>
      <c r="AN280" s="105" t="s">
        <v>195</v>
      </c>
      <c r="AO280" s="246" t="s">
        <v>433</v>
      </c>
      <c r="AP280" s="43" t="s">
        <v>185</v>
      </c>
      <c r="AQ280" s="44">
        <v>224.17800807177565</v>
      </c>
      <c r="AR280" s="45">
        <v>793.04833815440884</v>
      </c>
      <c r="AS280" s="46">
        <v>224.17800807177565</v>
      </c>
      <c r="AT280" s="45">
        <v>793.04833815440884</v>
      </c>
      <c r="AU280" s="393">
        <v>1505638.9820834582</v>
      </c>
      <c r="AV280" s="295">
        <f t="shared" si="309"/>
        <v>136220.31483512442</v>
      </c>
      <c r="AW280" s="295">
        <f t="shared" si="302"/>
        <v>1641859.2969185826</v>
      </c>
      <c r="AX280" s="39">
        <v>607129.58125098003</v>
      </c>
      <c r="AY280" s="41">
        <v>92.46581699356247</v>
      </c>
      <c r="AZ280" s="39">
        <v>898509.40083247819</v>
      </c>
      <c r="BA280" s="47">
        <v>2.479930197077723</v>
      </c>
      <c r="BB280" s="41">
        <f t="shared" si="310"/>
        <v>2.7042979746359253</v>
      </c>
      <c r="BC280" s="39">
        <v>347791.4014474228</v>
      </c>
      <c r="BD280" s="47">
        <v>4.3291437793382954</v>
      </c>
      <c r="BE280" s="46">
        <v>231.14815065465675</v>
      </c>
      <c r="BF280" s="45">
        <v>817.70579692834588</v>
      </c>
      <c r="BG280" s="46">
        <v>455.32615872643237</v>
      </c>
      <c r="BH280" s="45">
        <v>1610.7541350827546</v>
      </c>
      <c r="BI280" s="393">
        <v>1632398.6319343948</v>
      </c>
      <c r="BJ280" s="295">
        <f t="shared" si="311"/>
        <v>140455.67683718918</v>
      </c>
      <c r="BK280" s="295">
        <f t="shared" si="315"/>
        <v>1772854.308771584</v>
      </c>
      <c r="BL280" s="39">
        <v>626006.45407183818</v>
      </c>
      <c r="BM280" s="41">
        <v>95.340764157342107</v>
      </c>
      <c r="BN280" s="39">
        <v>1006392.1778625567</v>
      </c>
      <c r="BO280" s="47">
        <v>2.607638661417166</v>
      </c>
      <c r="BP280" s="41">
        <f t="shared" si="312"/>
        <v>2.8320064389753683</v>
      </c>
      <c r="BQ280" s="39">
        <v>358604.93163282989</v>
      </c>
      <c r="BR280" s="47">
        <v>4.5520808219274098</v>
      </c>
      <c r="BS280" s="44">
        <v>238.4857842075626</v>
      </c>
      <c r="BT280" s="45">
        <v>843.6632855561104</v>
      </c>
      <c r="BU280" s="46">
        <v>693.81194293399506</v>
      </c>
      <c r="BV280" s="45">
        <v>2454.4174206388652</v>
      </c>
      <c r="BW280" s="393">
        <v>1773485.2580409804</v>
      </c>
      <c r="BX280" s="295">
        <f t="shared" si="313"/>
        <v>144914.34234732963</v>
      </c>
      <c r="BY280" s="295">
        <f t="shared" si="316"/>
        <v>1918399.6003883102</v>
      </c>
      <c r="BZ280" s="39">
        <v>645878.58347769198</v>
      </c>
      <c r="CA280" s="41">
        <v>98.367288869130903</v>
      </c>
      <c r="CB280" s="39">
        <v>1127606.6745632885</v>
      </c>
      <c r="CC280" s="47">
        <v>2.745849302653391</v>
      </c>
      <c r="CD280" s="41">
        <f t="shared" si="314"/>
        <v>2.9702170802115933</v>
      </c>
      <c r="CE280" s="39">
        <v>369988.58999710483</v>
      </c>
      <c r="CF280" s="47">
        <v>4.7933512167357861</v>
      </c>
    </row>
    <row r="281" spans="1:84" s="22" customFormat="1" ht="15" customHeight="1">
      <c r="A281" s="324" t="str">
        <f t="shared" si="303"/>
        <v>New Residential; Solar DHW; RES-Water Heat; RES-NC</v>
      </c>
      <c r="B281" s="36" t="s">
        <v>168</v>
      </c>
      <c r="C281" s="15" t="s">
        <v>160</v>
      </c>
      <c r="D281" s="15" t="s">
        <v>180</v>
      </c>
      <c r="E281" s="37">
        <v>15</v>
      </c>
      <c r="F281" s="38">
        <v>1815.254109</v>
      </c>
      <c r="G281" s="38">
        <v>442.04257725430972</v>
      </c>
      <c r="H281" s="39">
        <v>7042</v>
      </c>
      <c r="I281" s="40">
        <v>0.14200511218403863</v>
      </c>
      <c r="J281" s="39">
        <v>67.164402033000002</v>
      </c>
      <c r="K281" s="39">
        <v>1067.1644020330002</v>
      </c>
      <c r="L281" s="39">
        <v>6042</v>
      </c>
      <c r="M281" s="39">
        <v>7109.1644020330004</v>
      </c>
      <c r="N281" s="39">
        <v>2017.6107425781245</v>
      </c>
      <c r="O281" s="41">
        <v>0.65</v>
      </c>
      <c r="P281" s="41">
        <v>0.28236775420255716</v>
      </c>
      <c r="Q281" s="261">
        <f t="shared" si="304"/>
        <v>0.28236775420255716</v>
      </c>
      <c r="R281" s="262">
        <f t="shared" si="305"/>
        <v>0</v>
      </c>
      <c r="S281" s="262">
        <f t="shared" si="306"/>
        <v>0</v>
      </c>
      <c r="T281" s="261">
        <f t="shared" si="307"/>
        <v>0.28236775420255716</v>
      </c>
      <c r="U281" s="267">
        <f t="shared" si="308"/>
        <v>0</v>
      </c>
      <c r="V281" s="181" t="s">
        <v>308</v>
      </c>
      <c r="W281" s="181" t="s">
        <v>253</v>
      </c>
      <c r="X281" s="181"/>
      <c r="Y281" s="340"/>
      <c r="Z281" s="343"/>
      <c r="AA281" s="249"/>
      <c r="AB281" s="249"/>
      <c r="AC281" s="249"/>
      <c r="AD281" s="249"/>
      <c r="AE281" s="249"/>
      <c r="AF281" s="249"/>
      <c r="AG281" s="249"/>
      <c r="AH281" s="249"/>
      <c r="AI281" s="249"/>
      <c r="AJ281" s="249"/>
      <c r="AK281" s="249"/>
      <c r="AL281" s="249"/>
      <c r="AM281" s="252" t="s">
        <v>280</v>
      </c>
      <c r="AN281" s="102"/>
      <c r="AO281" s="246" t="s">
        <v>435</v>
      </c>
      <c r="AP281" s="43" t="s">
        <v>168</v>
      </c>
      <c r="AQ281" s="44">
        <v>0.10187666916126312</v>
      </c>
      <c r="AR281" s="41">
        <v>0.41835798590918077</v>
      </c>
      <c r="AS281" s="46">
        <v>0.10187666916126312</v>
      </c>
      <c r="AT281" s="41">
        <v>0.41835798590918077</v>
      </c>
      <c r="AU281" s="393">
        <v>464.99471475027013</v>
      </c>
      <c r="AV281" s="295">
        <f t="shared" si="309"/>
        <v>0</v>
      </c>
      <c r="AW281" s="295">
        <f t="shared" si="302"/>
        <v>464.99471475027013</v>
      </c>
      <c r="AX281" s="39">
        <v>1646.7698872467747</v>
      </c>
      <c r="AY281" s="41">
        <v>0.35456615547014242</v>
      </c>
      <c r="AZ281" s="39">
        <v>-1181.7751724965046</v>
      </c>
      <c r="BA281" s="47">
        <v>0.28236775420255722</v>
      </c>
      <c r="BB281" s="41">
        <f t="shared" si="310"/>
        <v>0.28236775420255722</v>
      </c>
      <c r="BC281" s="39">
        <v>378.38037928343431</v>
      </c>
      <c r="BD281" s="47">
        <v>1.2289081046719799</v>
      </c>
      <c r="BE281" s="46">
        <v>0.10241122640419033</v>
      </c>
      <c r="BF281" s="41">
        <v>0.42055315280406808</v>
      </c>
      <c r="BG281" s="46">
        <v>0.20428789556545343</v>
      </c>
      <c r="BH281" s="41">
        <v>0.83891113871324885</v>
      </c>
      <c r="BI281" s="393">
        <v>499.05685650248643</v>
      </c>
      <c r="BJ281" s="295">
        <f t="shared" si="311"/>
        <v>0</v>
      </c>
      <c r="BK281" s="295">
        <f t="shared" si="315"/>
        <v>499.05685650248643</v>
      </c>
      <c r="BL281" s="39">
        <v>1655.4106563051816</v>
      </c>
      <c r="BM281" s="41">
        <v>0.35642660014372513</v>
      </c>
      <c r="BN281" s="39">
        <v>-1156.3537998026952</v>
      </c>
      <c r="BO281" s="47">
        <v>0.30147012440789994</v>
      </c>
      <c r="BP281" s="41">
        <f t="shared" si="312"/>
        <v>0.30147012440789994</v>
      </c>
      <c r="BQ281" s="39">
        <v>380.36577961103364</v>
      </c>
      <c r="BR281" s="47">
        <v>1.3120445719718203</v>
      </c>
      <c r="BS281" s="44">
        <v>0.10333151688621467</v>
      </c>
      <c r="BT281" s="41">
        <v>0.42433233871268522</v>
      </c>
      <c r="BU281" s="46">
        <v>0.30761941245166813</v>
      </c>
      <c r="BV281" s="41">
        <v>1.263243477425934</v>
      </c>
      <c r="BW281" s="393">
        <v>539.2957765579921</v>
      </c>
      <c r="BX281" s="295">
        <f t="shared" si="313"/>
        <v>0</v>
      </c>
      <c r="BY281" s="295">
        <f t="shared" si="316"/>
        <v>539.2957765579921</v>
      </c>
      <c r="BZ281" s="39">
        <v>1670.2865515007597</v>
      </c>
      <c r="CA281" s="41">
        <v>0.3596295303220825</v>
      </c>
      <c r="CB281" s="39">
        <v>-1130.9907749427675</v>
      </c>
      <c r="CC281" s="47">
        <v>0.32287620113652504</v>
      </c>
      <c r="CD281" s="41">
        <f t="shared" si="314"/>
        <v>0.32287620113652504</v>
      </c>
      <c r="CE281" s="39">
        <v>383.78383267957383</v>
      </c>
      <c r="CF281" s="47">
        <v>1.4052071260861507</v>
      </c>
    </row>
    <row r="282" spans="1:84" s="22" customFormat="1" ht="15" customHeight="1">
      <c r="A282" s="324" t="str">
        <f t="shared" si="303"/>
        <v>New Residential; Solar Space and Water Heat (Supplement Electricity); RES-Package; RES-NC</v>
      </c>
      <c r="B282" s="36" t="s">
        <v>169</v>
      </c>
      <c r="C282" s="15" t="s">
        <v>170</v>
      </c>
      <c r="D282" s="15" t="s">
        <v>180</v>
      </c>
      <c r="E282" s="37">
        <v>20</v>
      </c>
      <c r="F282" s="38">
        <v>7637.0131059319438</v>
      </c>
      <c r="G282" s="38">
        <v>0</v>
      </c>
      <c r="H282" s="39">
        <v>17500</v>
      </c>
      <c r="I282" s="40">
        <v>5.7142857142857141E-2</v>
      </c>
      <c r="J282" s="39">
        <v>282.56948491948191</v>
      </c>
      <c r="K282" s="39">
        <v>1282.569484919482</v>
      </c>
      <c r="L282" s="39">
        <v>16500</v>
      </c>
      <c r="M282" s="39">
        <v>17782.569484919481</v>
      </c>
      <c r="N282" s="39">
        <v>7110.9696392390488</v>
      </c>
      <c r="O282" s="41">
        <v>0.65</v>
      </c>
      <c r="P282" s="41">
        <v>0.39649176198217667</v>
      </c>
      <c r="Q282" s="261">
        <f t="shared" si="304"/>
        <v>0.39649176198217667</v>
      </c>
      <c r="R282" s="262">
        <f t="shared" si="305"/>
        <v>0</v>
      </c>
      <c r="S282" s="262">
        <f t="shared" si="306"/>
        <v>0</v>
      </c>
      <c r="T282" s="261">
        <f t="shared" si="307"/>
        <v>0.39649176198217667</v>
      </c>
      <c r="U282" s="267">
        <f t="shared" si="308"/>
        <v>0</v>
      </c>
      <c r="V282" s="181" t="s">
        <v>308</v>
      </c>
      <c r="W282" s="181" t="s">
        <v>253</v>
      </c>
      <c r="X282" s="181"/>
      <c r="Y282" s="340"/>
      <c r="Z282" s="365"/>
      <c r="AA282" s="366"/>
      <c r="AB282" s="366"/>
      <c r="AC282" s="366"/>
      <c r="AD282" s="366"/>
      <c r="AE282" s="366"/>
      <c r="AF282" s="366"/>
      <c r="AG282" s="366"/>
      <c r="AH282" s="366"/>
      <c r="AI282" s="366"/>
      <c r="AJ282" s="366"/>
      <c r="AK282" s="366"/>
      <c r="AL282" s="366"/>
      <c r="AM282" s="252" t="s">
        <v>280</v>
      </c>
      <c r="AN282" s="102"/>
      <c r="AO282" s="246" t="s">
        <v>435</v>
      </c>
      <c r="AP282" s="43" t="s">
        <v>169</v>
      </c>
      <c r="AQ282" s="44">
        <v>0</v>
      </c>
      <c r="AR282" s="45">
        <v>0.77905496562469578</v>
      </c>
      <c r="AS282" s="46">
        <v>0</v>
      </c>
      <c r="AT282" s="45">
        <v>0.77905496562469578</v>
      </c>
      <c r="AU282" s="393">
        <v>725.39304712632247</v>
      </c>
      <c r="AV282" s="295">
        <f t="shared" si="309"/>
        <v>0</v>
      </c>
      <c r="AW282" s="295">
        <f t="shared" si="302"/>
        <v>725.39304712632247</v>
      </c>
      <c r="AX282" s="39">
        <v>1829.5286729284694</v>
      </c>
      <c r="AY282" s="41">
        <v>0.15693911799498109</v>
      </c>
      <c r="AZ282" s="39">
        <v>-1104.1356258021469</v>
      </c>
      <c r="BA282" s="47">
        <v>0.39649176198217678</v>
      </c>
      <c r="BB282" s="41">
        <f t="shared" si="310"/>
        <v>0.39649176198217678</v>
      </c>
      <c r="BC282" s="39">
        <v>201.28532373054068</v>
      </c>
      <c r="BD282" s="47">
        <v>3.6038049554839939</v>
      </c>
      <c r="BE282" s="46">
        <v>0</v>
      </c>
      <c r="BF282" s="45">
        <v>0.78314274625142477</v>
      </c>
      <c r="BG282" s="46">
        <v>0</v>
      </c>
      <c r="BH282" s="45">
        <v>1.5621977118761206</v>
      </c>
      <c r="BI282" s="393">
        <v>762.46468674959101</v>
      </c>
      <c r="BJ282" s="295">
        <f t="shared" si="311"/>
        <v>0</v>
      </c>
      <c r="BK282" s="295">
        <f t="shared" si="315"/>
        <v>762.46468674959101</v>
      </c>
      <c r="BL282" s="39">
        <v>1839.1283959200885</v>
      </c>
      <c r="BM282" s="41">
        <v>0.15776259350623903</v>
      </c>
      <c r="BN282" s="39">
        <v>-1076.6637091704974</v>
      </c>
      <c r="BO282" s="47">
        <v>0.41457936729215761</v>
      </c>
      <c r="BP282" s="41">
        <f t="shared" si="312"/>
        <v>0.41457936729215761</v>
      </c>
      <c r="BQ282" s="39">
        <v>202.3414882928586</v>
      </c>
      <c r="BR282" s="47">
        <v>3.7682073665784204</v>
      </c>
      <c r="BS282" s="44">
        <v>0</v>
      </c>
      <c r="BT282" s="45">
        <v>0.79018024439246926</v>
      </c>
      <c r="BU282" s="46">
        <v>0</v>
      </c>
      <c r="BV282" s="45">
        <v>2.3523779562685898</v>
      </c>
      <c r="BW282" s="393">
        <v>807.56323859696136</v>
      </c>
      <c r="BX282" s="295">
        <f t="shared" si="313"/>
        <v>0</v>
      </c>
      <c r="BY282" s="295">
        <f t="shared" si="316"/>
        <v>807.56323859696136</v>
      </c>
      <c r="BZ282" s="39">
        <v>1855.6552203456249</v>
      </c>
      <c r="CA282" s="41">
        <v>0.15918028391305289</v>
      </c>
      <c r="CB282" s="39">
        <v>-1048.0919817486636</v>
      </c>
      <c r="CC282" s="47">
        <v>0.43519034664561701</v>
      </c>
      <c r="CD282" s="41">
        <f t="shared" si="314"/>
        <v>0.43519034664561701</v>
      </c>
      <c r="CE282" s="39">
        <v>204.15977474770114</v>
      </c>
      <c r="CF282" s="47">
        <v>3.9555453056065573</v>
      </c>
    </row>
    <row r="283" spans="1:84" s="22" customFormat="1" ht="15" customHeight="1" thickBot="1">
      <c r="A283" s="324" t="str">
        <f t="shared" si="303"/>
        <v>New Residential; Solar Space Heating (Displacing Electricity); RES-HVAC/Shell; RES-NC</v>
      </c>
      <c r="B283" s="53" t="s">
        <v>171</v>
      </c>
      <c r="C283" s="16" t="s">
        <v>139</v>
      </c>
      <c r="D283" s="16" t="s">
        <v>180</v>
      </c>
      <c r="E283" s="54">
        <v>20</v>
      </c>
      <c r="F283" s="55">
        <v>5003.4938114894276</v>
      </c>
      <c r="G283" s="55">
        <v>0</v>
      </c>
      <c r="H283" s="56">
        <v>8835</v>
      </c>
      <c r="I283" s="57">
        <v>5.6593095642331635E-2</v>
      </c>
      <c r="J283" s="56">
        <v>185.12927102510881</v>
      </c>
      <c r="K283" s="56">
        <v>685.12927102510878</v>
      </c>
      <c r="L283" s="56">
        <v>8335</v>
      </c>
      <c r="M283" s="56">
        <v>9020.1292710251091</v>
      </c>
      <c r="N283" s="56">
        <v>4658.8492241797721</v>
      </c>
      <c r="O283" s="58">
        <v>0.65</v>
      </c>
      <c r="P283" s="58">
        <v>0.51084913461693626</v>
      </c>
      <c r="Q283" s="263">
        <f t="shared" si="304"/>
        <v>0.51084913461693626</v>
      </c>
      <c r="R283" s="264">
        <f t="shared" si="305"/>
        <v>0</v>
      </c>
      <c r="S283" s="264">
        <f t="shared" si="306"/>
        <v>0</v>
      </c>
      <c r="T283" s="263">
        <f t="shared" si="307"/>
        <v>0.51084913461693626</v>
      </c>
      <c r="U283" s="268">
        <f t="shared" si="308"/>
        <v>0</v>
      </c>
      <c r="V283" s="184" t="s">
        <v>308</v>
      </c>
      <c r="W283" s="184" t="s">
        <v>253</v>
      </c>
      <c r="X283" s="184"/>
      <c r="Y283" s="342"/>
      <c r="Z283" s="367"/>
      <c r="AA283" s="368"/>
      <c r="AB283" s="368"/>
      <c r="AC283" s="368"/>
      <c r="AD283" s="368"/>
      <c r="AE283" s="368"/>
      <c r="AF283" s="368"/>
      <c r="AG283" s="368"/>
      <c r="AH283" s="368"/>
      <c r="AI283" s="368"/>
      <c r="AJ283" s="368"/>
      <c r="AK283" s="368"/>
      <c r="AL283" s="368"/>
      <c r="AM283" s="253" t="s">
        <v>280</v>
      </c>
      <c r="AN283" s="103"/>
      <c r="AO283" s="275" t="s">
        <v>435</v>
      </c>
      <c r="AP283" s="43" t="s">
        <v>171</v>
      </c>
      <c r="AQ283" s="44">
        <v>0</v>
      </c>
      <c r="AR283" s="45">
        <v>0.51040853868452307</v>
      </c>
      <c r="AS283" s="46">
        <v>0</v>
      </c>
      <c r="AT283" s="45">
        <v>0.51040853868452307</v>
      </c>
      <c r="AU283" s="393">
        <v>475.25119727434401</v>
      </c>
      <c r="AV283" s="295">
        <f t="shared" si="309"/>
        <v>0</v>
      </c>
      <c r="AW283" s="295">
        <f t="shared" si="302"/>
        <v>475.25119727434401</v>
      </c>
      <c r="AX283" s="39">
        <v>930.31614437541202</v>
      </c>
      <c r="AY283" s="41">
        <v>0.15693911799498109</v>
      </c>
      <c r="AZ283" s="39">
        <v>-455.06494710106801</v>
      </c>
      <c r="BA283" s="47">
        <v>0.51084913461693626</v>
      </c>
      <c r="BB283" s="41">
        <f t="shared" si="310"/>
        <v>0.51084913461693626</v>
      </c>
      <c r="BC283" s="39">
        <v>107.52358350722493</v>
      </c>
      <c r="BD283" s="47">
        <v>4.4199717101356653</v>
      </c>
      <c r="BE283" s="46">
        <v>0</v>
      </c>
      <c r="BF283" s="45">
        <v>0.513086704190443</v>
      </c>
      <c r="BG283" s="46">
        <v>0</v>
      </c>
      <c r="BH283" s="45">
        <v>1.023495242874966</v>
      </c>
      <c r="BI283" s="393">
        <v>499.53919008827756</v>
      </c>
      <c r="BJ283" s="295">
        <f t="shared" si="311"/>
        <v>0</v>
      </c>
      <c r="BK283" s="295">
        <f t="shared" si="315"/>
        <v>499.53919008827756</v>
      </c>
      <c r="BL283" s="39">
        <v>935.19760778879481</v>
      </c>
      <c r="BM283" s="41">
        <v>0.15776259350623903</v>
      </c>
      <c r="BN283" s="39">
        <v>-435.65841770051725</v>
      </c>
      <c r="BO283" s="47">
        <v>0.53415362264388255</v>
      </c>
      <c r="BP283" s="41">
        <f t="shared" si="312"/>
        <v>0.53415362264388255</v>
      </c>
      <c r="BQ283" s="39">
        <v>108.08777068396012</v>
      </c>
      <c r="BR283" s="47">
        <v>4.6216069304351706</v>
      </c>
      <c r="BS283" s="44">
        <v>0</v>
      </c>
      <c r="BT283" s="45">
        <v>0.51769741755555865</v>
      </c>
      <c r="BU283" s="46">
        <v>0</v>
      </c>
      <c r="BV283" s="45">
        <v>1.5411926604305246</v>
      </c>
      <c r="BW283" s="393">
        <v>529.08612446504071</v>
      </c>
      <c r="BX283" s="295">
        <f t="shared" si="313"/>
        <v>0</v>
      </c>
      <c r="BY283" s="295">
        <f t="shared" si="316"/>
        <v>529.08612446504071</v>
      </c>
      <c r="BZ283" s="39">
        <v>943.60150536407787</v>
      </c>
      <c r="CA283" s="41">
        <v>0.15918028391305289</v>
      </c>
      <c r="CB283" s="39">
        <v>-414.51538089903715</v>
      </c>
      <c r="CC283" s="47">
        <v>0.56070928401168552</v>
      </c>
      <c r="CD283" s="41">
        <f t="shared" si="314"/>
        <v>0.56070928401168552</v>
      </c>
      <c r="CE283" s="39">
        <v>109.05907187891977</v>
      </c>
      <c r="CF283" s="47">
        <v>4.8513719707100202</v>
      </c>
    </row>
    <row r="284" spans="1:84" s="22" customFormat="1" ht="15" customHeight="1" thickBot="1">
      <c r="A284" s="324"/>
      <c r="Q284"/>
      <c r="R284"/>
      <c r="S284"/>
      <c r="T284"/>
      <c r="U284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239"/>
      <c r="AL284" s="239"/>
      <c r="AO284" s="446"/>
      <c r="AP284" s="62" t="s">
        <v>101</v>
      </c>
      <c r="AQ284" s="63">
        <v>1000.6742034468097</v>
      </c>
      <c r="AR284" s="64">
        <v>3541.3155991641397</v>
      </c>
      <c r="AS284" s="65">
        <v>1000.6742034468097</v>
      </c>
      <c r="AT284" s="64">
        <v>3541.3155991641397</v>
      </c>
      <c r="AU284" s="371">
        <v>6721774.8617515834</v>
      </c>
      <c r="AV284" s="296">
        <f>SUM(AV275:AV283)</f>
        <v>798624.0124551194</v>
      </c>
      <c r="AW284" s="373">
        <f t="shared" si="302"/>
        <v>7520398.8742067032</v>
      </c>
      <c r="AX284" s="66">
        <v>2696139.5211304091</v>
      </c>
      <c r="AY284" s="67"/>
      <c r="AZ284" s="66">
        <v>4025635.3406211738</v>
      </c>
      <c r="BA284" s="68">
        <v>2.4931109124995685</v>
      </c>
      <c r="BB284" s="67"/>
      <c r="BC284" s="66">
        <v>1734143.4562584476</v>
      </c>
      <c r="BD284" s="68">
        <v>3.8761354128419958</v>
      </c>
      <c r="BE284" s="65">
        <v>1025.9511328637284</v>
      </c>
      <c r="BF284" s="64">
        <v>3630.7419081714465</v>
      </c>
      <c r="BG284" s="65">
        <v>2026.6253363105379</v>
      </c>
      <c r="BH284" s="64">
        <v>7172.0575073355858</v>
      </c>
      <c r="BI284" s="371">
        <v>7246439.6144212587</v>
      </c>
      <c r="BJ284" s="296">
        <f>SUM(BJ275:BJ283)</f>
        <v>817840.13728937064</v>
      </c>
      <c r="BK284" s="373">
        <f t="shared" si="315"/>
        <v>8064279.7517106291</v>
      </c>
      <c r="BL284" s="66">
        <v>2764097.8384879855</v>
      </c>
      <c r="BM284" s="67"/>
      <c r="BN284" s="66">
        <v>4482341.7759332731</v>
      </c>
      <c r="BO284" s="68">
        <v>2.6216292033950577</v>
      </c>
      <c r="BP284" s="67"/>
      <c r="BQ284" s="66">
        <v>1777026.4918551606</v>
      </c>
      <c r="BR284" s="68">
        <v>4.0778455738474673</v>
      </c>
      <c r="BS284" s="65">
        <v>1052.9522196464848</v>
      </c>
      <c r="BT284" s="64">
        <v>3726.2726689004635</v>
      </c>
      <c r="BU284" s="65">
        <v>3079.5775559570225</v>
      </c>
      <c r="BV284" s="64">
        <v>10898.33017623605</v>
      </c>
      <c r="BW284" s="371">
        <v>7831323.6761522973</v>
      </c>
      <c r="BX284" s="296">
        <f>SUM(BX275:BX283)</f>
        <v>838450.96406003425</v>
      </c>
      <c r="BY284" s="373">
        <f t="shared" si="316"/>
        <v>8669774.640212331</v>
      </c>
      <c r="BZ284" s="66">
        <v>2836713.114699197</v>
      </c>
      <c r="CA284" s="67"/>
      <c r="CB284" s="66">
        <v>4994610.5614530994</v>
      </c>
      <c r="CC284" s="68">
        <v>2.7607034477939179</v>
      </c>
      <c r="CD284" s="67"/>
      <c r="CE284" s="66">
        <v>1822916.4105862658</v>
      </c>
      <c r="CF284" s="68">
        <v>4.2960410201330488</v>
      </c>
    </row>
    <row r="285" spans="1:84" s="22" customFormat="1" ht="15" customHeight="1" thickBot="1">
      <c r="A285" s="257"/>
      <c r="B285"/>
      <c r="Q285"/>
      <c r="R285"/>
      <c r="S285"/>
      <c r="T285"/>
      <c r="U285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239"/>
      <c r="AL285" s="239"/>
      <c r="AO285" s="446"/>
      <c r="AP285" s="69" t="s">
        <v>102</v>
      </c>
      <c r="AQ285" s="70">
        <v>1000.6742034468097</v>
      </c>
      <c r="AR285" s="70">
        <v>3541.3155991641397</v>
      </c>
      <c r="AS285" s="71">
        <v>1000.6742034468097</v>
      </c>
      <c r="AT285" s="70">
        <v>3541.3155991641397</v>
      </c>
      <c r="AU285" s="394">
        <v>6721774.8617515834</v>
      </c>
      <c r="AV285" s="372">
        <f>SUM(AU284:AV284)/AX284</f>
        <v>2.78932110718574</v>
      </c>
      <c r="AW285" s="295"/>
      <c r="AX285" s="72"/>
      <c r="AY285" s="73"/>
      <c r="AZ285" s="72"/>
      <c r="BA285" s="372">
        <v>2.4931109124995685</v>
      </c>
      <c r="BB285" s="73"/>
      <c r="BC285" s="72"/>
      <c r="BD285" s="73">
        <v>3.8761354128419954</v>
      </c>
      <c r="BE285" s="70">
        <v>1025.9511328637284</v>
      </c>
      <c r="BF285" s="70">
        <v>3630.7419081714465</v>
      </c>
      <c r="BG285" s="71">
        <v>2026.6253363105379</v>
      </c>
      <c r="BH285" s="70">
        <v>7172.0575073355858</v>
      </c>
      <c r="BI285" s="394">
        <v>7246439.6144212587</v>
      </c>
      <c r="BJ285" s="372">
        <f>SUM(BI284:BJ284)/BL284</f>
        <v>2.9175087941611881</v>
      </c>
      <c r="BK285" s="295"/>
      <c r="BL285" s="72"/>
      <c r="BM285" s="73"/>
      <c r="BN285" s="72"/>
      <c r="BO285" s="372">
        <v>2.6216292033950586</v>
      </c>
      <c r="BP285" s="73"/>
      <c r="BQ285" s="72"/>
      <c r="BR285" s="73">
        <v>4.0778455738474673</v>
      </c>
      <c r="BS285" s="70">
        <v>1052.9522196464848</v>
      </c>
      <c r="BT285" s="70">
        <v>3726.2726689004635</v>
      </c>
      <c r="BU285" s="71">
        <v>3079.5775559570225</v>
      </c>
      <c r="BV285" s="70">
        <v>10898.33017623605</v>
      </c>
      <c r="BW285" s="394">
        <v>7831323.6761522973</v>
      </c>
      <c r="BX285" s="372">
        <f>SUM(BW284:BX284)/BZ284</f>
        <v>3.0562747411035494</v>
      </c>
      <c r="BY285" s="295"/>
      <c r="BZ285" s="72"/>
      <c r="CA285" s="73"/>
      <c r="CB285" s="72"/>
      <c r="CC285" s="372">
        <v>2.7607034477939179</v>
      </c>
      <c r="CD285" s="73"/>
      <c r="CE285" s="72"/>
      <c r="CF285" s="73">
        <v>4.2960410201330488</v>
      </c>
    </row>
    <row r="286" spans="1:84" s="22" customFormat="1" ht="15" customHeight="1" thickBot="1">
      <c r="A286" s="257"/>
      <c r="B286"/>
      <c r="Q286"/>
      <c r="R286"/>
      <c r="S286"/>
      <c r="T286"/>
      <c r="U286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239"/>
      <c r="AL286" s="239"/>
      <c r="AO286" s="446"/>
      <c r="AQ286" s="94"/>
      <c r="AS286" s="94"/>
      <c r="AU286" s="384"/>
      <c r="AV286" s="412" t="s">
        <v>372</v>
      </c>
      <c r="AW286" s="411"/>
      <c r="AX286" s="385"/>
      <c r="AY286" s="386"/>
      <c r="AZ286" s="385"/>
      <c r="BA286" s="413" t="s">
        <v>413</v>
      </c>
      <c r="BE286" s="94"/>
      <c r="BG286" s="94"/>
      <c r="BI286" s="384"/>
      <c r="BJ286" s="412" t="s">
        <v>372</v>
      </c>
      <c r="BK286" s="411"/>
      <c r="BL286" s="385"/>
      <c r="BM286" s="386"/>
      <c r="BN286" s="385"/>
      <c r="BO286" s="413" t="s">
        <v>413</v>
      </c>
      <c r="BS286" s="94"/>
      <c r="BU286" s="94"/>
      <c r="BW286" s="384"/>
      <c r="BX286" s="412" t="s">
        <v>372</v>
      </c>
      <c r="BY286" s="411"/>
      <c r="BZ286" s="385"/>
      <c r="CA286" s="386"/>
      <c r="CB286" s="385"/>
      <c r="CC286" s="413" t="s">
        <v>413</v>
      </c>
    </row>
    <row r="287" spans="1:84" s="22" customFormat="1" ht="15" customHeight="1">
      <c r="A287" s="257"/>
      <c r="B287"/>
      <c r="Q287"/>
      <c r="R287"/>
      <c r="S287"/>
      <c r="T287"/>
      <c r="U287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239"/>
      <c r="AL287" s="239"/>
      <c r="AO287" s="446"/>
      <c r="AQ287" s="94"/>
      <c r="AS287" s="94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418"/>
      <c r="BF287" s="193"/>
      <c r="BG287" s="418"/>
      <c r="BH287" s="193"/>
      <c r="BI287" s="193"/>
      <c r="BJ287" s="193"/>
      <c r="BK287" s="193"/>
      <c r="BL287" s="193"/>
      <c r="BM287" s="193"/>
      <c r="BN287" s="193"/>
      <c r="BO287" s="193"/>
      <c r="BP287" s="193"/>
      <c r="BQ287" s="193"/>
      <c r="BR287" s="193"/>
      <c r="BS287" s="418"/>
      <c r="BT287" s="193"/>
      <c r="BU287" s="418"/>
      <c r="BV287" s="193"/>
      <c r="BW287" s="193"/>
      <c r="BX287" s="193"/>
      <c r="BY287" s="193"/>
    </row>
    <row r="288" spans="1:84" s="22" customFormat="1" ht="18" customHeight="1">
      <c r="A288" s="257"/>
      <c r="B288"/>
      <c r="C288" s="95">
        <f>SUM(B269,B285,B229,B210,B193,B145)</f>
        <v>0</v>
      </c>
      <c r="Q288"/>
      <c r="R288"/>
      <c r="S288"/>
      <c r="T288"/>
      <c r="U288"/>
      <c r="Z288" s="239"/>
      <c r="AA288" s="239"/>
      <c r="AB288" s="239"/>
      <c r="AC288" s="239"/>
      <c r="AD288" s="239"/>
      <c r="AE288" s="239"/>
      <c r="AF288" s="239"/>
      <c r="AG288" s="239"/>
      <c r="AH288" s="239"/>
      <c r="AI288" s="239"/>
      <c r="AJ288" s="239"/>
      <c r="AK288" s="239"/>
      <c r="AL288" s="239"/>
      <c r="AO288" s="446"/>
      <c r="AQ288" s="94"/>
      <c r="AS288" s="94"/>
      <c r="BE288" s="94"/>
      <c r="BG288" s="94"/>
      <c r="BS288" s="94"/>
      <c r="BU288" s="94"/>
    </row>
    <row r="289" spans="1:83" s="22" customFormat="1" ht="52.5" customHeight="1">
      <c r="A289" s="257"/>
      <c r="B289"/>
      <c r="Q289"/>
      <c r="R289"/>
      <c r="S289"/>
      <c r="T289"/>
      <c r="U289"/>
      <c r="Z289" s="239"/>
      <c r="AA289" s="239"/>
      <c r="AB289" s="239"/>
      <c r="AC289" s="239"/>
      <c r="AD289" s="239"/>
      <c r="AE289" s="239"/>
      <c r="AF289" s="239"/>
      <c r="AG289" s="239"/>
      <c r="AH289" s="239"/>
      <c r="AI289" s="239"/>
      <c r="AJ289" s="239"/>
      <c r="AK289" s="239"/>
      <c r="AL289" s="239"/>
      <c r="AO289" s="446"/>
      <c r="AQ289" s="94"/>
      <c r="AS289" s="94"/>
      <c r="AV289" s="302"/>
      <c r="AW289" s="302"/>
      <c r="AX289" s="303"/>
      <c r="AY289" s="303"/>
      <c r="AZ289" s="302"/>
      <c r="BE289" s="94"/>
      <c r="BG289" s="94"/>
      <c r="BJ289" s="302"/>
      <c r="BK289" s="302"/>
      <c r="BL289" s="303"/>
      <c r="BM289" s="303"/>
      <c r="BN289" s="302"/>
      <c r="BS289" s="94"/>
      <c r="BU289" s="94"/>
      <c r="BX289" s="302"/>
      <c r="BY289" s="302"/>
      <c r="BZ289" s="303" t="s">
        <v>371</v>
      </c>
      <c r="CA289" s="303"/>
      <c r="CB289" s="302" t="s">
        <v>20</v>
      </c>
    </row>
    <row r="290" spans="1:83" s="22" customFormat="1" ht="15" customHeight="1">
      <c r="A290" s="257"/>
      <c r="Q290"/>
      <c r="R290"/>
      <c r="S290"/>
      <c r="T290"/>
      <c r="U290"/>
      <c r="Z290" s="239"/>
      <c r="AA290" s="239"/>
      <c r="AB290" s="239"/>
      <c r="AC290" s="239"/>
      <c r="AD290" s="239"/>
      <c r="AE290" s="239"/>
      <c r="AF290" s="239"/>
      <c r="AG290" s="239"/>
      <c r="AH290" s="239"/>
      <c r="AI290" s="239"/>
      <c r="AJ290" s="239"/>
      <c r="AK290" s="239"/>
      <c r="AL290" s="239"/>
      <c r="AO290" s="446"/>
      <c r="AQ290" s="94"/>
      <c r="AS290" s="94"/>
      <c r="AV290" s="374"/>
      <c r="AW290" s="301"/>
      <c r="AX290" s="374"/>
      <c r="AY290" s="301"/>
      <c r="AZ290" s="301"/>
      <c r="BE290" s="94"/>
      <c r="BG290" s="94"/>
      <c r="BJ290" s="301"/>
      <c r="BK290" s="301"/>
      <c r="BL290" s="301"/>
      <c r="BM290" s="301"/>
      <c r="BN290" s="301"/>
      <c r="BS290" s="94"/>
      <c r="BU290" s="94"/>
      <c r="BX290" s="301"/>
      <c r="BY290" s="301"/>
      <c r="BZ290" s="301">
        <f>BX290+SUM(BX284,BX268,BX228,BX209,BX192,BX144)</f>
        <v>32208750.052177608</v>
      </c>
      <c r="CA290" s="301"/>
      <c r="CB290" s="301">
        <f>SUM(BZ284,BZ268,BZ228,BZ209,BZ192,BZ144)</f>
        <v>71966380.637965545</v>
      </c>
    </row>
    <row r="291" spans="1:83" ht="15" customHeight="1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304"/>
      <c r="AA291" s="304"/>
      <c r="AB291" s="304"/>
      <c r="AC291" s="304"/>
      <c r="AD291" s="304"/>
      <c r="AE291" s="304"/>
      <c r="AF291" s="304"/>
      <c r="AG291" s="304"/>
      <c r="AH291" s="304"/>
      <c r="AI291" s="304"/>
      <c r="AJ291" s="304"/>
      <c r="AK291" s="304"/>
      <c r="AL291" s="304"/>
      <c r="AM291" s="193"/>
      <c r="AN291" s="193"/>
      <c r="AO291" s="447"/>
      <c r="AP291" s="193"/>
      <c r="AQ291" s="193"/>
      <c r="AR291" s="193"/>
      <c r="AS291" s="193"/>
      <c r="AT291" s="193"/>
      <c r="AU291" s="193"/>
    </row>
    <row r="292" spans="1:83" ht="15" customHeight="1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304"/>
      <c r="AA292" s="304"/>
      <c r="AB292" s="304"/>
      <c r="AC292" s="304"/>
      <c r="AD292" s="304"/>
      <c r="AE292" s="304"/>
      <c r="AF292" s="304"/>
      <c r="AG292" s="304"/>
      <c r="AH292" s="304"/>
      <c r="AI292" s="304"/>
      <c r="AJ292" s="304"/>
      <c r="AK292" s="304"/>
      <c r="AL292" s="304"/>
      <c r="AM292" s="193"/>
      <c r="AN292" s="193"/>
      <c r="AO292" s="447"/>
      <c r="AP292" s="193"/>
      <c r="AQ292" s="193"/>
      <c r="AR292" s="193"/>
      <c r="AS292" s="193"/>
      <c r="AT292" s="193"/>
      <c r="AU292" s="193"/>
      <c r="BZ292" s="193" t="s">
        <v>373</v>
      </c>
    </row>
    <row r="293" spans="1:83" ht="25.5" customHeight="1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304"/>
      <c r="AA293" s="304"/>
      <c r="AB293" s="304"/>
      <c r="AC293" s="304"/>
      <c r="AD293" s="304"/>
      <c r="AE293" s="304"/>
      <c r="AF293" s="304"/>
      <c r="AG293" s="304"/>
      <c r="AH293" s="304"/>
      <c r="AI293" s="304"/>
      <c r="AJ293" s="304"/>
      <c r="AK293" s="304"/>
      <c r="AL293" s="304"/>
      <c r="AM293" s="193"/>
      <c r="AN293" s="193"/>
      <c r="AO293" s="447"/>
      <c r="AP293" s="193"/>
      <c r="AQ293" s="193"/>
      <c r="AR293" s="193"/>
      <c r="AS293" s="193"/>
      <c r="AT293" s="193"/>
      <c r="AU293" s="193"/>
      <c r="AV293" s="375"/>
      <c r="AW293" s="305"/>
      <c r="AX293" s="375"/>
      <c r="AY293" s="305"/>
      <c r="AZ293" s="310"/>
      <c r="BJ293" s="305"/>
      <c r="BK293" s="305"/>
      <c r="BL293" s="305"/>
      <c r="BM293" s="305"/>
      <c r="BN293" s="311"/>
      <c r="BX293" s="305"/>
      <c r="BY293" s="305"/>
      <c r="BZ293" s="305">
        <f>BZ290/CB290</f>
        <v>0.44755272901950033</v>
      </c>
      <c r="CA293" s="305"/>
      <c r="CE293" s="193" t="e">
        <f>(BZ293-BX293)/BX293</f>
        <v>#DIV/0!</v>
      </c>
    </row>
    <row r="294" spans="1:83" ht="15" customHeight="1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304"/>
      <c r="AA294" s="304"/>
      <c r="AB294" s="304"/>
      <c r="AC294" s="304"/>
      <c r="AD294" s="304"/>
      <c r="AE294" s="304"/>
      <c r="AF294" s="304"/>
      <c r="AG294" s="304"/>
      <c r="AH294" s="304"/>
      <c r="AI294" s="304"/>
      <c r="AJ294" s="304"/>
      <c r="AK294" s="304"/>
      <c r="AL294" s="304"/>
      <c r="AM294" s="193"/>
      <c r="AN294" s="193"/>
      <c r="AO294" s="447"/>
      <c r="AP294" s="193"/>
      <c r="AQ294" s="193"/>
      <c r="AR294" s="193"/>
      <c r="AS294" s="193"/>
      <c r="AT294" s="193"/>
      <c r="AU294" s="193"/>
    </row>
    <row r="295" spans="1:83" ht="15" customHeight="1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304"/>
      <c r="AA295" s="304"/>
      <c r="AB295" s="304"/>
      <c r="AC295" s="304"/>
      <c r="AD295" s="304"/>
      <c r="AE295" s="304"/>
      <c r="AF295" s="304"/>
      <c r="AG295" s="304"/>
      <c r="AH295" s="304"/>
      <c r="AI295" s="304"/>
      <c r="AJ295" s="304"/>
      <c r="AK295" s="304"/>
      <c r="AL295" s="304"/>
      <c r="AM295" s="193"/>
      <c r="AN295" s="193"/>
      <c r="AO295" s="447"/>
      <c r="AP295" s="193"/>
      <c r="AQ295" s="193"/>
      <c r="AR295" s="193"/>
      <c r="AS295" s="193"/>
      <c r="AT295" s="193"/>
      <c r="AU295" s="193"/>
    </row>
    <row r="296" spans="1:83" ht="15" customHeight="1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304"/>
      <c r="AA296" s="304"/>
      <c r="AB296" s="304"/>
      <c r="AC296" s="304"/>
      <c r="AD296" s="304"/>
      <c r="AE296" s="304"/>
      <c r="AF296" s="304"/>
      <c r="AG296" s="304"/>
      <c r="AH296" s="304"/>
      <c r="AI296" s="304"/>
      <c r="AJ296" s="304"/>
      <c r="AK296" s="304"/>
      <c r="AL296" s="304"/>
      <c r="AM296" s="193"/>
      <c r="AN296" s="193"/>
      <c r="AO296" s="447"/>
      <c r="AP296" s="193"/>
      <c r="AQ296" s="193"/>
      <c r="AR296" s="193"/>
      <c r="AS296" s="193"/>
      <c r="AT296" s="193"/>
      <c r="AU296" s="193"/>
    </row>
    <row r="297" spans="1:83" ht="15" customHeight="1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304"/>
      <c r="AA297" s="304"/>
      <c r="AB297" s="304"/>
      <c r="AC297" s="304"/>
      <c r="AD297" s="304"/>
      <c r="AE297" s="304"/>
      <c r="AF297" s="304"/>
      <c r="AG297" s="304"/>
      <c r="AH297" s="304"/>
      <c r="AI297" s="304"/>
      <c r="AJ297" s="304"/>
      <c r="AK297" s="304"/>
      <c r="AL297" s="304"/>
      <c r="AM297" s="193"/>
      <c r="AN297" s="193"/>
      <c r="AO297" s="447"/>
      <c r="AP297" s="193"/>
      <c r="AQ297" s="193"/>
      <c r="AR297" s="193"/>
      <c r="AS297" s="193"/>
      <c r="AT297" s="193"/>
      <c r="AU297" s="193"/>
    </row>
    <row r="298" spans="1:83" ht="15" customHeight="1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304"/>
      <c r="AA298" s="304"/>
      <c r="AB298" s="304"/>
      <c r="AC298" s="304"/>
      <c r="AD298" s="304"/>
      <c r="AE298" s="304"/>
      <c r="AF298" s="304"/>
      <c r="AG298" s="304"/>
      <c r="AH298" s="304"/>
      <c r="AI298" s="304"/>
      <c r="AJ298" s="304"/>
      <c r="AK298" s="304"/>
      <c r="AL298" s="304"/>
      <c r="AM298" s="193"/>
      <c r="AN298" s="193"/>
      <c r="AO298" s="447"/>
      <c r="AP298" s="193"/>
      <c r="AQ298" s="193"/>
      <c r="AR298" s="193"/>
      <c r="AS298" s="193"/>
      <c r="AT298" s="193"/>
      <c r="AU298" s="193"/>
      <c r="BI298" s="312"/>
    </row>
    <row r="299" spans="1:83" ht="15" customHeight="1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304"/>
      <c r="AA299" s="304"/>
      <c r="AB299" s="304"/>
      <c r="AC299" s="304"/>
      <c r="AD299" s="304"/>
      <c r="AE299" s="304"/>
      <c r="AF299" s="304"/>
      <c r="AG299" s="304"/>
      <c r="AH299" s="304"/>
      <c r="AI299" s="304"/>
      <c r="AJ299" s="304"/>
      <c r="AK299" s="304"/>
      <c r="AL299" s="304"/>
      <c r="AM299" s="193"/>
      <c r="AN299" s="193"/>
      <c r="AO299" s="447"/>
      <c r="AP299" s="193"/>
      <c r="AQ299" s="193"/>
      <c r="AR299" s="193"/>
      <c r="AS299" s="193"/>
      <c r="AT299" s="193"/>
      <c r="AU299" s="193"/>
    </row>
    <row r="300" spans="1:83" ht="15" customHeight="1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304"/>
      <c r="AA300" s="304"/>
      <c r="AB300" s="304"/>
      <c r="AC300" s="304"/>
      <c r="AD300" s="304"/>
      <c r="AE300" s="304"/>
      <c r="AF300" s="304"/>
      <c r="AG300" s="304"/>
      <c r="AH300" s="304"/>
      <c r="AI300" s="304"/>
      <c r="AJ300" s="304"/>
      <c r="AK300" s="304"/>
      <c r="AL300" s="304"/>
      <c r="AM300" s="193"/>
      <c r="AN300" s="193"/>
      <c r="AO300" s="447"/>
      <c r="AP300" s="193"/>
      <c r="AQ300" s="193"/>
      <c r="AR300" s="193"/>
      <c r="AS300" s="193"/>
      <c r="AT300" s="193"/>
      <c r="AU300" s="193"/>
    </row>
    <row r="301" spans="1:83" ht="15" customHeight="1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304"/>
      <c r="AA301" s="304"/>
      <c r="AB301" s="304"/>
      <c r="AC301" s="304"/>
      <c r="AD301" s="304"/>
      <c r="AE301" s="304"/>
      <c r="AF301" s="304"/>
      <c r="AG301" s="304"/>
      <c r="AH301" s="304"/>
      <c r="AI301" s="304"/>
      <c r="AJ301" s="304"/>
      <c r="AK301" s="304"/>
      <c r="AL301" s="304"/>
      <c r="AM301" s="193"/>
      <c r="AN301" s="193"/>
      <c r="AO301" s="447"/>
      <c r="AP301" s="193"/>
      <c r="AQ301" s="193"/>
      <c r="AR301" s="193"/>
      <c r="AS301" s="193"/>
      <c r="AT301" s="193"/>
      <c r="AU301" s="193"/>
    </row>
    <row r="302" spans="1:83" ht="15" customHeight="1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304"/>
      <c r="AA302" s="304"/>
      <c r="AB302" s="304"/>
      <c r="AC302" s="304"/>
      <c r="AD302" s="304"/>
      <c r="AE302" s="304"/>
      <c r="AF302" s="304"/>
      <c r="AG302" s="304"/>
      <c r="AH302" s="304"/>
      <c r="AI302" s="304"/>
      <c r="AJ302" s="304"/>
      <c r="AK302" s="304"/>
      <c r="AL302" s="304"/>
      <c r="AM302" s="193"/>
      <c r="AN302" s="193"/>
      <c r="AO302" s="447"/>
      <c r="AP302" s="193"/>
      <c r="AQ302" s="193"/>
      <c r="AR302" s="193"/>
      <c r="AS302" s="193"/>
      <c r="AT302" s="193"/>
      <c r="AU302" s="193"/>
    </row>
    <row r="303" spans="1:83" ht="15" customHeight="1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304"/>
      <c r="AA303" s="304"/>
      <c r="AB303" s="304"/>
      <c r="AC303" s="304"/>
      <c r="AD303" s="304"/>
      <c r="AE303" s="304"/>
      <c r="AF303" s="304"/>
      <c r="AG303" s="304"/>
      <c r="AH303" s="304"/>
      <c r="AI303" s="304"/>
      <c r="AJ303" s="304"/>
      <c r="AK303" s="304"/>
      <c r="AL303" s="304"/>
      <c r="AM303" s="193"/>
      <c r="AN303" s="193"/>
      <c r="AO303" s="447"/>
      <c r="AP303" s="193"/>
      <c r="AQ303" s="193"/>
      <c r="AR303" s="193"/>
      <c r="AS303" s="193"/>
      <c r="AT303" s="193"/>
      <c r="AU303" s="193"/>
    </row>
    <row r="304" spans="1:83" ht="15" customHeight="1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304"/>
      <c r="AA304" s="304"/>
      <c r="AB304" s="304"/>
      <c r="AC304" s="304"/>
      <c r="AD304" s="304"/>
      <c r="AE304" s="304"/>
      <c r="AF304" s="304"/>
      <c r="AG304" s="304"/>
      <c r="AH304" s="304"/>
      <c r="AI304" s="304"/>
      <c r="AJ304" s="304"/>
      <c r="AK304" s="304"/>
      <c r="AL304" s="304"/>
      <c r="AM304" s="193"/>
      <c r="AN304" s="193"/>
      <c r="AO304" s="447"/>
      <c r="AP304" s="193"/>
      <c r="AQ304" s="193"/>
      <c r="AR304" s="193"/>
      <c r="AS304" s="193"/>
      <c r="AT304" s="193"/>
      <c r="AU304" s="193"/>
    </row>
    <row r="305" spans="1:47" ht="15" customHeight="1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304"/>
      <c r="AA305" s="304"/>
      <c r="AB305" s="304"/>
      <c r="AC305" s="304"/>
      <c r="AD305" s="304"/>
      <c r="AE305" s="304"/>
      <c r="AF305" s="304"/>
      <c r="AG305" s="304"/>
      <c r="AH305" s="304"/>
      <c r="AI305" s="304"/>
      <c r="AJ305" s="304"/>
      <c r="AK305" s="304"/>
      <c r="AL305" s="304"/>
      <c r="AM305" s="193"/>
      <c r="AN305" s="193"/>
      <c r="AO305" s="447"/>
      <c r="AP305" s="193"/>
      <c r="AQ305" s="193"/>
      <c r="AR305" s="193"/>
      <c r="AS305" s="193"/>
      <c r="AT305" s="193"/>
      <c r="AU305" s="193"/>
    </row>
    <row r="306" spans="1:47" ht="15" customHeight="1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304"/>
      <c r="AA306" s="304"/>
      <c r="AB306" s="304"/>
      <c r="AC306" s="304"/>
      <c r="AD306" s="304"/>
      <c r="AE306" s="304"/>
      <c r="AF306" s="304"/>
      <c r="AG306" s="304"/>
      <c r="AH306" s="304"/>
      <c r="AI306" s="304"/>
      <c r="AJ306" s="304"/>
      <c r="AK306" s="304"/>
      <c r="AL306" s="304"/>
      <c r="AM306" s="193"/>
      <c r="AN306" s="193"/>
      <c r="AO306" s="447"/>
      <c r="AP306" s="193"/>
      <c r="AQ306" s="193"/>
      <c r="AR306" s="193"/>
      <c r="AS306" s="193"/>
      <c r="AT306" s="193"/>
      <c r="AU306" s="193"/>
    </row>
    <row r="307" spans="1:47" ht="15" customHeight="1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304"/>
      <c r="AA307" s="304"/>
      <c r="AB307" s="304"/>
      <c r="AC307" s="304"/>
      <c r="AD307" s="304"/>
      <c r="AE307" s="304"/>
      <c r="AF307" s="304"/>
      <c r="AG307" s="304"/>
      <c r="AH307" s="304"/>
      <c r="AI307" s="304"/>
      <c r="AJ307" s="304"/>
      <c r="AK307" s="304"/>
      <c r="AL307" s="304"/>
      <c r="AM307" s="193"/>
      <c r="AN307" s="193"/>
      <c r="AO307" s="447"/>
      <c r="AP307" s="193"/>
      <c r="AQ307" s="193"/>
      <c r="AR307" s="193"/>
      <c r="AS307" s="193"/>
      <c r="AT307" s="193"/>
      <c r="AU307" s="193"/>
    </row>
    <row r="308" spans="1:47" ht="15" customHeight="1">
      <c r="Q308"/>
      <c r="R308"/>
      <c r="S308"/>
      <c r="T308"/>
      <c r="U308"/>
    </row>
    <row r="309" spans="1:47" ht="15" customHeight="1">
      <c r="Q309"/>
      <c r="R309"/>
      <c r="S309"/>
      <c r="T309"/>
      <c r="U309"/>
    </row>
    <row r="310" spans="1:47" ht="15" customHeight="1">
      <c r="Q310"/>
      <c r="R310"/>
      <c r="S310"/>
      <c r="T310"/>
      <c r="U310"/>
    </row>
    <row r="311" spans="1:47" ht="15" customHeight="1">
      <c r="Q311"/>
      <c r="R311"/>
      <c r="S311"/>
      <c r="T311"/>
      <c r="U311"/>
    </row>
    <row r="312" spans="1:47" ht="15" customHeight="1">
      <c r="Q312"/>
      <c r="R312"/>
      <c r="S312"/>
      <c r="T312"/>
      <c r="U312"/>
    </row>
    <row r="313" spans="1:47" ht="15" customHeight="1">
      <c r="Q313"/>
      <c r="R313"/>
      <c r="S313"/>
      <c r="T313"/>
      <c r="U313"/>
    </row>
    <row r="314" spans="1:47" ht="15" customHeight="1">
      <c r="Q314"/>
      <c r="R314"/>
      <c r="S314"/>
      <c r="T314"/>
      <c r="U314"/>
    </row>
    <row r="315" spans="1:47" ht="15" customHeight="1">
      <c r="Q315"/>
      <c r="R315"/>
      <c r="S315"/>
      <c r="T315"/>
      <c r="U315"/>
    </row>
    <row r="316" spans="1:47" ht="15" customHeight="1">
      <c r="Q316"/>
      <c r="R316"/>
      <c r="S316"/>
      <c r="T316"/>
      <c r="U316"/>
    </row>
    <row r="317" spans="1:47" ht="15" customHeight="1">
      <c r="Q317"/>
      <c r="R317"/>
      <c r="S317"/>
      <c r="T317"/>
      <c r="U317"/>
    </row>
    <row r="318" spans="1:47" ht="15" customHeight="1">
      <c r="Q318"/>
      <c r="R318"/>
      <c r="S318"/>
      <c r="T318"/>
      <c r="U318"/>
    </row>
    <row r="319" spans="1:47" ht="15" customHeight="1">
      <c r="Q319"/>
      <c r="R319"/>
      <c r="S319"/>
      <c r="T319"/>
      <c r="U319"/>
    </row>
    <row r="320" spans="1:47" ht="15" customHeight="1">
      <c r="Q320"/>
      <c r="R320"/>
      <c r="S320"/>
      <c r="T320"/>
      <c r="U320"/>
    </row>
    <row r="321" spans="17:21" ht="15" customHeight="1">
      <c r="Q321"/>
      <c r="R321"/>
      <c r="S321"/>
      <c r="T321"/>
      <c r="U321"/>
    </row>
    <row r="322" spans="17:21" ht="15" customHeight="1">
      <c r="Q322"/>
      <c r="R322"/>
      <c r="S322"/>
      <c r="T322"/>
      <c r="U322"/>
    </row>
    <row r="323" spans="17:21" ht="15" customHeight="1">
      <c r="Q323"/>
      <c r="R323"/>
      <c r="S323"/>
      <c r="T323"/>
      <c r="U323"/>
    </row>
    <row r="324" spans="17:21" ht="15" customHeight="1">
      <c r="Q324"/>
      <c r="R324"/>
      <c r="S324"/>
      <c r="T324"/>
      <c r="U324"/>
    </row>
    <row r="325" spans="17:21" ht="15" customHeight="1">
      <c r="Q325"/>
      <c r="R325"/>
      <c r="S325"/>
      <c r="T325"/>
      <c r="U325"/>
    </row>
    <row r="326" spans="17:21" ht="15" customHeight="1">
      <c r="Q326"/>
      <c r="R326"/>
      <c r="S326"/>
      <c r="T326"/>
      <c r="U326"/>
    </row>
    <row r="327" spans="17:21" ht="15" customHeight="1">
      <c r="Q327"/>
      <c r="R327"/>
      <c r="S327"/>
      <c r="T327"/>
      <c r="U327"/>
    </row>
    <row r="328" spans="17:21" ht="15" customHeight="1">
      <c r="Q328"/>
      <c r="R328"/>
      <c r="S328"/>
      <c r="T328"/>
      <c r="U328"/>
    </row>
    <row r="329" spans="17:21" ht="15" customHeight="1">
      <c r="Q329"/>
      <c r="R329"/>
      <c r="S329"/>
      <c r="T329"/>
      <c r="U329"/>
    </row>
    <row r="330" spans="17:21" ht="15" customHeight="1">
      <c r="Q330"/>
      <c r="R330"/>
      <c r="S330"/>
      <c r="T330"/>
      <c r="U330"/>
    </row>
    <row r="331" spans="17:21" ht="15" customHeight="1">
      <c r="Q331"/>
      <c r="R331"/>
      <c r="S331"/>
      <c r="T331"/>
      <c r="U331"/>
    </row>
    <row r="332" spans="17:21" ht="15" customHeight="1">
      <c r="Q332"/>
      <c r="R332"/>
      <c r="S332"/>
      <c r="T332"/>
      <c r="U332"/>
    </row>
    <row r="333" spans="17:21" ht="15" customHeight="1">
      <c r="Q333"/>
      <c r="R333"/>
      <c r="S333"/>
      <c r="T333"/>
      <c r="U333"/>
    </row>
    <row r="334" spans="17:21" ht="15" customHeight="1">
      <c r="Q334"/>
      <c r="R334"/>
      <c r="S334"/>
      <c r="T334"/>
      <c r="U334"/>
    </row>
    <row r="335" spans="17:21" ht="15" customHeight="1">
      <c r="Q335"/>
      <c r="R335"/>
      <c r="S335"/>
      <c r="T335"/>
      <c r="U335"/>
    </row>
    <row r="336" spans="17:21" ht="15" customHeight="1">
      <c r="Q336"/>
      <c r="R336"/>
      <c r="S336"/>
      <c r="T336"/>
      <c r="U336"/>
    </row>
    <row r="337" spans="17:21" ht="15" customHeight="1">
      <c r="Q337"/>
      <c r="R337"/>
      <c r="S337"/>
      <c r="T337"/>
      <c r="U337"/>
    </row>
    <row r="338" spans="17:21" ht="15" customHeight="1">
      <c r="Q338"/>
      <c r="R338"/>
      <c r="S338"/>
      <c r="T338"/>
      <c r="U338"/>
    </row>
    <row r="339" spans="17:21" ht="15" customHeight="1">
      <c r="Q339"/>
      <c r="R339"/>
      <c r="S339"/>
      <c r="T339"/>
      <c r="U339"/>
    </row>
    <row r="340" spans="17:21" ht="15" customHeight="1">
      <c r="Q340"/>
      <c r="R340"/>
      <c r="S340"/>
      <c r="T340"/>
      <c r="U340"/>
    </row>
    <row r="341" spans="17:21" ht="15" customHeight="1">
      <c r="Q341"/>
      <c r="R341"/>
      <c r="S341"/>
      <c r="T341"/>
      <c r="U341"/>
    </row>
    <row r="342" spans="17:21" ht="15" customHeight="1">
      <c r="Q342"/>
      <c r="R342"/>
      <c r="S342"/>
      <c r="T342"/>
      <c r="U342"/>
    </row>
  </sheetData>
  <autoFilter ref="A2:AO283"/>
  <mergeCells count="38">
    <mergeCell ref="AU1:CC1"/>
    <mergeCell ref="AF272:AF273"/>
    <mergeCell ref="AG272:AG273"/>
    <mergeCell ref="AH272:AH273"/>
    <mergeCell ref="AI272:AI273"/>
    <mergeCell ref="AG213:AG214"/>
    <mergeCell ref="AQ3:BD3"/>
    <mergeCell ref="BE3:BR3"/>
    <mergeCell ref="BS3:CF3"/>
    <mergeCell ref="AE271:AH271"/>
    <mergeCell ref="AF232:AF233"/>
    <mergeCell ref="AG232:AG233"/>
    <mergeCell ref="Y1:AO1"/>
    <mergeCell ref="AA272:AA273"/>
    <mergeCell ref="AC272:AC273"/>
    <mergeCell ref="AD272:AD273"/>
    <mergeCell ref="AE272:AE273"/>
    <mergeCell ref="AA232:AA233"/>
    <mergeCell ref="AB232:AB233"/>
    <mergeCell ref="AC232:AC233"/>
    <mergeCell ref="AD232:AD233"/>
    <mergeCell ref="AE232:AE233"/>
    <mergeCell ref="B1:E1"/>
    <mergeCell ref="AM275:AM280"/>
    <mergeCell ref="Q1:U1"/>
    <mergeCell ref="AA3:AK3"/>
    <mergeCell ref="AA213:AA214"/>
    <mergeCell ref="AH232:AH233"/>
    <mergeCell ref="AE231:AH231"/>
    <mergeCell ref="AA231:AC231"/>
    <mergeCell ref="AI232:AI233"/>
    <mergeCell ref="AB213:AB214"/>
    <mergeCell ref="AC213:AC214"/>
    <mergeCell ref="AD213:AD214"/>
    <mergeCell ref="AE213:AE214"/>
    <mergeCell ref="AF213:AF214"/>
    <mergeCell ref="AA271:AC271"/>
    <mergeCell ref="AB272:AB27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99"/>
  </sheetPr>
  <dimension ref="A1:BD238"/>
  <sheetViews>
    <sheetView zoomScale="85" zoomScaleNormal="85" workbookViewId="0">
      <selection activeCell="AB11" sqref="AB11"/>
    </sheetView>
  </sheetViews>
  <sheetFormatPr defaultColWidth="9.140625" defaultRowHeight="15"/>
  <cols>
    <col min="1" max="1" width="143.28515625" style="101" customWidth="1"/>
    <col min="2" max="2" width="9.140625" style="101"/>
    <col min="3" max="3" width="15.28515625" style="101" customWidth="1"/>
    <col min="4" max="4" width="16.28515625" style="101" customWidth="1"/>
    <col min="5" max="5" width="16.28515625" style="285" customWidth="1"/>
    <col min="6" max="54" width="9.140625" style="101"/>
    <col min="55" max="55" width="21.28515625" style="101" bestFit="1" customWidth="1"/>
    <col min="56" max="16384" width="9.140625" style="101"/>
  </cols>
  <sheetData>
    <row r="1" spans="1:56">
      <c r="A1" s="101" t="str">
        <f>'Measure Tables'!A218</f>
        <v>Residential - Efficient Product Rebates; Room A/C Retirement; RES-HVAC/Shell; RES-SF</v>
      </c>
      <c r="B1" s="271">
        <f>'Measure Tables'!P218</f>
        <v>0.41289059030957059</v>
      </c>
      <c r="C1" s="271">
        <f>'Measure Tables'!T218</f>
        <v>2.306451811636077</v>
      </c>
      <c r="D1" s="273">
        <f>'Measure Tables'!U218</f>
        <v>4.5861089251435398</v>
      </c>
      <c r="E1" s="285">
        <v>12</v>
      </c>
    </row>
    <row r="2" spans="1:56">
      <c r="A2" s="101" t="str">
        <f>'Measure Tables'!A184</f>
        <v>BNI- Direct Installation; Faucet Aerator; COM-Other; Office</v>
      </c>
      <c r="B2" s="271">
        <f>'Measure Tables'!P184</f>
        <v>3.5758821556355791</v>
      </c>
      <c r="C2" s="271">
        <f>'Measure Tables'!T184</f>
        <v>14.970946444269067</v>
      </c>
      <c r="D2" s="273">
        <f>'Measure Tables'!U184</f>
        <v>3.1866442440433622</v>
      </c>
      <c r="E2" s="285">
        <v>12</v>
      </c>
      <c r="N2" s="101" t="s">
        <v>317</v>
      </c>
      <c r="O2" s="273">
        <f>AVERAGE(D1:D238)</f>
        <v>0.31160265500222112</v>
      </c>
      <c r="BC2" s="101" t="s">
        <v>352</v>
      </c>
    </row>
    <row r="3" spans="1:56">
      <c r="A3" s="101" t="str">
        <f>'Measure Tables'!A185</f>
        <v>BNI- Direct Installation; Faucet Aerator; COM-Other; Other Commercial</v>
      </c>
      <c r="B3" s="271">
        <f>'Measure Tables'!P185</f>
        <v>3.5758821556355791</v>
      </c>
      <c r="C3" s="271">
        <f>'Measure Tables'!T185</f>
        <v>14.970946444269067</v>
      </c>
      <c r="D3" s="273">
        <f>'Measure Tables'!U185</f>
        <v>3.1866442440433622</v>
      </c>
      <c r="E3" s="285">
        <v>12</v>
      </c>
      <c r="N3" s="101" t="s">
        <v>318</v>
      </c>
      <c r="O3" s="273">
        <f>MEDIAN(D1:D238)</f>
        <v>0.195151538000054</v>
      </c>
      <c r="V3" s="101" t="s">
        <v>349</v>
      </c>
      <c r="W3" s="101">
        <f>COUNTIF(D1:D238,0)</f>
        <v>85</v>
      </c>
      <c r="X3" s="101">
        <f>W3/SUM(W3:W4)</f>
        <v>0.35714285714285715</v>
      </c>
      <c r="BB3" s="101">
        <v>1</v>
      </c>
      <c r="BC3" s="101" t="str">
        <f>"&gt; -10% and &lt; 0%"</f>
        <v>&gt; -10% and &lt; 0%</v>
      </c>
      <c r="BD3" s="101">
        <f>COUNTIF($E$1:$E$238,BB3)</f>
        <v>1</v>
      </c>
    </row>
    <row r="4" spans="1:56">
      <c r="A4" s="101" t="str">
        <f>'Measure Tables'!A186</f>
        <v>BNI- Direct Installation; Faucet Aerator; COM-Other; Retail</v>
      </c>
      <c r="B4" s="271">
        <f>'Measure Tables'!P186</f>
        <v>3.5758821556355791</v>
      </c>
      <c r="C4" s="271">
        <f>'Measure Tables'!T186</f>
        <v>14.970946444269067</v>
      </c>
      <c r="D4" s="273">
        <f>'Measure Tables'!U186</f>
        <v>3.1866442440433622</v>
      </c>
      <c r="E4" s="285">
        <v>12</v>
      </c>
      <c r="V4" s="101" t="s">
        <v>348</v>
      </c>
      <c r="W4" s="274">
        <f>COUNT(D1:D238)-W3</f>
        <v>153</v>
      </c>
      <c r="BB4" s="101">
        <v>2</v>
      </c>
      <c r="BC4" s="272" t="str">
        <f>"0%"</f>
        <v>0%</v>
      </c>
      <c r="BD4" s="101">
        <f t="shared" ref="BD4:BD14" si="0">COUNTIF($E$1:$E$238,BB4)</f>
        <v>82</v>
      </c>
    </row>
    <row r="5" spans="1:56">
      <c r="A5" s="101" t="str">
        <f>'Measure Tables'!A248</f>
        <v>Existing Residential; DHW Pipe Insulation; RES-Water Heat; MURB</v>
      </c>
      <c r="B5" s="271">
        <f>'Measure Tables'!P248</f>
        <v>1.9307664448254718</v>
      </c>
      <c r="C5" s="271">
        <f>'Measure Tables'!T248</f>
        <v>6.1400926082785672</v>
      </c>
      <c r="D5" s="273">
        <f>'Measure Tables'!U248</f>
        <v>2.1801322343954399</v>
      </c>
      <c r="E5" s="285">
        <v>11</v>
      </c>
      <c r="BB5" s="101">
        <v>3</v>
      </c>
      <c r="BC5" s="101" t="str">
        <f>"&gt; 0% and 10%"</f>
        <v>&gt; 0% and 10%</v>
      </c>
      <c r="BD5" s="101">
        <f t="shared" si="0"/>
        <v>27</v>
      </c>
    </row>
    <row r="6" spans="1:56">
      <c r="A6" s="101" t="str">
        <f>'Measure Tables'!A191</f>
        <v>BNI- Direct Installation; Low Flow Showerheads; COM-Other; Other Commercial</v>
      </c>
      <c r="B6" s="271">
        <f>'Measure Tables'!P191</f>
        <v>3.7610239897947744</v>
      </c>
      <c r="C6" s="271">
        <f>'Measure Tables'!T191</f>
        <v>11.254457614680046</v>
      </c>
      <c r="D6" s="273">
        <f>'Measure Tables'!U191</f>
        <v>1.9923918712611461</v>
      </c>
      <c r="E6" s="285">
        <v>11</v>
      </c>
      <c r="BB6" s="101">
        <v>4</v>
      </c>
      <c r="BC6" s="101" t="str">
        <f>"&gt; 10% and 20%"</f>
        <v>&gt; 10% and 20%</v>
      </c>
      <c r="BD6" s="101">
        <f t="shared" si="0"/>
        <v>9</v>
      </c>
    </row>
    <row r="7" spans="1:56">
      <c r="A7" s="101" t="str">
        <f>'Measure Tables'!A179</f>
        <v>BNI- Direct Installation; Ground Source Heat Pump; COM-HVAC; School</v>
      </c>
      <c r="B7" s="271">
        <f>'Measure Tables'!P179</f>
        <v>0.71837861819080784</v>
      </c>
      <c r="C7" s="271">
        <f>'Measure Tables'!T179</f>
        <v>1.4320823841286532</v>
      </c>
      <c r="D7" s="273">
        <f>'Measure Tables'!U179</f>
        <v>0.99349249527396033</v>
      </c>
      <c r="E7" s="285">
        <v>10</v>
      </c>
      <c r="BB7" s="101">
        <v>5</v>
      </c>
      <c r="BC7" s="101" t="str">
        <f>"&gt; 20% and 30%"</f>
        <v>&gt; 20% and 30%</v>
      </c>
      <c r="BD7" s="101">
        <f t="shared" si="0"/>
        <v>9</v>
      </c>
    </row>
    <row r="8" spans="1:56">
      <c r="A8" s="101" t="str">
        <f>'Measure Tables'!A183</f>
        <v>BNI- Direct Installation; Ground/Water Source Heat Pumps; COM-HVAC; School</v>
      </c>
      <c r="B8" s="271">
        <f>'Measure Tables'!P183</f>
        <v>2.5336367661453703</v>
      </c>
      <c r="C8" s="271">
        <f>'Measure Tables'!T183</f>
        <v>5.0507858790609808</v>
      </c>
      <c r="D8" s="273">
        <f>'Measure Tables'!U183</f>
        <v>0.99349249527396</v>
      </c>
      <c r="E8" s="285">
        <v>10</v>
      </c>
      <c r="BB8" s="101">
        <v>6</v>
      </c>
      <c r="BC8" s="101" t="str">
        <f>"&gt; 30% and 40%"</f>
        <v>&gt; 30% and 40%</v>
      </c>
      <c r="BD8" s="101">
        <f t="shared" si="0"/>
        <v>62</v>
      </c>
    </row>
    <row r="9" spans="1:56">
      <c r="A9" s="101" t="str">
        <f>'Measure Tables'!A175</f>
        <v>BNI- Direct Installation; High-Efficiency Air Source Heat Pumps: Electric Baseboards; COM-HVAC; School</v>
      </c>
      <c r="B9" s="271">
        <f>'Measure Tables'!P175</f>
        <v>1.2732681733093543</v>
      </c>
      <c r="C9" s="271">
        <f>'Measure Tables'!T175</f>
        <v>2.5382505479633819</v>
      </c>
      <c r="D9" s="273">
        <f>'Measure Tables'!U175</f>
        <v>0.99349249527396022</v>
      </c>
      <c r="E9" s="285">
        <v>10</v>
      </c>
      <c r="BB9" s="101">
        <v>7</v>
      </c>
      <c r="BC9" s="101" t="str">
        <f>"&gt; 40% and 50%"</f>
        <v>&gt; 40% and 50%</v>
      </c>
      <c r="BD9" s="101">
        <f t="shared" si="0"/>
        <v>17</v>
      </c>
    </row>
    <row r="10" spans="1:56">
      <c r="A10" s="101" t="str">
        <f>'Measure Tables'!A171</f>
        <v>BNI- Direct Installation; High-Efficiency Air Source Heat Pumps: Air Source Heat Pumps (1-11) Tons, Baseline; COM-HVAC; School</v>
      </c>
      <c r="B10" s="271">
        <f>'Measure Tables'!P171</f>
        <v>4.18573886868045</v>
      </c>
      <c r="C10" s="271">
        <f>'Measure Tables'!T171</f>
        <v>8.3442390218909939</v>
      </c>
      <c r="D10" s="273">
        <f>'Measure Tables'!U171</f>
        <v>0.99349249527396033</v>
      </c>
      <c r="E10" s="285">
        <v>10</v>
      </c>
      <c r="BB10" s="101">
        <v>8</v>
      </c>
      <c r="BC10" s="101" t="str">
        <f>"&gt; 50% and 60%"</f>
        <v>&gt; 50% and 60%</v>
      </c>
      <c r="BD10" s="101">
        <f t="shared" si="0"/>
        <v>3</v>
      </c>
    </row>
    <row r="11" spans="1:56">
      <c r="A11" s="101" t="str">
        <f>'Measure Tables'!A178</f>
        <v>BNI- Direct Installation; Ground Source Heat Pump; COM-HVAC; Retail</v>
      </c>
      <c r="B11" s="271">
        <f>'Measure Tables'!P178</f>
        <v>0.72145489908422211</v>
      </c>
      <c r="C11" s="271">
        <f>'Measure Tables'!T178</f>
        <v>1.4351586650220673</v>
      </c>
      <c r="D11" s="273">
        <f>'Measure Tables'!U178</f>
        <v>0.98925624712478111</v>
      </c>
      <c r="E11" s="285">
        <v>10</v>
      </c>
      <c r="BB11" s="101">
        <v>9</v>
      </c>
      <c r="BC11" s="101" t="str">
        <f>"&gt; 60% and 75%"</f>
        <v>&gt; 60% and 75%</v>
      </c>
      <c r="BD11" s="101">
        <f t="shared" si="0"/>
        <v>5</v>
      </c>
    </row>
    <row r="12" spans="1:56">
      <c r="A12" s="101" t="str">
        <f>'Measure Tables'!A182</f>
        <v>BNI- Direct Installation; Ground/Water Source Heat Pumps; COM-HVAC; Retail</v>
      </c>
      <c r="B12" s="271">
        <f>'Measure Tables'!P182</f>
        <v>2.5367606729149892</v>
      </c>
      <c r="C12" s="271">
        <f>'Measure Tables'!T182</f>
        <v>5.0462670160566061</v>
      </c>
      <c r="D12" s="273">
        <f>'Measure Tables'!U182</f>
        <v>0.98925624712478122</v>
      </c>
      <c r="E12" s="285">
        <v>10</v>
      </c>
      <c r="BB12" s="101">
        <v>10</v>
      </c>
      <c r="BC12" s="101" t="str">
        <f>"&gt; 115% and 125%"</f>
        <v>&gt; 115% and 125%</v>
      </c>
      <c r="BD12" s="101">
        <f t="shared" si="0"/>
        <v>17</v>
      </c>
    </row>
    <row r="13" spans="1:56">
      <c r="A13" s="101" t="str">
        <f>'Measure Tables'!A170</f>
        <v>BNI- Direct Installation; High-Efficiency Air Source Heat Pumps: Air Source Heat Pumps (1-11) Tons, Baseline; COM-HVAC; Retail</v>
      </c>
      <c r="B13" s="271">
        <f>'Measure Tables'!P170</f>
        <v>4.1958983339622291</v>
      </c>
      <c r="C13" s="271">
        <f>'Measure Tables'!T170</f>
        <v>8.346716973134825</v>
      </c>
      <c r="D13" s="273">
        <f>'Measure Tables'!U170</f>
        <v>0.989256247124781</v>
      </c>
      <c r="E13" s="285">
        <v>10</v>
      </c>
      <c r="BB13" s="101">
        <v>11</v>
      </c>
      <c r="BC13" s="101" t="str">
        <f>"&gt; 175% and 230%"</f>
        <v>&gt; 175% and 230%</v>
      </c>
      <c r="BD13" s="101">
        <f t="shared" si="0"/>
        <v>2</v>
      </c>
    </row>
    <row r="14" spans="1:56">
      <c r="A14" s="101" t="str">
        <f>'Measure Tables'!A174</f>
        <v>BNI- Direct Installation; High-Efficiency Air Source Heat Pumps: Electric Baseboards; COM-HVAC; Retail</v>
      </c>
      <c r="B14" s="271">
        <f>'Measure Tables'!P174</f>
        <v>1.2787206331328507</v>
      </c>
      <c r="C14" s="271">
        <f>'Measure Tables'!T174</f>
        <v>2.5437030077868785</v>
      </c>
      <c r="D14" s="273">
        <f>'Measure Tables'!U174</f>
        <v>0.98925624712478111</v>
      </c>
      <c r="E14" s="285">
        <v>10</v>
      </c>
      <c r="BB14" s="101">
        <v>12</v>
      </c>
      <c r="BC14" s="101" t="str">
        <f>"&gt; 275%"</f>
        <v>&gt; 275%</v>
      </c>
      <c r="BD14" s="101">
        <f t="shared" si="0"/>
        <v>4</v>
      </c>
    </row>
    <row r="15" spans="1:56">
      <c r="A15" s="101" t="str">
        <f>'Measure Tables'!A169</f>
        <v>BNI- Direct Installation; High-Efficiency Air Source Heat Pumps: Air Source Heat Pumps (1-11) Tons, Baseline; COM-HVAC; Other Commercial</v>
      </c>
      <c r="B15" s="271">
        <f>'Measure Tables'!P169</f>
        <v>4.0562419715470224</v>
      </c>
      <c r="C15" s="271">
        <f>'Measure Tables'!T169</f>
        <v>7.999695341027361</v>
      </c>
      <c r="D15" s="273">
        <f>'Measure Tables'!U169</f>
        <v>0.97219381810605665</v>
      </c>
      <c r="E15" s="285">
        <v>10</v>
      </c>
    </row>
    <row r="16" spans="1:56">
      <c r="A16" s="101" t="str">
        <f>'Measure Tables'!A173</f>
        <v>BNI- Direct Installation; High-Efficiency Air Source Heat Pumps: Electric Baseboards; COM-HVAC; Other Commercial</v>
      </c>
      <c r="B16" s="271">
        <f>'Measure Tables'!P173</f>
        <v>1.3011627425469097</v>
      </c>
      <c r="C16" s="271">
        <f>'Measure Tables'!T173</f>
        <v>2.5661451172009371</v>
      </c>
      <c r="D16" s="273">
        <f>'Measure Tables'!U173</f>
        <v>0.9721938181060561</v>
      </c>
      <c r="E16" s="285">
        <v>10</v>
      </c>
    </row>
    <row r="17" spans="1:5">
      <c r="A17" s="101" t="str">
        <f>'Measure Tables'!A181</f>
        <v>BNI- Direct Installation; Ground/Water Source Heat Pumps; COM-HVAC; Other Commercial</v>
      </c>
      <c r="B17" s="271">
        <f>'Measure Tables'!P181</f>
        <v>2.3764804277599878</v>
      </c>
      <c r="C17" s="271">
        <f>'Measure Tables'!T181</f>
        <v>4.6868800084782851</v>
      </c>
      <c r="D17" s="273">
        <f>'Measure Tables'!U181</f>
        <v>0.97219381810605665</v>
      </c>
      <c r="E17" s="285">
        <v>10</v>
      </c>
    </row>
    <row r="18" spans="1:5">
      <c r="A18" s="101" t="str">
        <f>'Measure Tables'!A177</f>
        <v>BNI- Direct Installation; Ground Source Heat Pump; COM-HVAC; Other Commercial</v>
      </c>
      <c r="B18" s="271">
        <f>'Measure Tables'!P177</f>
        <v>0.7341167498145803</v>
      </c>
      <c r="C18" s="271">
        <f>'Measure Tables'!T177</f>
        <v>1.4478205157524255</v>
      </c>
      <c r="D18" s="273">
        <f>'Measure Tables'!U177</f>
        <v>0.97219381810605621</v>
      </c>
      <c r="E18" s="285">
        <v>10</v>
      </c>
    </row>
    <row r="19" spans="1:5">
      <c r="A19" s="101" t="str">
        <f>'Measure Tables'!A176</f>
        <v>BNI- Direct Installation; Ground Source Heat Pump; COM-HVAC; Office</v>
      </c>
      <c r="B19" s="271">
        <f>'Measure Tables'!P176</f>
        <v>0.73998959178757084</v>
      </c>
      <c r="C19" s="271">
        <f>'Measure Tables'!T176</f>
        <v>1.4536933577254161</v>
      </c>
      <c r="D19" s="273">
        <f>'Measure Tables'!U176</f>
        <v>0.96447811409586492</v>
      </c>
      <c r="E19" s="285">
        <v>10</v>
      </c>
    </row>
    <row r="20" spans="1:5">
      <c r="A20" s="101" t="str">
        <f>'Measure Tables'!A180</f>
        <v>BNI- Direct Installation; Ground/Water Source Heat Pumps; COM-HVAC; Office</v>
      </c>
      <c r="B20" s="271">
        <f>'Measure Tables'!P180</f>
        <v>2.6361958616516206</v>
      </c>
      <c r="C20" s="271">
        <f>'Measure Tables'!T180</f>
        <v>5.1787490746847</v>
      </c>
      <c r="D20" s="273">
        <f>'Measure Tables'!U180</f>
        <v>0.96447811409586526</v>
      </c>
      <c r="E20" s="285">
        <v>10</v>
      </c>
    </row>
    <row r="21" spans="1:5">
      <c r="A21" s="101" t="str">
        <f>'Measure Tables'!A168</f>
        <v>BNI- Direct Installation; High-Efficiency Air Source Heat Pumps: Air Source Heat Pumps (1-11) Tons, Baseline; COM-HVAC; Office</v>
      </c>
      <c r="B21" s="271">
        <f>'Measure Tables'!P168</f>
        <v>4.337315506168034</v>
      </c>
      <c r="C21" s="271">
        <f>'Measure Tables'!T168</f>
        <v>8.5205613857957303</v>
      </c>
      <c r="D21" s="273">
        <f>'Measure Tables'!U168</f>
        <v>0.9644781140958647</v>
      </c>
      <c r="E21" s="285">
        <v>10</v>
      </c>
    </row>
    <row r="22" spans="1:5">
      <c r="A22" s="101" t="str">
        <f>'Measure Tables'!A172</f>
        <v>BNI- Direct Installation; High-Efficiency Air Source Heat Pumps: Electric Baseboards; COM-HVAC; Office</v>
      </c>
      <c r="B22" s="271">
        <f>'Measure Tables'!P172</f>
        <v>1.3115718813794606</v>
      </c>
      <c r="C22" s="271">
        <f>'Measure Tables'!T172</f>
        <v>2.5765542560334884</v>
      </c>
      <c r="D22" s="273">
        <f>'Measure Tables'!U172</f>
        <v>0.96447811409586515</v>
      </c>
      <c r="E22" s="285">
        <v>10</v>
      </c>
    </row>
    <row r="23" spans="1:5">
      <c r="A23" s="101" t="str">
        <f>'Measure Tables'!A23</f>
        <v>BNI - Efficient Product Rebates; ENERGY STAR® Self Contained Ice Maker; COM-Refrigeration; Retail</v>
      </c>
      <c r="B23" s="271">
        <f>'Measure Tables'!P23</f>
        <v>0.82975470228310022</v>
      </c>
      <c r="C23" s="271">
        <f>'Measure Tables'!T23</f>
        <v>1.8542006483369851</v>
      </c>
      <c r="D23" s="273">
        <f>'Measure Tables'!U23</f>
        <v>1.2346371080936145</v>
      </c>
      <c r="E23" s="285">
        <v>10</v>
      </c>
    </row>
    <row r="24" spans="1:5">
      <c r="A24" s="101" t="str">
        <f>'Measure Tables'!A187</f>
        <v>BNI- Direct Installation; DHW Tank Wrap; COM-Other; Office</v>
      </c>
      <c r="B24" s="271">
        <f>'Measure Tables'!P187</f>
        <v>2.061464604948601</v>
      </c>
      <c r="C24" s="271">
        <f>'Measure Tables'!T187</f>
        <v>3.5308267610228548</v>
      </c>
      <c r="D24" s="273">
        <f>'Measure Tables'!U187</f>
        <v>0.71277583546523704</v>
      </c>
      <c r="E24" s="285">
        <v>9</v>
      </c>
    </row>
    <row r="25" spans="1:5">
      <c r="A25" s="101" t="str">
        <f>'Measure Tables'!A188</f>
        <v>BNI- Direct Installation; DHW Tank Wrap; COM-Other; Retail</v>
      </c>
      <c r="B25" s="271">
        <f>'Measure Tables'!P188</f>
        <v>2.061464604948601</v>
      </c>
      <c r="C25" s="271">
        <f>'Measure Tables'!T188</f>
        <v>3.5308267610228548</v>
      </c>
      <c r="D25" s="273">
        <f>'Measure Tables'!U188</f>
        <v>0.71277583546523704</v>
      </c>
      <c r="E25" s="285">
        <v>9</v>
      </c>
    </row>
    <row r="26" spans="1:5">
      <c r="A26" s="101" t="str">
        <f>'Measure Tables'!A20</f>
        <v>BNI - Efficient Product Rebates; Solid Door Commercial Freezer; COM-Refrigeration; Retail</v>
      </c>
      <c r="B26" s="271">
        <f>'Measure Tables'!P20</f>
        <v>1.8355907062310652</v>
      </c>
      <c r="C26" s="271">
        <f>'Measure Tables'!T20</f>
        <v>3.0262475884620033</v>
      </c>
      <c r="D26" s="273">
        <f>'Measure Tables'!U20</f>
        <v>0.64865052878572238</v>
      </c>
      <c r="E26" s="285">
        <v>9</v>
      </c>
    </row>
    <row r="27" spans="1:5">
      <c r="A27" s="101" t="str">
        <f>'Measure Tables'!A19</f>
        <v>BNI - Efficient Product Rebates; Glass Door Commercial Refrigerator; COM-Refrigeration; Retail</v>
      </c>
      <c r="B27" s="271">
        <f>'Measure Tables'!P19</f>
        <v>1.0720192154681811</v>
      </c>
      <c r="C27" s="271">
        <f>'Measure Tables'!T19</f>
        <v>1.767385046450072</v>
      </c>
      <c r="D27" s="273">
        <f>'Measure Tables'!U19</f>
        <v>0.64865052878572227</v>
      </c>
      <c r="E27" s="285">
        <v>9</v>
      </c>
    </row>
    <row r="28" spans="1:5">
      <c r="A28" s="101" t="str">
        <f>'Measure Tables'!A18</f>
        <v>BNI - Efficient Product Rebates; Solid Door Commercial Refrigerator; COM-Refrigeration; Retail</v>
      </c>
      <c r="B28" s="271">
        <f>'Measure Tables'!P18</f>
        <v>1.3244852365682911</v>
      </c>
      <c r="C28" s="271">
        <f>'Measure Tables'!T18</f>
        <v>2.1836132856371959</v>
      </c>
      <c r="D28" s="273">
        <f>'Measure Tables'!U18</f>
        <v>0.64865052878572249</v>
      </c>
      <c r="E28" s="285">
        <v>9</v>
      </c>
    </row>
    <row r="29" spans="1:5">
      <c r="A29" s="101" t="str">
        <f>'Measure Tables'!A189</f>
        <v>BNI- Direct Installation; DHW Pipe Insulation; COM-Other; Office</v>
      </c>
      <c r="B29" s="271">
        <f>'Measure Tables'!P189</f>
        <v>4.5616979617805971</v>
      </c>
      <c r="C29" s="271">
        <f>'Measure Tables'!T189</f>
        <v>7.2477900806778575</v>
      </c>
      <c r="D29" s="273">
        <f>'Measure Tables'!U189</f>
        <v>0.58883603022432041</v>
      </c>
      <c r="E29" s="285">
        <v>8</v>
      </c>
    </row>
    <row r="30" spans="1:5">
      <c r="A30" s="101" t="str">
        <f>'Measure Tables'!A190</f>
        <v>BNI- Direct Installation; DHW Pipe Insulation; COM-Other; Retail</v>
      </c>
      <c r="B30" s="271">
        <f>'Measure Tables'!P190</f>
        <v>4.5616979617805971</v>
      </c>
      <c r="C30" s="271">
        <f>'Measure Tables'!T190</f>
        <v>7.2477900806778575</v>
      </c>
      <c r="D30" s="273">
        <f>'Measure Tables'!U190</f>
        <v>0.58883603022432041</v>
      </c>
      <c r="E30" s="285">
        <v>8</v>
      </c>
    </row>
    <row r="31" spans="1:5">
      <c r="A31" s="101" t="str">
        <f>'Measure Tables'!A247</f>
        <v>Existing Residential; DHW Pipe Insulation; RES-Water Heat; RES-SF</v>
      </c>
      <c r="B31" s="271">
        <f>'Measure Tables'!P247</f>
        <v>6.2762334120278211</v>
      </c>
      <c r="C31" s="271">
        <f>'Measure Tables'!T247</f>
        <v>9.6890874900302641</v>
      </c>
      <c r="D31" s="273">
        <f>'Measure Tables'!U247</f>
        <v>0.54377424387404449</v>
      </c>
      <c r="E31" s="285">
        <v>8</v>
      </c>
    </row>
    <row r="32" spans="1:5">
      <c r="A32" s="101" t="str">
        <f>'Measure Tables'!A6</f>
        <v>BNI - Efficient Product Rebates; Single-Tank Door Type Dishwasher (Low Temp); COM-Other; Retail</v>
      </c>
      <c r="B32" s="271">
        <f>'Measure Tables'!P6</f>
        <v>8.5628434778335656</v>
      </c>
      <c r="C32" s="271">
        <f>'Measure Tables'!T6</f>
        <v>12.792061660307972</v>
      </c>
      <c r="D32" s="273">
        <f>'Measure Tables'!U6</f>
        <v>0.49390347884116831</v>
      </c>
      <c r="E32" s="285">
        <v>7</v>
      </c>
    </row>
    <row r="33" spans="1:5">
      <c r="A33" s="101" t="str">
        <f>'Measure Tables'!A8</f>
        <v>BNI - Efficient Product Rebates; Multi-Tank Conveyor Commercial Dish Washer (Low Temp); COM-Other; Retail</v>
      </c>
      <c r="B33" s="271">
        <f>'Measure Tables'!P8</f>
        <v>3.885517984038104</v>
      </c>
      <c r="C33" s="271">
        <f>'Measure Tables'!T8</f>
        <v>5.6954416485446879</v>
      </c>
      <c r="D33" s="273">
        <f>'Measure Tables'!U8</f>
        <v>0.46581271067122532</v>
      </c>
      <c r="E33" s="285">
        <v>7</v>
      </c>
    </row>
    <row r="34" spans="1:5">
      <c r="A34" s="101" t="str">
        <f>'Measure Tables'!A200</f>
        <v xml:space="preserve">Custom Incentives; Custom Efficiency; IND; Industrial </v>
      </c>
      <c r="B34" s="271">
        <f>'Measure Tables'!P200</f>
        <v>2.569959477883887</v>
      </c>
      <c r="C34" s="271">
        <f>'Measure Tables'!T200</f>
        <v>3.7713667892156688</v>
      </c>
      <c r="D34" s="273">
        <f>'Measure Tables'!U200</f>
        <v>0.46748103293870785</v>
      </c>
      <c r="E34" s="285">
        <v>7</v>
      </c>
    </row>
    <row r="35" spans="1:5">
      <c r="A35" s="101" t="str">
        <f>'Measure Tables'!A113</f>
        <v xml:space="preserve">BNI - Efficient Product Rebates; Lighting Controls - Occupancy Sensors; IND; Industrial </v>
      </c>
      <c r="B35" s="271">
        <f>'Measure Tables'!P113</f>
        <v>1.8097655264202912</v>
      </c>
      <c r="C35" s="271">
        <f>'Measure Tables'!T113</f>
        <v>2.66828780356943</v>
      </c>
      <c r="D35" s="273">
        <f>'Measure Tables'!U113</f>
        <v>0.47438315329571579</v>
      </c>
      <c r="E35" s="285">
        <v>7</v>
      </c>
    </row>
    <row r="36" spans="1:5">
      <c r="A36" s="101" t="str">
        <f>'Measure Tables'!A199</f>
        <v>Custom Incentives; Custom Efficiency; COM-Other; COM</v>
      </c>
      <c r="B36" s="271">
        <f>'Measure Tables'!P199</f>
        <v>2.6466785212700317</v>
      </c>
      <c r="C36" s="271">
        <f>'Measure Tables'!T199</f>
        <v>3.848085832601813</v>
      </c>
      <c r="D36" s="273">
        <f>'Measure Tables'!U199</f>
        <v>0.4539302003158569</v>
      </c>
      <c r="E36" s="285">
        <v>7</v>
      </c>
    </row>
    <row r="37" spans="1:5">
      <c r="A37" s="101" t="str">
        <f>'Measure Tables'!A121</f>
        <v>BNI - Efficient Product Rebates; Daylighting Controls; COM-Lighting; School</v>
      </c>
      <c r="B37" s="271">
        <f>'Measure Tables'!P121</f>
        <v>0.70787300999316372</v>
      </c>
      <c r="C37" s="271">
        <f>'Measure Tables'!T121</f>
        <v>1.0398407182099974</v>
      </c>
      <c r="D37" s="273">
        <f>'Measure Tables'!U121</f>
        <v>0.46896505945330452</v>
      </c>
      <c r="E37" s="285">
        <v>7</v>
      </c>
    </row>
    <row r="38" spans="1:5">
      <c r="A38" s="101" t="str">
        <f>'Measure Tables'!A70</f>
        <v>BNI - Efficient Product Rebates; T8 Dimmable Stairwell Lighting; COM-Lighting; School</v>
      </c>
      <c r="B38" s="271">
        <f>'Measure Tables'!P70</f>
        <v>1.2729838748536708</v>
      </c>
      <c r="C38" s="271">
        <f>'Measure Tables'!T70</f>
        <v>1.8699688334075204</v>
      </c>
      <c r="D38" s="273">
        <f>'Measure Tables'!U70</f>
        <v>0.46896505945330441</v>
      </c>
      <c r="E38" s="285">
        <v>7</v>
      </c>
    </row>
    <row r="39" spans="1:5">
      <c r="A39" s="101" t="str">
        <f>'Measure Tables'!A117</f>
        <v>BNI - Efficient Product Rebates; Lighting Controls - Occupancy Sensors; COM-Lighting; School</v>
      </c>
      <c r="B39" s="271">
        <f>'Measure Tables'!P117</f>
        <v>1.1258567752640007</v>
      </c>
      <c r="C39" s="271">
        <f>'Measure Tables'!T117</f>
        <v>1.6538442648115881</v>
      </c>
      <c r="D39" s="273">
        <f>'Measure Tables'!U117</f>
        <v>0.46896505945330408</v>
      </c>
      <c r="E39" s="285">
        <v>7</v>
      </c>
    </row>
    <row r="40" spans="1:5">
      <c r="A40" s="101" t="str">
        <f>'Measure Tables'!A220</f>
        <v>Residential - Efficient Product Rebates; Hardwired Dimmer Switch; RES-Lighting; RES-SF</v>
      </c>
      <c r="B40" s="271">
        <f>'Measure Tables'!P220</f>
        <v>0.69987426308041001</v>
      </c>
      <c r="C40" s="271">
        <f>'Measure Tables'!T220</f>
        <v>0.99238228622399771</v>
      </c>
      <c r="D40" s="273">
        <f>'Measure Tables'!U220</f>
        <v>0.41794367727732951</v>
      </c>
      <c r="E40" s="285">
        <v>7</v>
      </c>
    </row>
    <row r="41" spans="1:5">
      <c r="A41" s="101" t="str">
        <f>'Measure Tables'!A67</f>
        <v>BNI - Efficient Product Rebates; T8 Dimmable Stairwell Lighting; COM-Lighting; Office</v>
      </c>
      <c r="B41" s="271">
        <f>'Measure Tables'!P67</f>
        <v>1.5944140525196868</v>
      </c>
      <c r="C41" s="271">
        <f>'Measure Tables'!T67</f>
        <v>2.2449559443233387</v>
      </c>
      <c r="D41" s="273">
        <f>'Measure Tables'!U67</f>
        <v>0.40801314487638046</v>
      </c>
      <c r="E41" s="285">
        <v>7</v>
      </c>
    </row>
    <row r="42" spans="1:5">
      <c r="A42" s="101" t="str">
        <f>'Measure Tables'!A118</f>
        <v>BNI - Efficient Product Rebates; Daylighting Controls; COM-Lighting; Office</v>
      </c>
      <c r="B42" s="271">
        <f>'Measure Tables'!P118</f>
        <v>0.80665609373588898</v>
      </c>
      <c r="C42" s="271">
        <f>'Measure Tables'!T118</f>
        <v>1.1357823833747653</v>
      </c>
      <c r="D42" s="273">
        <f>'Measure Tables'!U118</f>
        <v>0.40801314487638041</v>
      </c>
      <c r="E42" s="285">
        <v>7</v>
      </c>
    </row>
    <row r="43" spans="1:5">
      <c r="A43" s="101" t="str">
        <f>'Measure Tables'!A114</f>
        <v>BNI - Efficient Product Rebates; Lighting Controls - Occupancy Sensors; COM-Lighting; Office</v>
      </c>
      <c r="B43" s="271">
        <f>'Measure Tables'!P114</f>
        <v>1.4117031546446381</v>
      </c>
      <c r="C43" s="271">
        <f>'Measure Tables'!T114</f>
        <v>1.9876965984031043</v>
      </c>
      <c r="D43" s="273">
        <f>'Measure Tables'!U114</f>
        <v>0.40801314487638052</v>
      </c>
      <c r="E43" s="285">
        <v>7</v>
      </c>
    </row>
    <row r="44" spans="1:5">
      <c r="A44" s="101" t="str">
        <f>'Measure Tables'!A119</f>
        <v>BNI - Efficient Product Rebates; Daylighting Controls; COM-Lighting; Other Commercial</v>
      </c>
      <c r="B44" s="271">
        <f>'Measure Tables'!P119</f>
        <v>0.76159265709188106</v>
      </c>
      <c r="C44" s="271">
        <f>'Measure Tables'!T119</f>
        <v>1.0697781956475849</v>
      </c>
      <c r="D44" s="273">
        <f>'Measure Tables'!U119</f>
        <v>0.40465928299847476</v>
      </c>
      <c r="E44" s="285">
        <v>7</v>
      </c>
    </row>
    <row r="45" spans="1:5">
      <c r="A45" s="101" t="str">
        <f>'Measure Tables'!A68</f>
        <v>BNI - Efficient Product Rebates; T8 Dimmable Stairwell Lighting; COM-Lighting; Other Commercial</v>
      </c>
      <c r="B45" s="271">
        <f>'Measure Tables'!P68</f>
        <v>2.5064339288950239</v>
      </c>
      <c r="C45" s="271">
        <f>'Measure Tables'!T68</f>
        <v>3.5206856854447346</v>
      </c>
      <c r="D45" s="273">
        <f>'Measure Tables'!U68</f>
        <v>0.40465928299847487</v>
      </c>
      <c r="E45" s="285">
        <v>7</v>
      </c>
    </row>
    <row r="46" spans="1:5">
      <c r="A46" s="101" t="str">
        <f>'Measure Tables'!A115</f>
        <v>BNI - Efficient Product Rebates; Lighting Controls - Occupancy Sensors; COM-Lighting; Other Commercial</v>
      </c>
      <c r="B46" s="271">
        <f>'Measure Tables'!P115</f>
        <v>2.236074460073187</v>
      </c>
      <c r="C46" s="271">
        <f>'Measure Tables'!T115</f>
        <v>3.1409227478176045</v>
      </c>
      <c r="D46" s="273">
        <f>'Measure Tables'!U115</f>
        <v>0.40465928299847481</v>
      </c>
      <c r="E46" s="285">
        <v>7</v>
      </c>
    </row>
    <row r="47" spans="1:5">
      <c r="A47" s="101" t="str">
        <f>'Measure Tables'!A81</f>
        <v>BNI - Efficient Product Rebates; LED Refrigeration Strip Lighting-End of Life replacement; COM-Lighting; Other Commercial</v>
      </c>
      <c r="B47" s="271">
        <f>'Measure Tables'!P81</f>
        <v>0.98859889282853386</v>
      </c>
      <c r="C47" s="271">
        <f>'Measure Tables'!T81</f>
        <v>1.4183634609394764</v>
      </c>
      <c r="D47" s="273">
        <f>'Measure Tables'!U81</f>
        <v>0.43472086730880294</v>
      </c>
      <c r="E47" s="285">
        <v>7</v>
      </c>
    </row>
    <row r="48" spans="1:5">
      <c r="A48" s="101" t="str">
        <f>'Measure Tables'!A246</f>
        <v>Existing Residential; Low Flow (1.25 GPM) showerhead; RES-Water Heat; MURB</v>
      </c>
      <c r="B48" s="271">
        <f>'Measure Tables'!P246</f>
        <v>6.3489388844240331</v>
      </c>
      <c r="C48" s="271">
        <f>'Measure Tables'!T246</f>
        <v>8.8916689175117316</v>
      </c>
      <c r="D48" s="273">
        <f>'Measure Tables'!U246</f>
        <v>0.40049685142281399</v>
      </c>
      <c r="E48" s="285">
        <v>7</v>
      </c>
    </row>
    <row r="49" spans="1:5">
      <c r="A49" s="101" t="str">
        <f>'Measure Tables'!A116</f>
        <v>BNI - Efficient Product Rebates; Lighting Controls - Occupancy Sensors; COM-Lighting; Retail</v>
      </c>
      <c r="B49" s="271">
        <f>'Measure Tables'!P116</f>
        <v>2.143902807850246</v>
      </c>
      <c r="C49" s="271">
        <f>'Measure Tables'!T116</f>
        <v>2.9993107171353546</v>
      </c>
      <c r="D49" s="273">
        <f>'Measure Tables'!U116</f>
        <v>0.39899565696396988</v>
      </c>
      <c r="E49" s="285">
        <v>6</v>
      </c>
    </row>
    <row r="50" spans="1:5">
      <c r="A50" s="101" t="str">
        <f>'Measure Tables'!A69</f>
        <v>BNI - Efficient Product Rebates; T8 Dimmable Stairwell Lighting; COM-Lighting; Retail</v>
      </c>
      <c r="B50" s="271">
        <f>'Measure Tables'!P69</f>
        <v>2.4058457894102272</v>
      </c>
      <c r="C50" s="271">
        <f>'Measure Tables'!T69</f>
        <v>3.3657678107099613</v>
      </c>
      <c r="D50" s="273">
        <f>'Measure Tables'!U69</f>
        <v>0.39899565696396982</v>
      </c>
      <c r="E50" s="285">
        <v>6</v>
      </c>
    </row>
    <row r="51" spans="1:5">
      <c r="A51" s="101" t="str">
        <f>'Measure Tables'!A120</f>
        <v>BNI - Efficient Product Rebates; Daylighting Controls; COM-Lighting; Retail</v>
      </c>
      <c r="B51" s="271">
        <f>'Measure Tables'!P120</f>
        <v>0.78073299849862121</v>
      </c>
      <c r="C51" s="271">
        <f>'Measure Tables'!T120</f>
        <v>1.0922420741480285</v>
      </c>
      <c r="D51" s="273">
        <f>'Measure Tables'!U120</f>
        <v>0.39899565696396971</v>
      </c>
      <c r="E51" s="285">
        <v>6</v>
      </c>
    </row>
    <row r="52" spans="1:5">
      <c r="A52" s="101" t="str">
        <f>'Measure Tables'!A83</f>
        <v>BNI - Efficient Product Rebates; LED Refrigeration Strip Lighting-End of Life replacement; COM-Lighting; School</v>
      </c>
      <c r="B52" s="271">
        <f>'Measure Tables'!P83</f>
        <v>1.0011569829623144</v>
      </c>
      <c r="C52" s="271">
        <f>'Measure Tables'!T83</f>
        <v>1.4309215510732567</v>
      </c>
      <c r="D52" s="273">
        <f>'Measure Tables'!U83</f>
        <v>0.42926791244996948</v>
      </c>
      <c r="E52" s="285">
        <v>6</v>
      </c>
    </row>
    <row r="53" spans="1:5">
      <c r="A53" s="101" t="str">
        <f>'Measure Tables'!A82</f>
        <v>BNI - Efficient Product Rebates; LED Refrigeration Strip Lighting-End of Life replacement; COM-Lighting; Retail</v>
      </c>
      <c r="B53" s="271">
        <f>'Measure Tables'!P82</f>
        <v>1.010874654555824</v>
      </c>
      <c r="C53" s="271">
        <f>'Measure Tables'!T82</f>
        <v>1.4406392226667666</v>
      </c>
      <c r="D53" s="273">
        <f>'Measure Tables'!U82</f>
        <v>0.42514130330014072</v>
      </c>
      <c r="E53" s="285">
        <v>6</v>
      </c>
    </row>
    <row r="54" spans="1:5">
      <c r="A54" s="101" t="str">
        <f>'Measure Tables'!A108</f>
        <v xml:space="preserve">BNI - Efficient Product Rebates; Photoluminescent Exit Sign; IND; Industrial </v>
      </c>
      <c r="B54" s="271">
        <f>'Measure Tables'!P108</f>
        <v>1.5506093582189306</v>
      </c>
      <c r="C54" s="271">
        <f>'Measure Tables'!T108</f>
        <v>2.1385633991850161</v>
      </c>
      <c r="D54" s="273">
        <f>'Measure Tables'!U108</f>
        <v>0.37917612056812583</v>
      </c>
      <c r="E54" s="285">
        <v>6</v>
      </c>
    </row>
    <row r="55" spans="1:5">
      <c r="A55" s="101" t="str">
        <f>'Measure Tables'!A109</f>
        <v>BNI - Efficient Product Rebates; Photoluminescent Exit Sign; COM-Lighting; Office</v>
      </c>
      <c r="B55" s="271">
        <f>'Measure Tables'!P109</f>
        <v>1.5506093582189306</v>
      </c>
      <c r="C55" s="271">
        <f>'Measure Tables'!T109</f>
        <v>2.1385633991850161</v>
      </c>
      <c r="D55" s="273">
        <f>'Measure Tables'!U109</f>
        <v>0.37917612056812583</v>
      </c>
      <c r="E55" s="285">
        <v>6</v>
      </c>
    </row>
    <row r="56" spans="1:5">
      <c r="A56" s="101" t="str">
        <f>'Measure Tables'!A110</f>
        <v>BNI - Efficient Product Rebates; Photoluminescent Exit Sign; COM-Lighting; Other Commercial</v>
      </c>
      <c r="B56" s="271">
        <f>'Measure Tables'!P110</f>
        <v>1.5506093582189306</v>
      </c>
      <c r="C56" s="271">
        <f>'Measure Tables'!T110</f>
        <v>2.1385633991850161</v>
      </c>
      <c r="D56" s="273">
        <f>'Measure Tables'!U110</f>
        <v>0.37917612056812583</v>
      </c>
      <c r="E56" s="285">
        <v>6</v>
      </c>
    </row>
    <row r="57" spans="1:5">
      <c r="A57" s="101" t="str">
        <f>'Measure Tables'!A111</f>
        <v>BNI - Efficient Product Rebates; Photoluminescent Exit Sign; COM-Lighting; Retail</v>
      </c>
      <c r="B57" s="271">
        <f>'Measure Tables'!P111</f>
        <v>1.5506093582189306</v>
      </c>
      <c r="C57" s="271">
        <f>'Measure Tables'!T111</f>
        <v>2.1385633991850161</v>
      </c>
      <c r="D57" s="273">
        <f>'Measure Tables'!U111</f>
        <v>0.37917612056812583</v>
      </c>
      <c r="E57" s="285">
        <v>6</v>
      </c>
    </row>
    <row r="58" spans="1:5">
      <c r="A58" s="101" t="str">
        <f>'Measure Tables'!A112</f>
        <v>BNI - Efficient Product Rebates; Photoluminescent Exit Sign; COM-Lighting; School</v>
      </c>
      <c r="B58" s="271">
        <f>'Measure Tables'!P112</f>
        <v>1.5506093582189306</v>
      </c>
      <c r="C58" s="271">
        <f>'Measure Tables'!T112</f>
        <v>2.1385633991850161</v>
      </c>
      <c r="D58" s="273">
        <f>'Measure Tables'!U112</f>
        <v>0.37917612056812583</v>
      </c>
      <c r="E58" s="285">
        <v>6</v>
      </c>
    </row>
    <row r="59" spans="1:5">
      <c r="A59" s="101" t="str">
        <f>'Measure Tables'!A103</f>
        <v xml:space="preserve">BNI - Efficient Product Rebates; LED Exit Sign-End of Life replacement; IND; Industrial </v>
      </c>
      <c r="B59" s="271">
        <f>'Measure Tables'!P103</f>
        <v>1.9532101681831293</v>
      </c>
      <c r="C59" s="271">
        <f>'Measure Tables'!T103</f>
        <v>2.693820822409025</v>
      </c>
      <c r="D59" s="273">
        <f>'Measure Tables'!U103</f>
        <v>0.37917612056812589</v>
      </c>
      <c r="E59" s="285">
        <v>6</v>
      </c>
    </row>
    <row r="60" spans="1:5">
      <c r="A60" s="101" t="str">
        <f>'Measure Tables'!A104</f>
        <v>BNI - Efficient Product Rebates; LED Exit Sign-End of Life replacement; COM-Lighting; Office</v>
      </c>
      <c r="B60" s="271">
        <f>'Measure Tables'!P104</f>
        <v>1.9532101681831293</v>
      </c>
      <c r="C60" s="271">
        <f>'Measure Tables'!T104</f>
        <v>2.693820822409025</v>
      </c>
      <c r="D60" s="273">
        <f>'Measure Tables'!U104</f>
        <v>0.37917612056812589</v>
      </c>
      <c r="E60" s="285">
        <v>6</v>
      </c>
    </row>
    <row r="61" spans="1:5">
      <c r="A61" s="101" t="str">
        <f>'Measure Tables'!A105</f>
        <v>BNI - Efficient Product Rebates; LED Exit Sign-End of Life replacement; COM-Lighting; Other Commercial</v>
      </c>
      <c r="B61" s="271">
        <f>'Measure Tables'!P105</f>
        <v>1.9532101681831293</v>
      </c>
      <c r="C61" s="271">
        <f>'Measure Tables'!T105</f>
        <v>2.693820822409025</v>
      </c>
      <c r="D61" s="273">
        <f>'Measure Tables'!U105</f>
        <v>0.37917612056812589</v>
      </c>
      <c r="E61" s="285">
        <v>6</v>
      </c>
    </row>
    <row r="62" spans="1:5">
      <c r="A62" s="101" t="str">
        <f>'Measure Tables'!A106</f>
        <v>BNI - Efficient Product Rebates; LED Exit Sign-End of Life replacement; COM-Lighting; Retail</v>
      </c>
      <c r="B62" s="271">
        <f>'Measure Tables'!P106</f>
        <v>1.9532101681831293</v>
      </c>
      <c r="C62" s="271">
        <f>'Measure Tables'!T106</f>
        <v>2.693820822409025</v>
      </c>
      <c r="D62" s="273">
        <f>'Measure Tables'!U106</f>
        <v>0.37917612056812589</v>
      </c>
      <c r="E62" s="285">
        <v>6</v>
      </c>
    </row>
    <row r="63" spans="1:5">
      <c r="A63" s="101" t="str">
        <f>'Measure Tables'!A107</f>
        <v>BNI - Efficient Product Rebates; LED Exit Sign-End of Life replacement; COM-Lighting; School</v>
      </c>
      <c r="B63" s="271">
        <f>'Measure Tables'!P107</f>
        <v>1.9532101681831293</v>
      </c>
      <c r="C63" s="271">
        <f>'Measure Tables'!T107</f>
        <v>2.693820822409025</v>
      </c>
      <c r="D63" s="273">
        <f>'Measure Tables'!U107</f>
        <v>0.37917612056812589</v>
      </c>
      <c r="E63" s="285">
        <v>6</v>
      </c>
    </row>
    <row r="64" spans="1:5">
      <c r="A64" s="101" t="str">
        <f>'Measure Tables'!A77</f>
        <v>BNI - Efficient Product Rebates; LED Lamps-End of Life; COM-Lighting; Office</v>
      </c>
      <c r="B64" s="271">
        <f>'Measure Tables'!P77</f>
        <v>1.2998787978402941</v>
      </c>
      <c r="C64" s="271">
        <f>'Measure Tables'!T77</f>
        <v>1.7926488045934101</v>
      </c>
      <c r="D64" s="273">
        <f>'Measure Tables'!U77</f>
        <v>0.3790891947555704</v>
      </c>
      <c r="E64" s="285">
        <v>6</v>
      </c>
    </row>
    <row r="65" spans="1:5">
      <c r="A65" s="101" t="str">
        <f>'Measure Tables'!A165</f>
        <v>BNI- Direct Installation; LED Lamps-End of Life-BES; COM-Lighting; Office</v>
      </c>
      <c r="B65" s="271">
        <f>'Measure Tables'!P165</f>
        <v>1.0606521709944663</v>
      </c>
      <c r="C65" s="271">
        <f>'Measure Tables'!T165</f>
        <v>1.4627339484125057</v>
      </c>
      <c r="D65" s="273">
        <f>'Measure Tables'!U165</f>
        <v>0.37908919475557001</v>
      </c>
      <c r="E65" s="285">
        <v>6</v>
      </c>
    </row>
    <row r="66" spans="1:5">
      <c r="A66" s="101" t="str">
        <f>'Measure Tables'!A94</f>
        <v>BNI - Efficient Product Rebates; LED Linear Replacement Lamps; COM-Lighting; Office</v>
      </c>
      <c r="B66" s="271">
        <f>'Measure Tables'!P94</f>
        <v>1.0856246371752427</v>
      </c>
      <c r="C66" s="271">
        <f>'Measure Tables'!T94</f>
        <v>1.4971732066888135</v>
      </c>
      <c r="D66" s="273">
        <f>'Measure Tables'!U94</f>
        <v>0.37908919475557018</v>
      </c>
      <c r="E66" s="285">
        <v>6</v>
      </c>
    </row>
    <row r="67" spans="1:5">
      <c r="A67" s="101" t="str">
        <f>'Measure Tables'!A72</f>
        <v>BNI - Efficient Product Rebates; LED Lamps-Retrofit (dual baseline); COM-Lighting; Office</v>
      </c>
      <c r="B67" s="271">
        <f>'Measure Tables'!P72</f>
        <v>5.824291342962141</v>
      </c>
      <c r="C67" s="271">
        <f>'Measure Tables'!T72</f>
        <v>8.0322172581874991</v>
      </c>
      <c r="D67" s="273">
        <f>'Measure Tables'!U72</f>
        <v>0.37908919475557046</v>
      </c>
      <c r="E67" s="285">
        <v>6</v>
      </c>
    </row>
    <row r="68" spans="1:5">
      <c r="A68" s="101" t="str">
        <f>'Measure Tables'!A162</f>
        <v>BNI- Direct Installation; LED Lamps-Retrofit (dual baseline)-BES; COM-Lighting; Office</v>
      </c>
      <c r="B68" s="271">
        <f>'Measure Tables'!P162</f>
        <v>2.8968011572770771</v>
      </c>
      <c r="C68" s="271">
        <f>'Measure Tables'!T162</f>
        <v>3.9949471753562489</v>
      </c>
      <c r="D68" s="273">
        <f>'Measure Tables'!U162</f>
        <v>0.37908919475557046</v>
      </c>
      <c r="E68" s="285">
        <v>6</v>
      </c>
    </row>
    <row r="69" spans="1:5">
      <c r="A69" s="101" t="str">
        <f>'Measure Tables'!A60</f>
        <v>BNI - Efficient Product Rebates; Fluorescent T5 and HPT8 Fixtures (4 FT) lamps-Retrofit (dual baseline); COM-Lighting; Other Commercial</v>
      </c>
      <c r="B69" s="271">
        <f>'Measure Tables'!P60</f>
        <v>0.29924685062284234</v>
      </c>
      <c r="C69" s="271">
        <f>'Measure Tables'!T60</f>
        <v>0.41131919506371323</v>
      </c>
      <c r="D69" s="273">
        <f>'Measure Tables'!U60</f>
        <v>0.37451469984598762</v>
      </c>
      <c r="E69" s="285">
        <v>6</v>
      </c>
    </row>
    <row r="70" spans="1:5">
      <c r="A70" s="101" t="str">
        <f>'Measure Tables'!A78</f>
        <v>BNI - Efficient Product Rebates; LED Lamps-End of Life; COM-Lighting; Other Commercial</v>
      </c>
      <c r="B70" s="271">
        <f>'Measure Tables'!P78</f>
        <v>2.0763478335999492</v>
      </c>
      <c r="C70" s="271">
        <f>'Measure Tables'!T78</f>
        <v>2.8539706192765006</v>
      </c>
      <c r="D70" s="273">
        <f>'Measure Tables'!U78</f>
        <v>0.37451469984598751</v>
      </c>
      <c r="E70" s="285">
        <v>6</v>
      </c>
    </row>
    <row r="71" spans="1:5">
      <c r="A71" s="101" t="str">
        <f>'Measure Tables'!A166</f>
        <v>BNI- Direct Installation; LED Lamps-End of Life-BES; COM-Lighting; Other Commercial</v>
      </c>
      <c r="B71" s="271">
        <f>'Measure Tables'!P166</f>
        <v>1.5313121176000779</v>
      </c>
      <c r="C71" s="271">
        <f>'Measure Tables'!T166</f>
        <v>2.1048110156935946</v>
      </c>
      <c r="D71" s="273">
        <f>'Measure Tables'!U166</f>
        <v>0.37451469984598751</v>
      </c>
      <c r="E71" s="285">
        <v>6</v>
      </c>
    </row>
    <row r="72" spans="1:5">
      <c r="A72" s="101" t="str">
        <f>'Measure Tables'!A163</f>
        <v>BNI- Direct Installation; LED Lamps-Retrofit (dual baseline)-BES; COM-Lighting; Other Commercial</v>
      </c>
      <c r="B72" s="271">
        <f>'Measure Tables'!P163</f>
        <v>3.3413999304377922</v>
      </c>
      <c r="C72" s="271">
        <f>'Measure Tables'!T163</f>
        <v>4.5928033224511067</v>
      </c>
      <c r="D72" s="273">
        <f>'Measure Tables'!U163</f>
        <v>0.3745146998459879</v>
      </c>
      <c r="E72" s="285">
        <v>6</v>
      </c>
    </row>
    <row r="73" spans="1:5">
      <c r="A73" s="101" t="str">
        <f>'Measure Tables'!A95</f>
        <v>BNI - Efficient Product Rebates; LED Linear Replacement Lamps; COM-Lighting; Other Commercial</v>
      </c>
      <c r="B73" s="271">
        <f>'Measure Tables'!P95</f>
        <v>1.0079304946894427</v>
      </c>
      <c r="C73" s="271">
        <f>'Measure Tables'!T95</f>
        <v>1.3854152813736773</v>
      </c>
      <c r="D73" s="273">
        <f>'Measure Tables'!U95</f>
        <v>0.37451469984598773</v>
      </c>
      <c r="E73" s="285">
        <v>6</v>
      </c>
    </row>
    <row r="74" spans="1:5">
      <c r="A74" s="101" t="str">
        <f>'Measure Tables'!A73</f>
        <v>BNI - Efficient Product Rebates; LED Lamps-Retrofit (dual baseline); COM-Lighting; Other Commercial</v>
      </c>
      <c r="B74" s="271">
        <f>'Measure Tables'!P73</f>
        <v>7.8213050975493505</v>
      </c>
      <c r="C74" s="271">
        <f>'Measure Tables'!T73</f>
        <v>10.750498828561939</v>
      </c>
      <c r="D74" s="273">
        <f>'Measure Tables'!U73</f>
        <v>0.37451469984598773</v>
      </c>
      <c r="E74" s="285">
        <v>6</v>
      </c>
    </row>
    <row r="75" spans="1:5">
      <c r="A75" s="101" t="str">
        <f>'Measure Tables'!A97</f>
        <v>BNI - Efficient Product Rebates; LED Linear Replacement Lamps; COM-Lighting; School</v>
      </c>
      <c r="B75" s="271">
        <f>'Measure Tables'!P97</f>
        <v>1.0733726588435786</v>
      </c>
      <c r="C75" s="271">
        <f>'Measure Tables'!T97</f>
        <v>1.4700845974202212</v>
      </c>
      <c r="D75" s="273">
        <f>'Measure Tables'!U97</f>
        <v>0.36959385476060935</v>
      </c>
      <c r="E75" s="285">
        <v>6</v>
      </c>
    </row>
    <row r="76" spans="1:5">
      <c r="A76" s="101" t="str">
        <f>'Measure Tables'!A75</f>
        <v>BNI - Efficient Product Rebates; LED Lamps-Retrofit (dual baseline); COM-Lighting; School</v>
      </c>
      <c r="B76" s="271">
        <f>'Measure Tables'!P75</f>
        <v>5.6272760722520125</v>
      </c>
      <c r="C76" s="271">
        <f>'Measure Tables'!T75</f>
        <v>7.7070827275977756</v>
      </c>
      <c r="D76" s="273">
        <f>'Measure Tables'!U75</f>
        <v>0.36959385476060941</v>
      </c>
      <c r="E76" s="285">
        <v>6</v>
      </c>
    </row>
    <row r="77" spans="1:5">
      <c r="A77" s="101" t="str">
        <f>'Measure Tables'!A80</f>
        <v>BNI - Efficient Product Rebates; LED Lamps-End of Life; COM-Lighting; School</v>
      </c>
      <c r="B77" s="271">
        <f>'Measure Tables'!P80</f>
        <v>1.2213476307320252</v>
      </c>
      <c r="C77" s="271">
        <f>'Measure Tables'!T80</f>
        <v>1.6727502095770113</v>
      </c>
      <c r="D77" s="273">
        <f>'Measure Tables'!U80</f>
        <v>0.36959385476060896</v>
      </c>
      <c r="E77" s="285">
        <v>6</v>
      </c>
    </row>
    <row r="78" spans="1:5">
      <c r="A78" s="101" t="str">
        <f>'Measure Tables'!A74</f>
        <v>BNI - Efficient Product Rebates; LED Lamps-Retrofit (dual baseline); COM-Lighting; Retail</v>
      </c>
      <c r="B78" s="271">
        <f>'Measure Tables'!P74</f>
        <v>7.749736902844651</v>
      </c>
      <c r="C78" s="271">
        <f>'Measure Tables'!T74</f>
        <v>10.585163155988003</v>
      </c>
      <c r="D78" s="273">
        <f>'Measure Tables'!U74</f>
        <v>0.36587387271206179</v>
      </c>
      <c r="E78" s="285">
        <v>6</v>
      </c>
    </row>
    <row r="79" spans="1:5">
      <c r="A79" s="101" t="str">
        <f>'Measure Tables'!A167</f>
        <v>BNI- Direct Installation; LED Lamps-End of Life-BES; COM-Lighting; Retail</v>
      </c>
      <c r="B79" s="271">
        <f>'Measure Tables'!P167</f>
        <v>1.5026266406850544</v>
      </c>
      <c r="C79" s="271">
        <f>'Measure Tables'!T167</f>
        <v>2.052398468952811</v>
      </c>
      <c r="D79" s="273">
        <f>'Measure Tables'!U167</f>
        <v>0.36587387271206179</v>
      </c>
      <c r="E79" s="285">
        <v>6</v>
      </c>
    </row>
    <row r="80" spans="1:5">
      <c r="A80" s="101" t="str">
        <f>'Measure Tables'!A164</f>
        <v>BNI- Direct Installation; LED Lamps-Retrofit (dual baseline)-BES; COM-Lighting; Retail</v>
      </c>
      <c r="B80" s="271">
        <f>'Measure Tables'!P164</f>
        <v>3.3726643573949788</v>
      </c>
      <c r="C80" s="271">
        <f>'Measure Tables'!T164</f>
        <v>4.6066341271930176</v>
      </c>
      <c r="D80" s="273">
        <f>'Measure Tables'!U164</f>
        <v>0.36587387271206195</v>
      </c>
      <c r="E80" s="285">
        <v>6</v>
      </c>
    </row>
    <row r="81" spans="1:5">
      <c r="A81" s="101" t="str">
        <f>'Measure Tables'!A96</f>
        <v>BNI - Efficient Product Rebates; LED Linear Replacement Lamps; COM-Lighting; Retail</v>
      </c>
      <c r="B81" s="271">
        <f>'Measure Tables'!P96</f>
        <v>1.0688304819823504</v>
      </c>
      <c r="C81" s="271">
        <f>'Measure Tables'!T96</f>
        <v>1.4598876296979326</v>
      </c>
      <c r="D81" s="273">
        <f>'Measure Tables'!U96</f>
        <v>0.36587387271206184</v>
      </c>
      <c r="E81" s="285">
        <v>6</v>
      </c>
    </row>
    <row r="82" spans="1:5">
      <c r="A82" s="101" t="str">
        <f>'Measure Tables'!A79</f>
        <v>BNI - Efficient Product Rebates; LED Lamps-End of Life; COM-Lighting; Retail</v>
      </c>
      <c r="B82" s="271">
        <f>'Measure Tables'!P79</f>
        <v>2.0078851166420968</v>
      </c>
      <c r="C82" s="271">
        <f>'Measure Tables'!T79</f>
        <v>2.7425178202288505</v>
      </c>
      <c r="D82" s="273">
        <f>'Measure Tables'!U79</f>
        <v>0.36587387271206173</v>
      </c>
      <c r="E82" s="285">
        <v>6</v>
      </c>
    </row>
    <row r="83" spans="1:5">
      <c r="A83" s="101" t="str">
        <f>'Measure Tables'!A159</f>
        <v>BNI- Direct Installation; Relamp/Reballast-Retrofit (dual baseline)-BES; COM-Lighting; Office</v>
      </c>
      <c r="B83" s="271">
        <f>'Measure Tables'!P159</f>
        <v>1.375406241299995</v>
      </c>
      <c r="C83" s="271">
        <f>'Measure Tables'!T159</f>
        <v>1.849896095668834</v>
      </c>
      <c r="D83" s="273">
        <f>'Measure Tables'!U159</f>
        <v>0.34498160624919411</v>
      </c>
      <c r="E83" s="285">
        <v>6</v>
      </c>
    </row>
    <row r="84" spans="1:5">
      <c r="A84" s="101" t="str">
        <f>'Measure Tables'!A62</f>
        <v>BNI - Efficient Product Rebates; Relamp/Reballast-Retrofit (dual baseline); COM-Lighting; Office</v>
      </c>
      <c r="B84" s="271">
        <f>'Measure Tables'!P62</f>
        <v>1.6299300750053118</v>
      </c>
      <c r="C84" s="271">
        <f>'Measure Tables'!T62</f>
        <v>2.1922259703545137</v>
      </c>
      <c r="D84" s="273">
        <f>'Measure Tables'!U62</f>
        <v>0.34498160624919411</v>
      </c>
      <c r="E84" s="285">
        <v>6</v>
      </c>
    </row>
    <row r="85" spans="1:5">
      <c r="A85" s="101" t="str">
        <f>'Measure Tables'!A89</f>
        <v>BNI - Efficient Product Rebates; LED Low Bay Fixture; COM-Lighting; Office</v>
      </c>
      <c r="B85" s="271">
        <f>'Measure Tables'!P89</f>
        <v>1.0065241748830438</v>
      </c>
      <c r="C85" s="271">
        <f>'Measure Tables'!T89</f>
        <v>1.353756501462841</v>
      </c>
      <c r="D85" s="273">
        <f>'Measure Tables'!U89</f>
        <v>0.34498160624919411</v>
      </c>
      <c r="E85" s="285">
        <v>6</v>
      </c>
    </row>
    <row r="86" spans="1:5">
      <c r="A86" s="101" t="str">
        <f>'Measure Tables'!A85</f>
        <v>BNI - Efficient Product Rebates; LED High Bay Fixture; COM-Lighting; Other Commercial</v>
      </c>
      <c r="B86" s="271">
        <f>'Measure Tables'!P85</f>
        <v>2.193607398918858</v>
      </c>
      <c r="C86" s="271">
        <f>'Measure Tables'!T85</f>
        <v>2.9414071261328707</v>
      </c>
      <c r="D86" s="273">
        <f>'Measure Tables'!U85</f>
        <v>0.34089952813916174</v>
      </c>
      <c r="E86" s="285">
        <v>6</v>
      </c>
    </row>
    <row r="87" spans="1:5">
      <c r="A87" s="101" t="str">
        <f>'Measure Tables'!A90</f>
        <v>BNI - Efficient Product Rebates; LED Low Bay Fixture; COM-Lighting; Other Commercial</v>
      </c>
      <c r="B87" s="271">
        <f>'Measure Tables'!P90</f>
        <v>0.94677425161172768</v>
      </c>
      <c r="C87" s="271">
        <f>'Measure Tables'!T90</f>
        <v>1.2695291472404735</v>
      </c>
      <c r="D87" s="273">
        <f>'Measure Tables'!U90</f>
        <v>0.34089952813916158</v>
      </c>
      <c r="E87" s="285">
        <v>6</v>
      </c>
    </row>
    <row r="88" spans="1:5">
      <c r="A88" s="101" t="str">
        <f>'Measure Tables'!A160</f>
        <v>BNI- Direct Installation; Relamp/Reballast-Retrofit (dual baseline)-BES; COM-Lighting; Other Commercial</v>
      </c>
      <c r="B88" s="271">
        <f>'Measure Tables'!P160</f>
        <v>1.3581932854062171</v>
      </c>
      <c r="C88" s="271">
        <f>'Measure Tables'!T160</f>
        <v>1.8212007355229742</v>
      </c>
      <c r="D88" s="273">
        <f>'Measure Tables'!U160</f>
        <v>0.34089952813916169</v>
      </c>
      <c r="E88" s="285">
        <v>6</v>
      </c>
    </row>
    <row r="89" spans="1:5">
      <c r="A89" s="101" t="str">
        <f>'Measure Tables'!A63</f>
        <v>BNI - Efficient Product Rebates; Relamp/Reballast-Retrofit (dual baseline); COM-Lighting; Other Commercial</v>
      </c>
      <c r="B89" s="271">
        <f>'Measure Tables'!P63</f>
        <v>1.6023561309206746</v>
      </c>
      <c r="C89" s="271">
        <f>'Measure Tables'!T63</f>
        <v>2.1485985798624254</v>
      </c>
      <c r="D89" s="273">
        <f>'Measure Tables'!U63</f>
        <v>0.34089952813916169</v>
      </c>
      <c r="E89" s="285">
        <v>6</v>
      </c>
    </row>
    <row r="90" spans="1:5">
      <c r="A90" s="101" t="str">
        <f>'Measure Tables'!A92</f>
        <v>BNI - Efficient Product Rebates; LED Low Bay Fixture; COM-Lighting; School</v>
      </c>
      <c r="B90" s="271">
        <f>'Measure Tables'!P92</f>
        <v>1.0001399770587669</v>
      </c>
      <c r="C90" s="271">
        <f>'Measure Tables'!T92</f>
        <v>1.3366933001047974</v>
      </c>
      <c r="D90" s="273">
        <f>'Measure Tables'!U92</f>
        <v>0.33650621989511281</v>
      </c>
      <c r="E90" s="285">
        <v>6</v>
      </c>
    </row>
    <row r="91" spans="1:5">
      <c r="A91" s="101" t="str">
        <f>'Measure Tables'!A65</f>
        <v>BNI - Efficient Product Rebates; Relamp/Reballast-Retrofit (dual baseline); COM-Lighting; School</v>
      </c>
      <c r="B91" s="271">
        <f>'Measure Tables'!P65</f>
        <v>1.6774613509309899</v>
      </c>
      <c r="C91" s="271">
        <f>'Measure Tables'!T65</f>
        <v>2.241937529152926</v>
      </c>
      <c r="D91" s="273">
        <f>'Measure Tables'!U65</f>
        <v>0.33650621989511242</v>
      </c>
      <c r="E91" s="285">
        <v>6</v>
      </c>
    </row>
    <row r="92" spans="1:5">
      <c r="A92" s="101" t="str">
        <f>'Measure Tables'!A87</f>
        <v>BNI - Efficient Product Rebates; LED High Bay Fixture; COM-Lighting; School</v>
      </c>
      <c r="B92" s="271">
        <f>'Measure Tables'!P87</f>
        <v>2.23529997230753</v>
      </c>
      <c r="C92" s="271">
        <f>'Measure Tables'!T87</f>
        <v>2.9874923163203868</v>
      </c>
      <c r="D92" s="273">
        <f>'Measure Tables'!U87</f>
        <v>0.33650621989511265</v>
      </c>
      <c r="E92" s="285">
        <v>6</v>
      </c>
    </row>
    <row r="93" spans="1:5">
      <c r="A93" s="101" t="str">
        <f>'Measure Tables'!A91</f>
        <v>BNI - Efficient Product Rebates; LED Low Bay Fixture; COM-Lighting; Retail</v>
      </c>
      <c r="B93" s="271">
        <f>'Measure Tables'!P91</f>
        <v>0.9979195519385059</v>
      </c>
      <c r="C93" s="271">
        <f>'Measure Tables'!T91</f>
        <v>1.330409928961434</v>
      </c>
      <c r="D93" s="273">
        <f>'Measure Tables'!U91</f>
        <v>0.33318354808967293</v>
      </c>
      <c r="E93" s="285">
        <v>6</v>
      </c>
    </row>
    <row r="94" spans="1:5">
      <c r="A94" s="101" t="str">
        <f>'Measure Tables'!A161</f>
        <v>BNI- Direct Installation; Relamp/Reballast-Retrofit (dual baseline)-BES; COM-Lighting; Retail</v>
      </c>
      <c r="B94" s="271">
        <f>'Measure Tables'!P161</f>
        <v>1.3951332562318068</v>
      </c>
      <c r="C94" s="271">
        <f>'Measure Tables'!T161</f>
        <v>1.8599687046010194</v>
      </c>
      <c r="D94" s="273">
        <f>'Measure Tables'!U161</f>
        <v>0.33318354808967315</v>
      </c>
      <c r="E94" s="285">
        <v>6</v>
      </c>
    </row>
    <row r="95" spans="1:5">
      <c r="A95" s="101" t="str">
        <f>'Measure Tables'!A86</f>
        <v>BNI - Efficient Product Rebates; LED High Bay Fixture; COM-Lighting; Retail</v>
      </c>
      <c r="B95" s="271">
        <f>'Measure Tables'!P86</f>
        <v>2.2537060182954263</v>
      </c>
      <c r="C95" s="271">
        <f>'Measure Tables'!T86</f>
        <v>3.0046037858221459</v>
      </c>
      <c r="D95" s="273">
        <f>'Measure Tables'!U86</f>
        <v>0.33318354808967304</v>
      </c>
      <c r="E95" s="285">
        <v>6</v>
      </c>
    </row>
    <row r="96" spans="1:5">
      <c r="A96" s="101" t="str">
        <f>'Measure Tables'!A64</f>
        <v>BNI - Efficient Product Rebates; Relamp/Reballast-Retrofit (dual baseline); COM-Lighting; Retail</v>
      </c>
      <c r="B96" s="271">
        <f>'Measure Tables'!P64</f>
        <v>1.6471058466668058</v>
      </c>
      <c r="C96" s="271">
        <f>'Measure Tables'!T64</f>
        <v>2.1958944167384975</v>
      </c>
      <c r="D96" s="273">
        <f>'Measure Tables'!U64</f>
        <v>0.33318354808967326</v>
      </c>
      <c r="E96" s="285">
        <v>6</v>
      </c>
    </row>
    <row r="97" spans="1:5">
      <c r="A97" s="101" t="str">
        <f>'Measure Tables'!A93</f>
        <v xml:space="preserve">BNI - Efficient Product Rebates; LED Linear Replacement Lamps; IND; Industrial </v>
      </c>
      <c r="B97" s="271">
        <f>'Measure Tables'!P93</f>
        <v>1.1271779991919366</v>
      </c>
      <c r="C97" s="271">
        <f>'Measure Tables'!T93</f>
        <v>1.5100074614278185</v>
      </c>
      <c r="D97" s="273">
        <f>'Measure Tables'!U93</f>
        <v>0.33963532158215359</v>
      </c>
      <c r="E97" s="285">
        <v>6</v>
      </c>
    </row>
    <row r="98" spans="1:5">
      <c r="A98" s="101" t="str">
        <f>'Measure Tables'!A76</f>
        <v xml:space="preserve">BNI - Efficient Product Rebates; LED Lamps-End of Life; IND; Industrial </v>
      </c>
      <c r="B98" s="271">
        <f>'Measure Tables'!P76</f>
        <v>2.1709727310646123</v>
      </c>
      <c r="C98" s="271">
        <f>'Measure Tables'!T76</f>
        <v>2.9083117527258282</v>
      </c>
      <c r="D98" s="273">
        <f>'Measure Tables'!U76</f>
        <v>0.33963532158215359</v>
      </c>
      <c r="E98" s="285">
        <v>6</v>
      </c>
    </row>
    <row r="99" spans="1:5">
      <c r="A99" s="101" t="str">
        <f>'Measure Tables'!A66</f>
        <v xml:space="preserve">BNI - Efficient Product Rebates; T8 Dimmable Stairwell Lighting; IND; Industrial </v>
      </c>
      <c r="B99" s="271">
        <f>'Measure Tables'!P66</f>
        <v>2.8364188293670183</v>
      </c>
      <c r="C99" s="271">
        <f>'Measure Tables'!T66</f>
        <v>3.7997668506207614</v>
      </c>
      <c r="D99" s="273">
        <f>'Measure Tables'!U66</f>
        <v>0.33963532158215365</v>
      </c>
      <c r="E99" s="285">
        <v>6</v>
      </c>
    </row>
    <row r="100" spans="1:5">
      <c r="A100" s="101" t="str">
        <f>'Measure Tables'!A71</f>
        <v xml:space="preserve">BNI - Efficient Product Rebates; LED Lamps-Retrofit (dual baseline); IND; Industrial </v>
      </c>
      <c r="B100" s="271">
        <f>'Measure Tables'!P71</f>
        <v>8.3662239641464513</v>
      </c>
      <c r="C100" s="271">
        <f>'Measure Tables'!T71</f>
        <v>11.207689130637652</v>
      </c>
      <c r="D100" s="273">
        <f>'Measure Tables'!U71</f>
        <v>0.3396353215821537</v>
      </c>
      <c r="E100" s="285">
        <v>6</v>
      </c>
    </row>
    <row r="101" spans="1:5">
      <c r="A101" s="101" t="str">
        <f>'Measure Tables'!A250</f>
        <v>Existing Residential; DHW Tank Wrap; RES-Water Heat; MURB</v>
      </c>
      <c r="B101" s="271">
        <f>'Measure Tables'!P250</f>
        <v>2.655618006286399</v>
      </c>
      <c r="C101" s="271">
        <f>'Measure Tables'!T250</f>
        <v>3.5220109590455286</v>
      </c>
      <c r="D101" s="273">
        <f>'Measure Tables'!U250</f>
        <v>0.32624908804963582</v>
      </c>
      <c r="E101" s="285">
        <v>6</v>
      </c>
    </row>
    <row r="102" spans="1:5">
      <c r="A102" s="101" t="str">
        <f>'Measure Tables'!A21</f>
        <v>BNI - Efficient Product Rebates; ENERGY STAR® Ice Making Head; COM-Refrigeration; Retail</v>
      </c>
      <c r="B102" s="271">
        <f>'Measure Tables'!P21</f>
        <v>2.0624154680227962</v>
      </c>
      <c r="C102" s="271">
        <f>'Measure Tables'!T21</f>
        <v>2.7549133492795885</v>
      </c>
      <c r="D102" s="273">
        <f>'Measure Tables'!U21</f>
        <v>0.33577031010181413</v>
      </c>
      <c r="E102" s="285">
        <v>6</v>
      </c>
    </row>
    <row r="103" spans="1:5">
      <c r="A103" s="101" t="str">
        <f>'Measure Tables'!A61</f>
        <v xml:space="preserve">BNI - Efficient Product Rebates; Relamp/Reballast-Retrofit (dual baseline); IND; Industrial </v>
      </c>
      <c r="B103" s="271">
        <f>'Measure Tables'!P61</f>
        <v>1.771424947812881</v>
      </c>
      <c r="C103" s="271">
        <f>'Measure Tables'!T61</f>
        <v>2.3200545938033854</v>
      </c>
      <c r="D103" s="273">
        <f>'Measure Tables'!U61</f>
        <v>0.30971091756829955</v>
      </c>
      <c r="E103" s="285">
        <v>6</v>
      </c>
    </row>
    <row r="104" spans="1:5">
      <c r="A104" s="101" t="str">
        <f>'Measure Tables'!A88</f>
        <v xml:space="preserve">BNI - Efficient Product Rebates; LED Low Bay Fixture; IND; Industrial </v>
      </c>
      <c r="B104" s="271">
        <f>'Measure Tables'!P88</f>
        <v>1.0544862815808405</v>
      </c>
      <c r="C104" s="271">
        <f>'Measure Tables'!T88</f>
        <v>1.3810721954124268</v>
      </c>
      <c r="D104" s="273">
        <f>'Measure Tables'!U88</f>
        <v>0.30971091756829949</v>
      </c>
      <c r="E104" s="285">
        <v>6</v>
      </c>
    </row>
    <row r="105" spans="1:5">
      <c r="A105" s="101" t="str">
        <f>'Measure Tables'!A84</f>
        <v xml:space="preserve">BNI - Efficient Product Rebates; LED High Bay Fixture; IND; Industrial </v>
      </c>
      <c r="B105" s="271">
        <f>'Measure Tables'!P84</f>
        <v>2.4184429043472764</v>
      </c>
      <c r="C105" s="271">
        <f>'Measure Tables'!T84</f>
        <v>3.1674610753392143</v>
      </c>
      <c r="D105" s="273">
        <f>'Measure Tables'!U84</f>
        <v>0.30971091756829938</v>
      </c>
      <c r="E105" s="285">
        <v>6</v>
      </c>
    </row>
    <row r="106" spans="1:5">
      <c r="A106" s="101" t="str">
        <f>'Measure Tables'!A99</f>
        <v>BNI - Efficient Product Rebates; LED Exterior Fixtures-End of Life replacement; COM-Lighting; Office</v>
      </c>
      <c r="B106" s="271">
        <f>'Measure Tables'!P99</f>
        <v>3.0789769198330741</v>
      </c>
      <c r="C106" s="271">
        <f>'Measure Tables'!T99</f>
        <v>4.0523728160258514</v>
      </c>
      <c r="D106" s="273">
        <f>'Measure Tables'!U99</f>
        <v>0.31614264138282328</v>
      </c>
      <c r="E106" s="285">
        <v>6</v>
      </c>
    </row>
    <row r="107" spans="1:5">
      <c r="A107" s="101" t="str">
        <f>'Measure Tables'!A100</f>
        <v>BNI - Efficient Product Rebates; LED Exterior Fixtures-End of Life replacement; COM-Lighting; Other Commercial</v>
      </c>
      <c r="B107" s="271">
        <f>'Measure Tables'!P100</f>
        <v>3.0789769198330741</v>
      </c>
      <c r="C107" s="271">
        <f>'Measure Tables'!T100</f>
        <v>4.0523728160258514</v>
      </c>
      <c r="D107" s="273">
        <f>'Measure Tables'!U100</f>
        <v>0.31614264138282328</v>
      </c>
      <c r="E107" s="285">
        <v>6</v>
      </c>
    </row>
    <row r="108" spans="1:5">
      <c r="A108" s="101" t="str">
        <f>'Measure Tables'!A101</f>
        <v>BNI - Efficient Product Rebates; LED Exterior Fixtures-End of Life replacement; COM-Lighting; Retail</v>
      </c>
      <c r="B108" s="271">
        <f>'Measure Tables'!P101</f>
        <v>3.0789769198330741</v>
      </c>
      <c r="C108" s="271">
        <f>'Measure Tables'!T101</f>
        <v>4.0523728160258514</v>
      </c>
      <c r="D108" s="273">
        <f>'Measure Tables'!U101</f>
        <v>0.31614264138282328</v>
      </c>
      <c r="E108" s="285">
        <v>6</v>
      </c>
    </row>
    <row r="109" spans="1:5">
      <c r="A109" s="101" t="str">
        <f>'Measure Tables'!A102</f>
        <v>BNI - Efficient Product Rebates; LED Exterior Fixtures-End of Life replacement; COM-Lighting; School</v>
      </c>
      <c r="B109" s="271">
        <f>'Measure Tables'!P102</f>
        <v>3.0789769198330741</v>
      </c>
      <c r="C109" s="271">
        <f>'Measure Tables'!T102</f>
        <v>4.0523728160258514</v>
      </c>
      <c r="D109" s="273">
        <f>'Measure Tables'!U102</f>
        <v>0.31614264138282328</v>
      </c>
      <c r="E109" s="285">
        <v>6</v>
      </c>
    </row>
    <row r="110" spans="1:5">
      <c r="A110" s="101" t="str">
        <f>'Measure Tables'!A98</f>
        <v xml:space="preserve">BNI - Efficient Product Rebates; LED Exterior Fixtures-End of Life replacement; IND; Industrial </v>
      </c>
      <c r="B110" s="271">
        <f>'Measure Tables'!P98</f>
        <v>3.0866008466480577</v>
      </c>
      <c r="C110" s="271">
        <f>'Measure Tables'!T98</f>
        <v>4.059996742840835</v>
      </c>
      <c r="D110" s="273">
        <f>'Measure Tables'!U98</f>
        <v>0.3153617667311443</v>
      </c>
      <c r="E110" s="285">
        <v>6</v>
      </c>
    </row>
    <row r="111" spans="1:5">
      <c r="A111" s="101" t="str">
        <f>'Measure Tables'!A7</f>
        <v>BNI - Efficient Product Rebates; Single-Tank Conveyor Dishwasher (Low Temp); COM-Other; Retail</v>
      </c>
      <c r="B111" s="271">
        <f>'Measure Tables'!P7</f>
        <v>10.538932977668187</v>
      </c>
      <c r="C111" s="271">
        <f>'Measure Tables'!T7</f>
        <v>13.629334754976332</v>
      </c>
      <c r="D111" s="273">
        <f>'Measure Tables'!U7</f>
        <v>0.29323668571160399</v>
      </c>
      <c r="E111" s="285">
        <v>5</v>
      </c>
    </row>
    <row r="112" spans="1:5">
      <c r="A112" s="101" t="str">
        <f>'Measure Tables'!A245</f>
        <v>Existing Residential; Low Flow (1.25 GPM) showerhead; RES-Water Heat; RES-SF</v>
      </c>
      <c r="B112" s="271">
        <f>'Measure Tables'!P245</f>
        <v>6.5787828301034139</v>
      </c>
      <c r="C112" s="271">
        <f>'Measure Tables'!T245</f>
        <v>8.4592914352828377</v>
      </c>
      <c r="D112" s="273">
        <f>'Measure Tables'!U245</f>
        <v>0.28584445690691135</v>
      </c>
      <c r="E112" s="285">
        <v>5</v>
      </c>
    </row>
    <row r="113" spans="1:5">
      <c r="A113" s="101" t="str">
        <f>'Measure Tables'!A249</f>
        <v>Existing Residential; DHW Tank Wrap; RES-Water Heat; RES-SF</v>
      </c>
      <c r="B113" s="271">
        <f>'Measure Tables'!P249</f>
        <v>3.075111758789983</v>
      </c>
      <c r="C113" s="271">
        <f>'Measure Tables'!T249</f>
        <v>3.9245493653402357</v>
      </c>
      <c r="D113" s="273">
        <f>'Measure Tables'!U249</f>
        <v>0.27622983266289336</v>
      </c>
      <c r="E113" s="285">
        <v>5</v>
      </c>
    </row>
    <row r="114" spans="1:5">
      <c r="A114" s="101" t="str">
        <f>'Measure Tables'!A275</f>
        <v>New Residential; EnerGuide 83 New Home; RES-Package; RES-NC</v>
      </c>
      <c r="B114" s="271">
        <f>'Measure Tables'!P275</f>
        <v>2.3306794218558373</v>
      </c>
      <c r="C114" s="271">
        <f>'Measure Tables'!T275</f>
        <v>2.794581429233705</v>
      </c>
      <c r="D114" s="273">
        <f>'Measure Tables'!U275</f>
        <v>0.19904153399547286</v>
      </c>
      <c r="E114" s="285">
        <v>5</v>
      </c>
    </row>
    <row r="115" spans="1:5">
      <c r="A115" s="101" t="str">
        <f>'Measure Tables'!A10</f>
        <v>BNI - Efficient Product Rebates; Single Tank Door Dishwasher with Booster (High Temp); COM-Other; Retail</v>
      </c>
      <c r="B115" s="271">
        <f>'Measure Tables'!P10</f>
        <v>6.7924516280248532</v>
      </c>
      <c r="C115" s="271">
        <f>'Measure Tables'!T10</f>
        <v>8.3688946017436816</v>
      </c>
      <c r="D115" s="273">
        <f>'Measure Tables'!U10</f>
        <v>0.23208747887355</v>
      </c>
      <c r="E115" s="285">
        <v>5</v>
      </c>
    </row>
    <row r="116" spans="1:5">
      <c r="A116" s="101" t="str">
        <f>'Measure Tables'!A242</f>
        <v>Existing Residential; 1W LED Nightlight; RES-Lighting; MURB</v>
      </c>
      <c r="B116" s="271">
        <f>'Measure Tables'!P242</f>
        <v>1.9045691724200355</v>
      </c>
      <c r="C116" s="271">
        <f>'Measure Tables'!T242</f>
        <v>2.3546815461784898</v>
      </c>
      <c r="D116" s="273">
        <f>'Measure Tables'!U242</f>
        <v>0.23633290944561505</v>
      </c>
      <c r="E116" s="285">
        <v>5</v>
      </c>
    </row>
    <row r="117" spans="1:5">
      <c r="A117" s="101" t="str">
        <f>'Measure Tables'!A239</f>
        <v>Existing Residential; 12 W LED: 23 W CFL baseline; RES-Lighting; MURB</v>
      </c>
      <c r="B117" s="271">
        <f>'Measure Tables'!P239</f>
        <v>0.9256999859395254</v>
      </c>
      <c r="C117" s="271">
        <f>'Measure Tables'!T239</f>
        <v>1.1413063638867298</v>
      </c>
      <c r="D117" s="273">
        <f>'Measure Tables'!U239</f>
        <v>0.23291172218002998</v>
      </c>
      <c r="E117" s="285">
        <v>5</v>
      </c>
    </row>
    <row r="118" spans="1:5">
      <c r="A118" s="101" t="str">
        <f>'Measure Tables'!A22</f>
        <v>BNI - Efficient Product Rebates; ENERGY STAR® Remote Condensing Head/Split System Ice Maker; COM-Refrigeration; Retail</v>
      </c>
      <c r="B118" s="271">
        <f>'Measure Tables'!P22</f>
        <v>1.7756726987472056</v>
      </c>
      <c r="C118" s="271">
        <f>'Measure Tables'!T22</f>
        <v>2.1779057103021202</v>
      </c>
      <c r="D118" s="273">
        <f>'Measure Tables'!U22</f>
        <v>0.22652429799630475</v>
      </c>
      <c r="E118" s="285">
        <v>5</v>
      </c>
    </row>
    <row r="119" spans="1:5">
      <c r="A119" s="101" t="str">
        <f>'Measure Tables'!A12</f>
        <v>BNI - Efficient Product Rebates; Multi Tank Conveyor Dishwasher with Booster (High Temp); COM-Other; Retail</v>
      </c>
      <c r="B119" s="271">
        <f>'Measure Tables'!P12</f>
        <v>6.7453177733697247</v>
      </c>
      <c r="C119" s="271">
        <f>'Measure Tables'!T12</f>
        <v>8.1271077628109509</v>
      </c>
      <c r="D119" s="273">
        <f>'Measure Tables'!U12</f>
        <v>0.20485172617018638</v>
      </c>
      <c r="E119" s="285">
        <v>5</v>
      </c>
    </row>
    <row r="120" spans="1:5">
      <c r="A120" s="101" t="str">
        <f>'Measure Tables'!A241</f>
        <v>Existing Residential; 1W LED Nightlight; RES-Lighting; RES-SF</v>
      </c>
      <c r="B120" s="271">
        <f>'Measure Tables'!P241</f>
        <v>2.3872017348887282</v>
      </c>
      <c r="C120" s="271">
        <f>'Measure Tables'!T241</f>
        <v>2.8437816197796866</v>
      </c>
      <c r="D120" s="273">
        <f>'Measure Tables'!U241</f>
        <v>0.19126154200463513</v>
      </c>
      <c r="E120" s="285">
        <v>4</v>
      </c>
    </row>
    <row r="121" spans="1:5">
      <c r="A121" s="101" t="str">
        <f>'Measure Tables'!A276</f>
        <v>New Residential; EnerGuide 85 New Home; RES-Package; RES-NC</v>
      </c>
      <c r="B121" s="271">
        <f>'Measure Tables'!P276</f>
        <v>2.5741247064055583</v>
      </c>
      <c r="C121" s="271">
        <f>'Measure Tables'!T276</f>
        <v>2.9400945137331358</v>
      </c>
      <c r="D121" s="273">
        <f>'Measure Tables'!U276</f>
        <v>0.14217252428248059</v>
      </c>
      <c r="E121" s="285">
        <v>4</v>
      </c>
    </row>
    <row r="122" spans="1:5">
      <c r="A122" s="101" t="str">
        <f>'Measure Tables'!A277</f>
        <v>New Residential; EnerGuide 86 New Home; RES-Package; RES-NC</v>
      </c>
      <c r="B122" s="271">
        <f>'Measure Tables'!P277</f>
        <v>2.540948652571704</v>
      </c>
      <c r="C122" s="271">
        <f>'Measure Tables'!T277</f>
        <v>2.8570451010789548</v>
      </c>
      <c r="D122" s="273">
        <f>'Measure Tables'!U277</f>
        <v>0.12440095874717043</v>
      </c>
      <c r="E122" s="285">
        <v>4</v>
      </c>
    </row>
    <row r="123" spans="1:5">
      <c r="A123" s="101" t="str">
        <f>'Measure Tables'!A267</f>
        <v>Existing Residential; Building Envelope Retrofits (Insulation, Draft Proofing, EnergyStar Windows and Doors); RES-HVAC/Shell; RES-SF</v>
      </c>
      <c r="B123" s="271">
        <f>'Measure Tables'!P267</f>
        <v>1.2382841039804822</v>
      </c>
      <c r="C123" s="271">
        <f>'Measure Tables'!T267</f>
        <v>1.3906148702640801</v>
      </c>
      <c r="D123" s="273">
        <f>'Measure Tables'!U267</f>
        <v>0.12301762236463226</v>
      </c>
      <c r="E123" s="285">
        <v>4</v>
      </c>
    </row>
    <row r="124" spans="1:5">
      <c r="A124" s="101" t="str">
        <f>'Measure Tables'!A221</f>
        <v>Residential - Efficient Product Rebates; Indoor Motion Sensor; RES-Lighting; RES-SF</v>
      </c>
      <c r="B124" s="271">
        <f>'Measure Tables'!P221</f>
        <v>0.71977859346990913</v>
      </c>
      <c r="C124" s="271">
        <f>'Measure Tables'!T221</f>
        <v>0.8311118301893482</v>
      </c>
      <c r="D124" s="273">
        <f>'Measure Tables'!U221</f>
        <v>0.15467706004248297</v>
      </c>
      <c r="E124" s="285">
        <v>4</v>
      </c>
    </row>
    <row r="125" spans="1:5">
      <c r="A125" s="101" t="str">
        <f>'Measure Tables'!A278</f>
        <v>New Residential; EnerGuide 87 New Home; RES-Package; RES-NC</v>
      </c>
      <c r="B125" s="271">
        <f>'Measure Tables'!P278</f>
        <v>2.5159317070077356</v>
      </c>
      <c r="C125" s="271">
        <f>'Measure Tables'!T278</f>
        <v>2.7941049450960143</v>
      </c>
      <c r="D125" s="273">
        <f>'Measure Tables'!U278</f>
        <v>0.11056470146366472</v>
      </c>
      <c r="E125" s="285">
        <v>4</v>
      </c>
    </row>
    <row r="126" spans="1:5">
      <c r="A126" s="101" t="str">
        <f>'Measure Tables'!A279</f>
        <v>New Residential; EnerGuide 88 New Home; RES-Package; RES-NC</v>
      </c>
      <c r="B126" s="271">
        <f>'Measure Tables'!P279</f>
        <v>2.4959133908614541</v>
      </c>
      <c r="C126" s="271">
        <f>'Measure Tables'!T279</f>
        <v>2.7443086058799064</v>
      </c>
      <c r="D126" s="273">
        <f>'Measure Tables'!U279</f>
        <v>9.952076699773614E-2</v>
      </c>
      <c r="E126" s="285">
        <v>4</v>
      </c>
    </row>
    <row r="127" spans="1:5">
      <c r="A127" s="101" t="str">
        <f>'Measure Tables'!A280</f>
        <v>New Residential; EnerGuide 88+ New Home; RES-Package; RES-NC</v>
      </c>
      <c r="B127" s="271">
        <f>'Measure Tables'!P280</f>
        <v>2.4799301970777234</v>
      </c>
      <c r="C127" s="271">
        <f>'Measure Tables'!T280</f>
        <v>2.7042979746359253</v>
      </c>
      <c r="D127" s="273">
        <f>'Measure Tables'!U280</f>
        <v>9.0473424543396491E-2</v>
      </c>
      <c r="E127" s="285">
        <v>4</v>
      </c>
    </row>
    <row r="128" spans="1:5">
      <c r="A128" s="101" t="str">
        <f>'Measure Tables'!A244</f>
        <v>Existing Residential; Low Flow Faucet Aerator, 1.5 GPM; RES-Water Heat; MURB</v>
      </c>
      <c r="B128" s="271">
        <f>'Measure Tables'!P244</f>
        <v>5.9499958164573696</v>
      </c>
      <c r="C128" s="271">
        <f>'Measure Tables'!T244</f>
        <v>6.5884401099189223</v>
      </c>
      <c r="D128" s="273">
        <f>'Measure Tables'!U244</f>
        <v>0.10730163737185326</v>
      </c>
      <c r="E128" s="285">
        <v>4</v>
      </c>
    </row>
    <row r="129" spans="1:5">
      <c r="A129" s="101" t="str">
        <f>'Measure Tables'!A5</f>
        <v>BNI - Efficient Product Rebates; Under Counter Commercial Dishwasher (Low Temp); COM-Other; Retail</v>
      </c>
      <c r="B129" s="271">
        <f>'Measure Tables'!P5</f>
        <v>16.269016925903237</v>
      </c>
      <c r="C129" s="271">
        <f>'Measure Tables'!T5</f>
        <v>17.838565065141111</v>
      </c>
      <c r="D129" s="273">
        <f>'Measure Tables'!U5</f>
        <v>9.6474676151997077E-2</v>
      </c>
      <c r="E129" s="285">
        <v>3</v>
      </c>
    </row>
    <row r="130" spans="1:5">
      <c r="A130" s="101" t="str">
        <f>'Measure Tables'!A11</f>
        <v>BNI - Efficient Product Rebates; Single Tank Conveyor Dishwasher with Booster (High Temp); COM-Other; Retail</v>
      </c>
      <c r="B130" s="271">
        <f>'Measure Tables'!P11</f>
        <v>10.538932977668187</v>
      </c>
      <c r="C130" s="271">
        <f>'Measure Tables'!T11</f>
        <v>11.549256635634311</v>
      </c>
      <c r="D130" s="273">
        <f>'Measure Tables'!U11</f>
        <v>9.5865839559562807E-2</v>
      </c>
      <c r="E130" s="285">
        <v>3</v>
      </c>
    </row>
    <row r="131" spans="1:5">
      <c r="A131" s="101" t="str">
        <f>'Measure Tables'!A9</f>
        <v>BNI - Efficient Product Rebates; Under Counter Dishwasher with Booster (High Temp); COM-Other; Retail</v>
      </c>
      <c r="B131" s="271">
        <f>'Measure Tables'!P9</f>
        <v>7.3181450135358475</v>
      </c>
      <c r="C131" s="271">
        <f>'Measure Tables'!T9</f>
        <v>7.8623065256251374</v>
      </c>
      <c r="D131" s="273">
        <f>'Measure Tables'!U9</f>
        <v>7.4357847662596663E-2</v>
      </c>
      <c r="E131" s="285">
        <v>3</v>
      </c>
    </row>
    <row r="132" spans="1:5">
      <c r="A132" s="101" t="str">
        <f>'Measure Tables'!A240</f>
        <v>Existing Residential; 5W Chandelier LED bulb; RES-Lighting; MURB</v>
      </c>
      <c r="B132" s="271">
        <f>'Measure Tables'!P240</f>
        <v>3.3439238867036716</v>
      </c>
      <c r="C132" s="271">
        <f>'Measure Tables'!T240</f>
        <v>3.5887018805380144</v>
      </c>
      <c r="D132" s="273">
        <f>'Measure Tables'!U240</f>
        <v>7.3200826970866495E-2</v>
      </c>
      <c r="E132" s="285">
        <v>3</v>
      </c>
    </row>
    <row r="133" spans="1:5">
      <c r="A133" s="101" t="str">
        <f>'Measure Tables'!A219</f>
        <v>Residential - Efficient Product Rebates; ENERGY STAR® LED Lamps; RES-Lighting; RES-SF</v>
      </c>
      <c r="B133" s="271">
        <f>'Measure Tables'!P219</f>
        <v>2.09267634198455</v>
      </c>
      <c r="C133" s="271">
        <f>'Measure Tables'!T219</f>
        <v>2.2349801743414259</v>
      </c>
      <c r="D133" s="273">
        <f>'Measure Tables'!U219</f>
        <v>6.8000879783409213E-2</v>
      </c>
      <c r="E133" s="285">
        <v>3</v>
      </c>
    </row>
    <row r="134" spans="1:5">
      <c r="A134" s="101" t="str">
        <f>'Measure Tables'!A208</f>
        <v>Custom Incentives; Whole Building 40% Over Baseline; COM-Other; New Construction - BNI</v>
      </c>
      <c r="B134" s="271">
        <f>'Measure Tables'!P208</f>
        <v>1.7458404034860093</v>
      </c>
      <c r="C134" s="271">
        <f>'Measure Tables'!T208</f>
        <v>1.8572250027874289</v>
      </c>
      <c r="D134" s="273">
        <f>'Measure Tables'!U208</f>
        <v>6.3799989437185761E-2</v>
      </c>
      <c r="E134" s="285">
        <v>3</v>
      </c>
    </row>
    <row r="135" spans="1:5">
      <c r="A135" s="101" t="str">
        <f>'Measure Tables'!A207</f>
        <v>Custom Incentives; Whole Building 20% Over Baseline; COM-Other; New Construction - BNI</v>
      </c>
      <c r="B135" s="271">
        <f>'Measure Tables'!P207</f>
        <v>1.7453816622858349</v>
      </c>
      <c r="C135" s="271">
        <f>'Measure Tables'!T207</f>
        <v>1.856736993903529</v>
      </c>
      <c r="D135" s="273">
        <f>'Measure Tables'!U207</f>
        <v>6.3799989437185803E-2</v>
      </c>
      <c r="E135" s="285">
        <v>3</v>
      </c>
    </row>
    <row r="136" spans="1:5">
      <c r="A136" s="101" t="str">
        <f>'Measure Tables'!A237</f>
        <v>Existing Residential; 8 W LED; RES-Lighting; MURB</v>
      </c>
      <c r="B136" s="271">
        <f>'Measure Tables'!P237</f>
        <v>4.5357347211809875</v>
      </c>
      <c r="C136" s="271">
        <f>'Measure Tables'!T237</f>
        <v>4.8039043435936533</v>
      </c>
      <c r="D136" s="273">
        <f>'Measure Tables'!U237</f>
        <v>5.9123744861084231E-2</v>
      </c>
      <c r="E136" s="285">
        <v>3</v>
      </c>
    </row>
    <row r="137" spans="1:5">
      <c r="A137" s="101" t="str">
        <f>'Measure Tables'!A235</f>
        <v>Existing Residential; 10.5 W LED; RES-Lighting; RES-SF</v>
      </c>
      <c r="B137" s="271">
        <f>'Measure Tables'!P235</f>
        <v>4.9249420065746916</v>
      </c>
      <c r="C137" s="271">
        <f>'Measure Tables'!T235</f>
        <v>5.1802459205541247</v>
      </c>
      <c r="D137" s="273">
        <f>'Measure Tables'!U235</f>
        <v>5.1838968588585985E-2</v>
      </c>
      <c r="E137" s="285">
        <v>3</v>
      </c>
    </row>
    <row r="138" spans="1:5">
      <c r="A138" s="101" t="str">
        <f>'Measure Tables'!A222</f>
        <v>Residential - Efficient Product Rebates; Outdoor Motion Sensor; RES-Lighting; RES-SF</v>
      </c>
      <c r="B138" s="271">
        <f>'Measure Tables'!P222</f>
        <v>1.7456235428372289</v>
      </c>
      <c r="C138" s="271">
        <f>'Measure Tables'!T222</f>
        <v>1.8307716638827163</v>
      </c>
      <c r="D138" s="273">
        <f>'Measure Tables'!U222</f>
        <v>4.8778054921906532E-2</v>
      </c>
      <c r="E138" s="285">
        <v>3</v>
      </c>
    </row>
    <row r="139" spans="1:5">
      <c r="A139" s="101" t="str">
        <f>'Measure Tables'!A254</f>
        <v>Existing Residential; Certified Pellet Boiler or Furnace Supplemented by Baseboard Heat (Whole Home); RES-HVAC/Shell; RES-SF</v>
      </c>
      <c r="B139" s="271">
        <f>'Measure Tables'!P254</f>
        <v>2.9634681429216641</v>
      </c>
      <c r="C139" s="271">
        <f>'Measure Tables'!T254</f>
        <v>3.0603769967191634</v>
      </c>
      <c r="D139" s="273">
        <f>'Measure Tables'!U254</f>
        <v>3.2701162666104303E-2</v>
      </c>
      <c r="E139" s="285">
        <v>3</v>
      </c>
    </row>
    <row r="140" spans="1:5">
      <c r="A140" s="101" t="str">
        <f>'Measure Tables'!A252</f>
        <v>Existing Residential; Certified Wood Boiler or Furnace; RES-HVAC/Shell; RES-SF</v>
      </c>
      <c r="B140" s="271">
        <f>'Measure Tables'!P252</f>
        <v>1.6861324319946671</v>
      </c>
      <c r="C140" s="271">
        <f>'Measure Tables'!T252</f>
        <v>1.741115141913802</v>
      </c>
      <c r="D140" s="273">
        <f>'Measure Tables'!U252</f>
        <v>3.2608773116410111E-2</v>
      </c>
      <c r="E140" s="285">
        <v>3</v>
      </c>
    </row>
    <row r="141" spans="1:5">
      <c r="A141" s="101" t="str">
        <f>'Measure Tables'!A238</f>
        <v>Existing Residential; 12 W LED: Blended 75W and 100W incandescent baseline; RES-Lighting; MURB</v>
      </c>
      <c r="B141" s="271">
        <f>'Measure Tables'!P238</f>
        <v>4.4514100456399515</v>
      </c>
      <c r="C141" s="271">
        <f>'Measure Tables'!T238</f>
        <v>4.6413208135546169</v>
      </c>
      <c r="D141" s="273">
        <f>'Measure Tables'!U238</f>
        <v>4.2663058664002079E-2</v>
      </c>
      <c r="E141" s="285">
        <v>3</v>
      </c>
    </row>
    <row r="142" spans="1:5">
      <c r="A142" s="101" t="str">
        <f>'Measure Tables'!A256</f>
        <v>Existing Residential; Ground Source Heat Pump; RES-HVAC/Shell; RES-SF</v>
      </c>
      <c r="B142" s="271">
        <f>'Measure Tables'!P256</f>
        <v>0.78691841864424383</v>
      </c>
      <c r="C142" s="271">
        <f>'Measure Tables'!T256</f>
        <v>0.81064510719259408</v>
      </c>
      <c r="D142" s="273">
        <f>'Measure Tables'!U256</f>
        <v>3.015139560366142E-2</v>
      </c>
      <c r="E142" s="285">
        <v>3</v>
      </c>
    </row>
    <row r="143" spans="1:5">
      <c r="A143" s="101" t="str">
        <f>'Measure Tables'!A262</f>
        <v>Existing Residential; ENERGY STAR® Windows (300 ft2) (Replace Double Pane); RES-HVAC/Shell; RES-SF</v>
      </c>
      <c r="B143" s="271">
        <f>'Measure Tables'!P262</f>
        <v>0.51321243703744746</v>
      </c>
      <c r="C143" s="271">
        <f>'Measure Tables'!T262</f>
        <v>0.52804653218707409</v>
      </c>
      <c r="D143" s="273">
        <f>'Measure Tables'!U262</f>
        <v>2.8904395293413827E-2</v>
      </c>
      <c r="E143" s="285">
        <v>3</v>
      </c>
    </row>
    <row r="144" spans="1:5">
      <c r="A144" s="101" t="str">
        <f>'Measure Tables'!A236</f>
        <v>Existing Residential; 11 W LED; RES-Lighting; RES-SF</v>
      </c>
      <c r="B144" s="271">
        <f>'Measure Tables'!P236</f>
        <v>5.929683685261816</v>
      </c>
      <c r="C144" s="271">
        <f>'Measure Tables'!T236</f>
        <v>6.1216415336142784</v>
      </c>
      <c r="D144" s="273">
        <f>'Measure Tables'!U236</f>
        <v>3.2372358888143091E-2</v>
      </c>
      <c r="E144" s="285">
        <v>3</v>
      </c>
    </row>
    <row r="145" spans="1:5">
      <c r="A145" s="101" t="str">
        <f>'Measure Tables'!A258</f>
        <v>Existing Residential; Solar DHW; RES-Water Heat; RES-SF</v>
      </c>
      <c r="B145" s="271">
        <f>'Measure Tables'!P258</f>
        <v>0.28236775420255716</v>
      </c>
      <c r="C145" s="271">
        <f>'Measure Tables'!T258</f>
        <v>0.28436716001010987</v>
      </c>
      <c r="D145" s="273">
        <f>'Measure Tables'!U258</f>
        <v>7.080857420137367E-3</v>
      </c>
      <c r="E145" s="285">
        <v>3</v>
      </c>
    </row>
    <row r="146" spans="1:5">
      <c r="A146" s="101" t="str">
        <f>'Measure Tables'!A225</f>
        <v>Residential - Efficient Product Rebates; Heavy Duty Outdoor Timer; RES-Plug Load; RES-SF</v>
      </c>
      <c r="B146" s="271">
        <f>'Measure Tables'!P225</f>
        <v>2.9923076649100713</v>
      </c>
      <c r="C146" s="271">
        <f>'Measure Tables'!T225</f>
        <v>3.0527437917354892</v>
      </c>
      <c r="D146" s="273">
        <f>'Measure Tables'!U225</f>
        <v>2.0197163391363428E-2</v>
      </c>
      <c r="E146" s="285">
        <v>3</v>
      </c>
    </row>
    <row r="147" spans="1:5">
      <c r="A147" s="101" t="str">
        <f>'Measure Tables'!A261</f>
        <v>Existing Residential; ENERGY STAR® Windows (Replace Single Pane); RES-HVAC/Shell; RES-SF</v>
      </c>
      <c r="B147" s="271">
        <f>'Measure Tables'!P261</f>
        <v>1.5903850829535529</v>
      </c>
      <c r="C147" s="271">
        <f>'Measure Tables'!T261</f>
        <v>1.6046553947372311</v>
      </c>
      <c r="D147" s="273">
        <f>'Measure Tables'!U261</f>
        <v>8.9728657144949962E-3</v>
      </c>
      <c r="E147" s="285">
        <v>3</v>
      </c>
    </row>
    <row r="148" spans="1:5">
      <c r="A148" s="101" t="str">
        <f>'Measure Tables'!A257</f>
        <v>Existing Residential; ENERGY STAR® Air Source Heat Pump; RES-HVAC/Shell; RES-SF</v>
      </c>
      <c r="B148" s="271">
        <f>'Measure Tables'!P257</f>
        <v>0.81466151962264588</v>
      </c>
      <c r="C148" s="271">
        <f>'Measure Tables'!T257</f>
        <v>0.82007837211317614</v>
      </c>
      <c r="D148" s="273">
        <f>'Measure Tables'!U257</f>
        <v>6.649206277767189E-3</v>
      </c>
      <c r="E148" s="285">
        <v>3</v>
      </c>
    </row>
    <row r="149" spans="1:5">
      <c r="A149" s="101" t="str">
        <f>'Measure Tables'!A253</f>
        <v>Existing Residential; Certified Pellet Stove; RES-HVAC/Shell; RES-SF</v>
      </c>
      <c r="B149" s="271">
        <f>'Measure Tables'!P253</f>
        <v>3.0480946169831964</v>
      </c>
      <c r="C149" s="271">
        <f>'Measure Tables'!T253</f>
        <v>3.0639676916371541</v>
      </c>
      <c r="D149" s="273">
        <f>'Measure Tables'!U253</f>
        <v>5.2075400040133384E-3</v>
      </c>
      <c r="E149" s="285">
        <v>3</v>
      </c>
    </row>
    <row r="150" spans="1:5">
      <c r="A150" s="101" t="str">
        <f>'Measure Tables'!A243</f>
        <v>Existing Residential; Low Flow Faucet Aerator, 1.5 GPM; RES-Water Heat; RES-SF</v>
      </c>
      <c r="B150" s="271">
        <f>'Measure Tables'!P243</f>
        <v>7.9783105416418145</v>
      </c>
      <c r="C150" s="271">
        <f>'Measure Tables'!T243</f>
        <v>8.0324693512452825</v>
      </c>
      <c r="D150" s="273">
        <f>'Measure Tables'!U243</f>
        <v>6.7882553982817166E-3</v>
      </c>
      <c r="E150" s="285">
        <v>3</v>
      </c>
    </row>
    <row r="151" spans="1:5">
      <c r="A151" s="101" t="str">
        <f>'Measure Tables'!A251</f>
        <v>Existing Residential; Certified Wood Stove; RES-HVAC/Shell; RES-SF</v>
      </c>
      <c r="B151" s="271">
        <f>'Measure Tables'!P251</f>
        <v>5.1191656268814825</v>
      </c>
      <c r="C151" s="271">
        <f>'Measure Tables'!T251</f>
        <v>5.1420356210834397</v>
      </c>
      <c r="D151" s="273">
        <f>'Measure Tables'!U251</f>
        <v>4.4675237858809594E-3</v>
      </c>
      <c r="E151" s="285">
        <v>3</v>
      </c>
    </row>
    <row r="152" spans="1:5">
      <c r="A152" s="101" t="str">
        <f>'Measure Tables'!A217</f>
        <v>Residential - Efficient Product Rebates; Freezer Retirement; RES-Appliance; RES-SF</v>
      </c>
      <c r="B152" s="271">
        <f>'Measure Tables'!P217</f>
        <v>0.8563110356146606</v>
      </c>
      <c r="C152" s="271">
        <f>'Measure Tables'!T217</f>
        <v>0.8563110356146606</v>
      </c>
      <c r="D152" s="273">
        <f>'Measure Tables'!U217</f>
        <v>0</v>
      </c>
      <c r="E152" s="285">
        <v>3</v>
      </c>
    </row>
    <row r="153" spans="1:5">
      <c r="A153" s="101" t="str">
        <f>'Measure Tables'!A216</f>
        <v>Residential - Efficient Product Rebates; Refrigerator Retirement; RES-Appliance; RES-SF</v>
      </c>
      <c r="B153" s="271">
        <f>'Measure Tables'!P216</f>
        <v>1.1978944276305643</v>
      </c>
      <c r="C153" s="271">
        <f>'Measure Tables'!T216</f>
        <v>1.1978944276305643</v>
      </c>
      <c r="D153" s="273">
        <f>'Measure Tables'!U216</f>
        <v>0</v>
      </c>
      <c r="E153" s="285">
        <v>3</v>
      </c>
    </row>
    <row r="154" spans="1:5">
      <c r="A154" s="101" t="str">
        <f>'Measure Tables'!A255</f>
        <v>Existing Residential; Advanced Automatic Pellet Combo Boiler; RES-HVAC/Shell; RES-SF</v>
      </c>
      <c r="B154" s="271">
        <f>'Measure Tables'!P255</f>
        <v>4.3127925968715299</v>
      </c>
      <c r="C154" s="271">
        <f>'Measure Tables'!T255</f>
        <v>4.3176275652338969</v>
      </c>
      <c r="D154" s="273">
        <f>'Measure Tables'!U255</f>
        <v>1.1210760206447714E-3</v>
      </c>
      <c r="E154" s="285">
        <v>3</v>
      </c>
    </row>
    <row r="155" spans="1:5">
      <c r="A155" s="101" t="str">
        <f>'Measure Tables'!A265</f>
        <v>Existing Residential; ENERGY STAR® Refrigerator (Replacement); RES-Appliance; MURB</v>
      </c>
      <c r="B155" s="271">
        <f>'Measure Tables'!P265</f>
        <v>1.0253148455480356</v>
      </c>
      <c r="C155" s="271">
        <f>'Measure Tables'!T265</f>
        <v>1.0253148455480356</v>
      </c>
      <c r="D155" s="273">
        <f>'Measure Tables'!U265</f>
        <v>0</v>
      </c>
      <c r="E155" s="285">
        <v>3</v>
      </c>
    </row>
    <row r="156" spans="1:5">
      <c r="A156" s="101" t="str">
        <f>'Measure Tables'!A281</f>
        <v>New Residential; Solar DHW; RES-Water Heat; RES-NC</v>
      </c>
      <c r="B156" s="271">
        <f>'Measure Tables'!P281</f>
        <v>0.28236775420255716</v>
      </c>
      <c r="C156" s="271">
        <f>'Measure Tables'!T281</f>
        <v>0.28236775420255716</v>
      </c>
      <c r="D156" s="273">
        <f>'Measure Tables'!U281</f>
        <v>0</v>
      </c>
      <c r="E156" s="285">
        <v>2</v>
      </c>
    </row>
    <row r="157" spans="1:5">
      <c r="A157" s="101" t="str">
        <f>'Measure Tables'!A259</f>
        <v>Existing Residential; Solar Space and Water Heat (Supplement Electricity); RES-Package; RES-SF</v>
      </c>
      <c r="B157" s="271">
        <f>'Measure Tables'!P259</f>
        <v>0.36588995382318629</v>
      </c>
      <c r="C157" s="271">
        <f>'Measure Tables'!T259</f>
        <v>0.36588995382318629</v>
      </c>
      <c r="D157" s="273">
        <f>'Measure Tables'!U259</f>
        <v>0</v>
      </c>
      <c r="E157" s="285">
        <v>2</v>
      </c>
    </row>
    <row r="158" spans="1:5">
      <c r="A158" s="101" t="str">
        <f>'Measure Tables'!A263</f>
        <v>Existing Residential; ENERGY STAR® Door; RES-HVAC/Shell; RES-SF</v>
      </c>
      <c r="B158" s="271">
        <f>'Measure Tables'!P263</f>
        <v>0.38804570379615538</v>
      </c>
      <c r="C158" s="271">
        <f>'Measure Tables'!T263</f>
        <v>0.38804570379615538</v>
      </c>
      <c r="D158" s="273">
        <f>'Measure Tables'!U263</f>
        <v>0</v>
      </c>
      <c r="E158" s="285">
        <v>2</v>
      </c>
    </row>
    <row r="159" spans="1:5">
      <c r="A159" s="101" t="str">
        <f>'Measure Tables'!A282</f>
        <v>New Residential; Solar Space and Water Heat (Supplement Electricity); RES-Package; RES-NC</v>
      </c>
      <c r="B159" s="271">
        <f>'Measure Tables'!P282</f>
        <v>0.39649176198217667</v>
      </c>
      <c r="C159" s="271">
        <f>'Measure Tables'!T282</f>
        <v>0.39649176198217667</v>
      </c>
      <c r="D159" s="273">
        <f>'Measure Tables'!U282</f>
        <v>0</v>
      </c>
      <c r="E159" s="285">
        <v>2</v>
      </c>
    </row>
    <row r="160" spans="1:5">
      <c r="A160" s="101" t="str">
        <f>'Measure Tables'!A283</f>
        <v>New Residential; Solar Space Heating (Displacing Electricity); RES-HVAC/Shell; RES-NC</v>
      </c>
      <c r="B160" s="271">
        <f>'Measure Tables'!P283</f>
        <v>0.51084913461693626</v>
      </c>
      <c r="C160" s="271">
        <f>'Measure Tables'!T283</f>
        <v>0.51084913461693626</v>
      </c>
      <c r="D160" s="273">
        <f>'Measure Tables'!U283</f>
        <v>0</v>
      </c>
      <c r="E160" s="285">
        <v>2</v>
      </c>
    </row>
    <row r="161" spans="1:5">
      <c r="A161" s="101" t="str">
        <f>'Measure Tables'!A224</f>
        <v>Residential - Efficient Product Rebates; Smartstrip; RES-Plug Load; RES-SF</v>
      </c>
      <c r="B161" s="271">
        <f>'Measure Tables'!P224</f>
        <v>0.8992121039934502</v>
      </c>
      <c r="C161" s="271">
        <f>'Measure Tables'!T224</f>
        <v>0.8992121039934502</v>
      </c>
      <c r="D161" s="273">
        <f>'Measure Tables'!U224</f>
        <v>0</v>
      </c>
      <c r="E161" s="285">
        <v>2</v>
      </c>
    </row>
    <row r="162" spans="1:5">
      <c r="A162" s="101" t="str">
        <f>'Measure Tables'!A152</f>
        <v>BNI- Direct Installation; Night Covers for 3' Refrigerated Display Cases-BES; COM-Refrigeration; Retail</v>
      </c>
      <c r="B162" s="271">
        <f>'Measure Tables'!P152</f>
        <v>0.93550677935511495</v>
      </c>
      <c r="C162" s="271">
        <f>'Measure Tables'!T152</f>
        <v>0.93550677935511495</v>
      </c>
      <c r="D162" s="273">
        <f>'Measure Tables'!U152</f>
        <v>0</v>
      </c>
      <c r="E162" s="285">
        <v>2</v>
      </c>
    </row>
    <row r="163" spans="1:5">
      <c r="A163" s="101" t="str">
        <f>'Measure Tables'!A141</f>
        <v>BNI - Efficient Product Rebates; Dairy Scroll Compressor; COM-Other; Other Commercial</v>
      </c>
      <c r="B163" s="271">
        <f>'Measure Tables'!P141</f>
        <v>1.0090673960203322</v>
      </c>
      <c r="C163" s="271">
        <f>'Measure Tables'!T141</f>
        <v>1.0090673960203322</v>
      </c>
      <c r="D163" s="273">
        <f>'Measure Tables'!U141</f>
        <v>0</v>
      </c>
      <c r="E163" s="285">
        <v>2</v>
      </c>
    </row>
    <row r="164" spans="1:5">
      <c r="A164" s="101" t="str">
        <f>'Measure Tables'!A29</f>
        <v>BNI - Efficient Product Rebates; Night Covers for 3' Refrigerated Display Cases; COM-Refrigeration; Retail</v>
      </c>
      <c r="B164" s="271">
        <f>'Measure Tables'!P29</f>
        <v>1.1281328515982136</v>
      </c>
      <c r="C164" s="271">
        <f>'Measure Tables'!T29</f>
        <v>1.1281328515982136</v>
      </c>
      <c r="D164" s="273">
        <f>'Measure Tables'!U29</f>
        <v>0</v>
      </c>
      <c r="E164" s="285">
        <v>2</v>
      </c>
    </row>
    <row r="165" spans="1:5">
      <c r="A165" s="101" t="str">
        <f>'Measure Tables'!A151</f>
        <v>BNI- Direct Installation; Night Covers for 3' Refrigerated Display Cases-BES; COM-Refrigeration; Other Commercial</v>
      </c>
      <c r="B165" s="271">
        <f>'Measure Tables'!P151</f>
        <v>1.1347744094984293</v>
      </c>
      <c r="C165" s="271">
        <f>'Measure Tables'!T151</f>
        <v>1.1347744094984293</v>
      </c>
      <c r="D165" s="273">
        <f>'Measure Tables'!U151</f>
        <v>0</v>
      </c>
      <c r="E165" s="285">
        <v>2</v>
      </c>
    </row>
    <row r="166" spans="1:5">
      <c r="A166" s="101" t="str">
        <f>'Measure Tables'!A127</f>
        <v>BNI - Efficient Product Rebates; Variable Speed Drive Screw Compressors (10 - 40 hp); COM-Process; School</v>
      </c>
      <c r="B166" s="271">
        <f>'Measure Tables'!P127</f>
        <v>1.151030651464708</v>
      </c>
      <c r="C166" s="271">
        <f>'Measure Tables'!T127</f>
        <v>1.151030651464708</v>
      </c>
      <c r="D166" s="273">
        <f>'Measure Tables'!U127</f>
        <v>0</v>
      </c>
      <c r="E166" s="285">
        <v>2</v>
      </c>
    </row>
    <row r="167" spans="1:5">
      <c r="A167" s="101" t="str">
        <f>'Measure Tables'!A132</f>
        <v>BNI - Efficient Product Rebates; Air Tanks for Load / No-Load Screw Compressors (10 – 40 hp); COM-Process; School</v>
      </c>
      <c r="B167" s="271">
        <f>'Measure Tables'!P132</f>
        <v>1.1780038582976915</v>
      </c>
      <c r="C167" s="271">
        <f>'Measure Tables'!T132</f>
        <v>1.1780038582976915</v>
      </c>
      <c r="D167" s="273">
        <f>'Measure Tables'!U132</f>
        <v>0</v>
      </c>
      <c r="E167" s="285">
        <v>2</v>
      </c>
    </row>
    <row r="168" spans="1:5">
      <c r="A168" s="101" t="str">
        <f>'Measure Tables'!A136</f>
        <v>BNI - Efficient Product Rebates; Integrated Dual Enthalpy Economizer Controls; COM-HVAC; School</v>
      </c>
      <c r="B168" s="271">
        <f>'Measure Tables'!P136</f>
        <v>1.245308557766295</v>
      </c>
      <c r="C168" s="271">
        <f>'Measure Tables'!T136</f>
        <v>1.245308557766295</v>
      </c>
      <c r="D168" s="273">
        <f>'Measure Tables'!U136</f>
        <v>0</v>
      </c>
      <c r="E168" s="285">
        <v>2</v>
      </c>
    </row>
    <row r="169" spans="1:5">
      <c r="A169" s="101" t="str">
        <f>'Measure Tables'!A26</f>
        <v>BNI - Efficient Product Rebates; Variable Speed Drive for Kitchen exhaust fans (Demand Controlled Ventilation) ; COM-Motors; Retail</v>
      </c>
      <c r="B169" s="271">
        <f>'Measure Tables'!P26</f>
        <v>1.2901244005378381</v>
      </c>
      <c r="C169" s="271">
        <f>'Measure Tables'!T26</f>
        <v>1.2901244005378381</v>
      </c>
      <c r="D169" s="273">
        <f>'Measure Tables'!U26</f>
        <v>0</v>
      </c>
      <c r="E169" s="285">
        <v>2</v>
      </c>
    </row>
    <row r="170" spans="1:5">
      <c r="A170" s="101" t="str">
        <f>'Measure Tables'!A135</f>
        <v>BNI - Efficient Product Rebates; Integrated Dual Enthalpy Economizer Controls; COM-HVAC; Retail</v>
      </c>
      <c r="B170" s="271">
        <f>'Measure Tables'!P135</f>
        <v>1.3102080471983981</v>
      </c>
      <c r="C170" s="271">
        <f>'Measure Tables'!T135</f>
        <v>1.3102080471983981</v>
      </c>
      <c r="D170" s="273">
        <f>'Measure Tables'!U135</f>
        <v>0</v>
      </c>
      <c r="E170" s="285">
        <v>2</v>
      </c>
    </row>
    <row r="171" spans="1:5">
      <c r="A171" s="101" t="str">
        <f>'Measure Tables'!A16</f>
        <v>BNI - Efficient Product Rebates; Half Size Commercial Hot Food Holding Cabinet; COM-Other; Retail</v>
      </c>
      <c r="B171" s="271">
        <f>'Measure Tables'!P16</f>
        <v>1.3649026497120107</v>
      </c>
      <c r="C171" s="271">
        <f>'Measure Tables'!T16</f>
        <v>1.3649026497120107</v>
      </c>
      <c r="D171" s="273">
        <f>'Measure Tables'!U16</f>
        <v>0</v>
      </c>
      <c r="E171" s="285">
        <v>2</v>
      </c>
    </row>
    <row r="172" spans="1:5">
      <c r="A172" s="101" t="str">
        <f>'Measure Tables'!A28</f>
        <v>BNI - Efficient Product Rebates; Night Covers for 3' Refrigerated Display Cases; COM-Refrigeration; Other Commercial</v>
      </c>
      <c r="B172" s="271">
        <f>'Measure Tables'!P28</f>
        <v>1.4312470937332435</v>
      </c>
      <c r="C172" s="271">
        <f>'Measure Tables'!T28</f>
        <v>1.4312470937332435</v>
      </c>
      <c r="D172" s="273">
        <f>'Measure Tables'!U28</f>
        <v>0</v>
      </c>
      <c r="E172" s="285">
        <v>2</v>
      </c>
    </row>
    <row r="173" spans="1:5">
      <c r="A173" s="101" t="str">
        <f>'Measure Tables'!A223</f>
        <v>Residential - Efficient Product Rebates; Power bar with integrated timer; RES-Plug Load; RES-SF</v>
      </c>
      <c r="B173" s="271">
        <f>'Measure Tables'!P223</f>
        <v>1.4426026208298643</v>
      </c>
      <c r="C173" s="271">
        <f>'Measure Tables'!T223</f>
        <v>1.4426026208298643</v>
      </c>
      <c r="D173" s="273">
        <f>'Measure Tables'!U223</f>
        <v>0</v>
      </c>
      <c r="E173" s="285">
        <v>2</v>
      </c>
    </row>
    <row r="174" spans="1:5">
      <c r="A174" s="101" t="str">
        <f>'Measure Tables'!A33</f>
        <v>BNI - Efficient Product Rebates; Zero Energy Doors for Reach-In Coolers and Freezers; COM-Refrigeration; School</v>
      </c>
      <c r="B174" s="271">
        <f>'Measure Tables'!P33</f>
        <v>1.4747106383262882</v>
      </c>
      <c r="C174" s="271">
        <f>'Measure Tables'!T33</f>
        <v>1.4747106383262882</v>
      </c>
      <c r="D174" s="273">
        <f>'Measure Tables'!U33</f>
        <v>0</v>
      </c>
      <c r="E174" s="285">
        <v>2</v>
      </c>
    </row>
    <row r="175" spans="1:5">
      <c r="A175" s="101" t="str">
        <f>'Measure Tables'!A31</f>
        <v>BNI - Efficient Product Rebates; Zero Energy Doors for Reach-In Coolers and Freezers; COM-Refrigeration; Other Commercial</v>
      </c>
      <c r="B175" s="271">
        <f>'Measure Tables'!P31</f>
        <v>1.4751104860144455</v>
      </c>
      <c r="C175" s="271">
        <f>'Measure Tables'!T31</f>
        <v>1.4751104860144455</v>
      </c>
      <c r="D175" s="273">
        <f>'Measure Tables'!U31</f>
        <v>0</v>
      </c>
      <c r="E175" s="285">
        <v>2</v>
      </c>
    </row>
    <row r="176" spans="1:5">
      <c r="A176" s="101" t="str">
        <f>'Measure Tables'!A32</f>
        <v>BNI - Efficient Product Rebates; Zero Energy Doors for Reach-In Coolers and Freezers; COM-Refrigeration; Retail</v>
      </c>
      <c r="B176" s="271">
        <f>'Measure Tables'!P32</f>
        <v>1.4752893271712284</v>
      </c>
      <c r="C176" s="271">
        <f>'Measure Tables'!T32</f>
        <v>1.4752893271712284</v>
      </c>
      <c r="D176" s="273">
        <f>'Measure Tables'!U32</f>
        <v>0</v>
      </c>
      <c r="E176" s="285">
        <v>2</v>
      </c>
    </row>
    <row r="177" spans="1:5">
      <c r="A177" s="101" t="str">
        <f>'Measure Tables'!A30</f>
        <v>BNI - Efficient Product Rebates; Night Covers for 3' Refrigerated Display Cases; COM-Refrigeration; School</v>
      </c>
      <c r="B177" s="271">
        <f>'Measure Tables'!P30</f>
        <v>1.534935680523551</v>
      </c>
      <c r="C177" s="271">
        <f>'Measure Tables'!T30</f>
        <v>1.534935680523551</v>
      </c>
      <c r="D177" s="273">
        <f>'Measure Tables'!U30</f>
        <v>0</v>
      </c>
      <c r="E177" s="285">
        <v>2</v>
      </c>
    </row>
    <row r="178" spans="1:5">
      <c r="A178" s="101" t="str">
        <f>'Measure Tables'!A157</f>
        <v>BNI- Direct Installation; Electronically Commutated (Brushless) DC Motors for Refrigeration Applications-BES; COM-Refrigeration; Other Commercial</v>
      </c>
      <c r="B178" s="271">
        <f>'Measure Tables'!P157</f>
        <v>1.6099068531967375</v>
      </c>
      <c r="C178" s="271">
        <f>'Measure Tables'!T157</f>
        <v>1.6099068531967375</v>
      </c>
      <c r="D178" s="273">
        <f>'Measure Tables'!U157</f>
        <v>0</v>
      </c>
      <c r="E178" s="285">
        <v>2</v>
      </c>
    </row>
    <row r="179" spans="1:5">
      <c r="A179" s="101" t="str">
        <f>'Measure Tables'!A158</f>
        <v>BNI- Direct Installation; Electronically Commutated (Brushless) DC Motors for Refrigeration Applications-BES; COM-Refrigeration; Retail</v>
      </c>
      <c r="B179" s="271">
        <f>'Measure Tables'!P158</f>
        <v>1.6100981132282295</v>
      </c>
      <c r="C179" s="271">
        <f>'Measure Tables'!T158</f>
        <v>1.6100981132282295</v>
      </c>
      <c r="D179" s="273">
        <f>'Measure Tables'!U158</f>
        <v>0</v>
      </c>
      <c r="E179" s="285">
        <v>2</v>
      </c>
    </row>
    <row r="180" spans="1:5">
      <c r="A180" s="101" t="str">
        <f>'Measure Tables'!A15</f>
        <v>BNI - Efficient Product Rebates; Three Quarter Size Commercial Hot Food Holding Cabinet; COM-Other; Retail</v>
      </c>
      <c r="B180" s="271">
        <f>'Measure Tables'!P15</f>
        <v>1.6763440609482247</v>
      </c>
      <c r="C180" s="271">
        <f>'Measure Tables'!T15</f>
        <v>1.6763440609482247</v>
      </c>
      <c r="D180" s="273">
        <f>'Measure Tables'!U15</f>
        <v>0</v>
      </c>
      <c r="E180" s="285">
        <v>2</v>
      </c>
    </row>
    <row r="181" spans="1:5">
      <c r="A181" s="101" t="str">
        <f>'Measure Tables'!A260</f>
        <v>Existing Residential; Solar Space Heating (Displacing Electricity); RES-HVAC/Shell; RES-SF</v>
      </c>
      <c r="B181" s="271">
        <f>'Measure Tables'!P260</f>
        <v>1.6773715219431966</v>
      </c>
      <c r="C181" s="271">
        <f>'Measure Tables'!T260</f>
        <v>1.6773715219431966</v>
      </c>
      <c r="D181" s="273">
        <f>'Measure Tables'!U260</f>
        <v>0</v>
      </c>
      <c r="E181" s="285">
        <v>2</v>
      </c>
    </row>
    <row r="182" spans="1:5">
      <c r="A182" s="101" t="str">
        <f>'Measure Tables'!A25</f>
        <v>BNI - Efficient Product Rebates; Variable Speed Drive for Kitchen exhaust fans (Demand Controlled Ventilation) ; COM-Motors; Other Commercial</v>
      </c>
      <c r="B182" s="271">
        <f>'Measure Tables'!P25</f>
        <v>1.7608697714325492</v>
      </c>
      <c r="C182" s="271">
        <f>'Measure Tables'!T25</f>
        <v>1.7608697714325492</v>
      </c>
      <c r="D182" s="273">
        <f>'Measure Tables'!U25</f>
        <v>0</v>
      </c>
      <c r="E182" s="285">
        <v>2</v>
      </c>
    </row>
    <row r="183" spans="1:5">
      <c r="A183" s="101" t="str">
        <f>'Measure Tables'!A13</f>
        <v>BNI - Efficient Product Rebates; Standard Capacity Commercial Electric Fryers; COM-Other; Retail</v>
      </c>
      <c r="B183" s="271">
        <f>'Measure Tables'!P13</f>
        <v>1.7927669415713954</v>
      </c>
      <c r="C183" s="271">
        <f>'Measure Tables'!T13</f>
        <v>1.7927669415713954</v>
      </c>
      <c r="D183" s="273">
        <f>'Measure Tables'!U13</f>
        <v>0</v>
      </c>
      <c r="E183" s="285">
        <v>2</v>
      </c>
    </row>
    <row r="184" spans="1:5">
      <c r="A184" s="101" t="str">
        <f>'Measure Tables'!A137</f>
        <v>BNI - Efficient Product Rebates; HVAC Hotel Occupancy Sensor; COM-HVAC; Other Commercial</v>
      </c>
      <c r="B184" s="271">
        <f>'Measure Tables'!P137</f>
        <v>1.830351923813238</v>
      </c>
      <c r="C184" s="271">
        <f>'Measure Tables'!T137</f>
        <v>1.830351923813238</v>
      </c>
      <c r="D184" s="273">
        <f>'Measure Tables'!U137</f>
        <v>0</v>
      </c>
      <c r="E184" s="285">
        <v>2</v>
      </c>
    </row>
    <row r="185" spans="1:5">
      <c r="A185" s="101" t="str">
        <f>'Measure Tables'!A155</f>
        <v>BNI- Direct Installation; Evaporator Fan Motor Controls for Walk-In Freezers and Coolers-BES; COM-Refrigeration; Other Commercial</v>
      </c>
      <c r="B185" s="271">
        <f>'Measure Tables'!P155</f>
        <v>1.8366019145325971</v>
      </c>
      <c r="C185" s="271">
        <f>'Measure Tables'!T155</f>
        <v>1.8366019145325971</v>
      </c>
      <c r="D185" s="273">
        <f>'Measure Tables'!U155</f>
        <v>0</v>
      </c>
      <c r="E185" s="285">
        <v>2</v>
      </c>
    </row>
    <row r="186" spans="1:5">
      <c r="A186" s="101" t="str">
        <f>'Measure Tables'!A156</f>
        <v>BNI- Direct Installation; Evaporator Fan Motor Controls for Walk-In Freezers and Coolers-BES; COM-Refrigeration; Retail</v>
      </c>
      <c r="B186" s="271">
        <f>'Measure Tables'!P156</f>
        <v>1.8475975422532376</v>
      </c>
      <c r="C186" s="271">
        <f>'Measure Tables'!T156</f>
        <v>1.8475975422532376</v>
      </c>
      <c r="D186" s="273">
        <f>'Measure Tables'!U156</f>
        <v>0</v>
      </c>
      <c r="E186" s="285">
        <v>2</v>
      </c>
    </row>
    <row r="187" spans="1:5">
      <c r="A187" s="101" t="str">
        <f>'Measure Tables'!A55</f>
        <v>BNI - Efficient Product Rebates; Electronically Commutated (Brushless) DC Motors for Refrigeration Applications; COM-Refrigeration; School</v>
      </c>
      <c r="B187" s="271">
        <f>'Measure Tables'!P55</f>
        <v>2.0257016944545763</v>
      </c>
      <c r="C187" s="271">
        <f>'Measure Tables'!T55</f>
        <v>2.0257016944545763</v>
      </c>
      <c r="D187" s="273">
        <f>'Measure Tables'!U55</f>
        <v>0</v>
      </c>
      <c r="E187" s="285">
        <v>2</v>
      </c>
    </row>
    <row r="188" spans="1:5">
      <c r="A188" s="101" t="str">
        <f>'Measure Tables'!A53</f>
        <v>BNI - Efficient Product Rebates; Electronically Commutated (Brushless) DC Motors for Refrigeration Applications; COM-Refrigeration; Other Commercial</v>
      </c>
      <c r="B188" s="271">
        <f>'Measure Tables'!P53</f>
        <v>2.0262398916795568</v>
      </c>
      <c r="C188" s="271">
        <f>'Measure Tables'!T53</f>
        <v>2.0262398916795568</v>
      </c>
      <c r="D188" s="273">
        <f>'Measure Tables'!U53</f>
        <v>0</v>
      </c>
      <c r="E188" s="285">
        <v>2</v>
      </c>
    </row>
    <row r="189" spans="1:5">
      <c r="A189" s="101" t="str">
        <f>'Measure Tables'!A54</f>
        <v>BNI - Efficient Product Rebates; Electronically Commutated (Brushless) DC Motors for Refrigeration Applications; COM-Refrigeration; Retail</v>
      </c>
      <c r="B189" s="271">
        <f>'Measure Tables'!P54</f>
        <v>2.0264806128770121</v>
      </c>
      <c r="C189" s="271">
        <f>'Measure Tables'!T54</f>
        <v>2.0264806128770121</v>
      </c>
      <c r="D189" s="273">
        <f>'Measure Tables'!U54</f>
        <v>0</v>
      </c>
      <c r="E189" s="285">
        <v>2</v>
      </c>
    </row>
    <row r="190" spans="1:5">
      <c r="A190" s="101" t="str">
        <f>'Measure Tables'!A39</f>
        <v>BNI - Efficient Product Rebates; Evaporator Fan Motor Controls for Walk-In Freezers and Coolers; COM-Refrigeration; School</v>
      </c>
      <c r="B190" s="271">
        <f>'Measure Tables'!P39</f>
        <v>2.0360414253993575</v>
      </c>
      <c r="C190" s="271">
        <f>'Measure Tables'!T39</f>
        <v>2.0360414253993575</v>
      </c>
      <c r="D190" s="273">
        <f>'Measure Tables'!U39</f>
        <v>0</v>
      </c>
      <c r="E190" s="285">
        <v>2</v>
      </c>
    </row>
    <row r="191" spans="1:5">
      <c r="A191" s="101" t="str">
        <f>'Measure Tables'!A52</f>
        <v xml:space="preserve">BNI - Efficient Product Rebates; Electronically Commutated (Brushless) DC Motors for Refrigeration Applications; IND; Industrial </v>
      </c>
      <c r="B191" s="271">
        <f>'Measure Tables'!P52</f>
        <v>2.0723321209396599</v>
      </c>
      <c r="C191" s="271">
        <f>'Measure Tables'!T52</f>
        <v>2.0723321209396599</v>
      </c>
      <c r="D191" s="273">
        <f>'Measure Tables'!U52</f>
        <v>0</v>
      </c>
      <c r="E191" s="285">
        <v>2</v>
      </c>
    </row>
    <row r="192" spans="1:5">
      <c r="A192" s="101" t="str">
        <f>'Measure Tables'!A37</f>
        <v>BNI - Efficient Product Rebates; Evaporator Fan Motor Controls for Walk-In Freezers and Coolers; COM-Refrigeration; Other Commercial</v>
      </c>
      <c r="B192" s="271">
        <f>'Measure Tables'!P37</f>
        <v>2.07662411709769</v>
      </c>
      <c r="C192" s="271">
        <f>'Measure Tables'!T37</f>
        <v>2.07662411709769</v>
      </c>
      <c r="D192" s="273">
        <f>'Measure Tables'!U37</f>
        <v>0</v>
      </c>
      <c r="E192" s="285">
        <v>2</v>
      </c>
    </row>
    <row r="193" spans="1:5">
      <c r="A193" s="101" t="str">
        <f>'Measure Tables'!A38</f>
        <v>BNI - Efficient Product Rebates; Evaporator Fan Motor Controls for Walk-In Freezers and Coolers; COM-Refrigeration; Retail</v>
      </c>
      <c r="B193" s="271">
        <f>'Measure Tables'!P38</f>
        <v>2.0881995663230017</v>
      </c>
      <c r="C193" s="271">
        <f>'Measure Tables'!T38</f>
        <v>2.0881995663230017</v>
      </c>
      <c r="D193" s="273">
        <f>'Measure Tables'!U38</f>
        <v>0</v>
      </c>
      <c r="E193" s="285">
        <v>2</v>
      </c>
    </row>
    <row r="194" spans="1:5">
      <c r="A194" s="101" t="str">
        <f>'Measure Tables'!A124</f>
        <v>BNI - Efficient Product Rebates; Cycling Refrigerated Air Dryers (≤ 300 CFM capacity); COM-Process; School</v>
      </c>
      <c r="B194" s="271">
        <f>'Measure Tables'!P124</f>
        <v>2.3202023267243828</v>
      </c>
      <c r="C194" s="271">
        <f>'Measure Tables'!T124</f>
        <v>2.3202023267243828</v>
      </c>
      <c r="D194" s="273">
        <f>'Measure Tables'!U124</f>
        <v>0</v>
      </c>
      <c r="E194" s="285">
        <v>2</v>
      </c>
    </row>
    <row r="195" spans="1:5">
      <c r="A195" s="101" t="str">
        <f>'Measure Tables'!A226</f>
        <v>Residential - Efficient Product Rebates; Advanced Power Strip (load sensing or remote control/wireless APS); RES-Plug Load; RES-SF</v>
      </c>
      <c r="B195" s="271">
        <f>'Measure Tables'!P226</f>
        <v>2.4329316386805018</v>
      </c>
      <c r="C195" s="271">
        <f>'Measure Tables'!T226</f>
        <v>2.4329316386805018</v>
      </c>
      <c r="D195" s="273">
        <f>'Measure Tables'!U226</f>
        <v>0</v>
      </c>
      <c r="E195" s="285">
        <v>2</v>
      </c>
    </row>
    <row r="196" spans="1:5">
      <c r="A196" s="101" t="str">
        <f>'Measure Tables'!A51</f>
        <v>BNI - Efficient Product Rebates; Strip Curtains for 3' Open Refrigerated Display Cases; COM-Refrigeration; School</v>
      </c>
      <c r="B196" s="271">
        <f>'Measure Tables'!P51</f>
        <v>2.4754565682000402</v>
      </c>
      <c r="C196" s="271">
        <f>'Measure Tables'!T51</f>
        <v>2.4754565682000402</v>
      </c>
      <c r="D196" s="273">
        <f>'Measure Tables'!U51</f>
        <v>0</v>
      </c>
      <c r="E196" s="285">
        <v>2</v>
      </c>
    </row>
    <row r="197" spans="1:5">
      <c r="A197" s="101" t="str">
        <f>'Measure Tables'!A49</f>
        <v>BNI - Efficient Product Rebates; Strip Curtains for 3' Open Refrigerated Display Cases; COM-Refrigeration; Other Commercial</v>
      </c>
      <c r="B197" s="271">
        <f>'Measure Tables'!P49</f>
        <v>2.4759805897681701</v>
      </c>
      <c r="C197" s="271">
        <f>'Measure Tables'!T49</f>
        <v>2.4759805897681701</v>
      </c>
      <c r="D197" s="273">
        <f>'Measure Tables'!U49</f>
        <v>0</v>
      </c>
      <c r="E197" s="285">
        <v>2</v>
      </c>
    </row>
    <row r="198" spans="1:5">
      <c r="A198" s="101" t="str">
        <f>'Measure Tables'!A50</f>
        <v>BNI - Efficient Product Rebates; Strip Curtains for 3' Open Refrigerated Display Cases; COM-Refrigeration; Retail</v>
      </c>
      <c r="B198" s="271">
        <f>'Measure Tables'!P50</f>
        <v>2.4762149705741598</v>
      </c>
      <c r="C198" s="271">
        <f>'Measure Tables'!T50</f>
        <v>2.4762149705741598</v>
      </c>
      <c r="D198" s="273">
        <f>'Measure Tables'!U50</f>
        <v>0</v>
      </c>
      <c r="E198" s="285">
        <v>2</v>
      </c>
    </row>
    <row r="199" spans="1:5">
      <c r="A199" s="101" t="str">
        <f>'Measure Tables'!A133</f>
        <v>BNI - Efficient Product Rebates; Integrated Dual Enthalpy Economizer Controls; COM-HVAC; Office</v>
      </c>
      <c r="B199" s="271">
        <f>'Measure Tables'!P133</f>
        <v>2.5601364763393386</v>
      </c>
      <c r="C199" s="271">
        <f>'Measure Tables'!T133</f>
        <v>2.5601364763393386</v>
      </c>
      <c r="D199" s="273">
        <f>'Measure Tables'!U133</f>
        <v>0</v>
      </c>
      <c r="E199" s="285">
        <v>2</v>
      </c>
    </row>
    <row r="200" spans="1:5">
      <c r="A200" s="101" t="str">
        <f>'Measure Tables'!A134</f>
        <v>BNI - Efficient Product Rebates; Integrated Dual Enthalpy Economizer Controls; COM-HVAC; Other Commercial</v>
      </c>
      <c r="B200" s="271">
        <f>'Measure Tables'!P134</f>
        <v>2.5601364763393386</v>
      </c>
      <c r="C200" s="271">
        <f>'Measure Tables'!T134</f>
        <v>2.5601364763393386</v>
      </c>
      <c r="D200" s="273">
        <f>'Measure Tables'!U134</f>
        <v>0</v>
      </c>
      <c r="E200" s="285">
        <v>2</v>
      </c>
    </row>
    <row r="201" spans="1:5">
      <c r="A201" s="101" t="str">
        <f>'Measure Tables'!A125</f>
        <v xml:space="preserve">BNI - Efficient Product Rebates; Variable Speed Drive Screw Compressors (10 - 40 hp); IND; Industrial </v>
      </c>
      <c r="B201" s="271">
        <f>'Measure Tables'!P125</f>
        <v>2.6018255218086841</v>
      </c>
      <c r="C201" s="271">
        <f>'Measure Tables'!T125</f>
        <v>2.6018255218086841</v>
      </c>
      <c r="D201" s="273">
        <f>'Measure Tables'!U125</f>
        <v>0</v>
      </c>
      <c r="E201" s="285">
        <v>2</v>
      </c>
    </row>
    <row r="202" spans="1:5">
      <c r="A202" s="101" t="str">
        <f>'Measure Tables'!A130</f>
        <v xml:space="preserve">BNI - Efficient Product Rebates; Air Tanks for Load / No-Load Screw Compressors (10 – 40 hp); IND; Industrial </v>
      </c>
      <c r="B202" s="271">
        <f>'Measure Tables'!P130</f>
        <v>2.6796968390640368</v>
      </c>
      <c r="C202" s="271">
        <f>'Measure Tables'!T130</f>
        <v>2.6796968390640368</v>
      </c>
      <c r="D202" s="273">
        <f>'Measure Tables'!U130</f>
        <v>0</v>
      </c>
      <c r="E202" s="285">
        <v>2</v>
      </c>
    </row>
    <row r="203" spans="1:5">
      <c r="A203" s="101" t="str">
        <f>'Measure Tables'!A24</f>
        <v>BNI - Efficient Product Rebates; ENERGY STAR® Commercial Electric Convection Oven; COM-Other; Retail</v>
      </c>
      <c r="B203" s="271">
        <f>'Measure Tables'!P24</f>
        <v>2.7070647359823434</v>
      </c>
      <c r="C203" s="271">
        <f>'Measure Tables'!T24</f>
        <v>2.7070647359823434</v>
      </c>
      <c r="D203" s="273">
        <f>'Measure Tables'!U24</f>
        <v>0</v>
      </c>
      <c r="E203" s="285">
        <v>2</v>
      </c>
    </row>
    <row r="204" spans="1:5">
      <c r="A204" s="101" t="str">
        <f>'Measure Tables'!A42</f>
        <v>BNI - Efficient Product Rebates; Intelligent (Electronic) Defrost Control For Freezer Display Cases; COM-Refrigeration; School</v>
      </c>
      <c r="B204" s="271">
        <f>'Measure Tables'!P42</f>
        <v>3.0127154335898254</v>
      </c>
      <c r="C204" s="271">
        <f>'Measure Tables'!T42</f>
        <v>3.0127154335898254</v>
      </c>
      <c r="D204" s="273">
        <f>'Measure Tables'!U42</f>
        <v>0</v>
      </c>
      <c r="E204" s="285">
        <v>2</v>
      </c>
    </row>
    <row r="205" spans="1:5">
      <c r="A205" s="101" t="str">
        <f>'Measure Tables'!A17</f>
        <v>BNI - Efficient Product Rebates; Commercial Electric Griddle; COM-Other; Retail</v>
      </c>
      <c r="B205" s="271">
        <f>'Measure Tables'!P17</f>
        <v>3.0512364306843627</v>
      </c>
      <c r="C205" s="271">
        <f>'Measure Tables'!T17</f>
        <v>3.0512364306843627</v>
      </c>
      <c r="D205" s="273">
        <f>'Measure Tables'!U17</f>
        <v>0</v>
      </c>
      <c r="E205" s="285">
        <v>2</v>
      </c>
    </row>
    <row r="206" spans="1:5">
      <c r="A206" s="101" t="str">
        <f>'Measure Tables'!A40</f>
        <v>BNI - Efficient Product Rebates; Intelligent (Electronic) Defrost Control For Freezer Display Cases; COM-Refrigeration; Other Commercial</v>
      </c>
      <c r="B206" s="271">
        <f>'Measure Tables'!P40</f>
        <v>3.0733786531836542</v>
      </c>
      <c r="C206" s="271">
        <f>'Measure Tables'!T40</f>
        <v>3.0733786531836542</v>
      </c>
      <c r="D206" s="273">
        <f>'Measure Tables'!U40</f>
        <v>0</v>
      </c>
      <c r="E206" s="285">
        <v>2</v>
      </c>
    </row>
    <row r="207" spans="1:5">
      <c r="A207" s="101" t="str">
        <f>'Measure Tables'!A41</f>
        <v>BNI - Efficient Product Rebates; Intelligent (Electronic) Defrost Control For Freezer Display Cases; COM-Refrigeration; Retail</v>
      </c>
      <c r="B207" s="271">
        <f>'Measure Tables'!P41</f>
        <v>3.1018022895685688</v>
      </c>
      <c r="C207" s="271">
        <f>'Measure Tables'!T41</f>
        <v>3.1018022895685688</v>
      </c>
      <c r="D207" s="273">
        <f>'Measure Tables'!U41</f>
        <v>0</v>
      </c>
      <c r="E207" s="285">
        <v>2</v>
      </c>
    </row>
    <row r="208" spans="1:5">
      <c r="A208" s="101" t="str">
        <f>'Measure Tables'!A46</f>
        <v>BNI - Efficient Product Rebates; Refrigerated Vending Machine Controller; COM-Refrigeration; Office</v>
      </c>
      <c r="B208" s="271">
        <f>'Measure Tables'!P46</f>
        <v>3.1077078969344125</v>
      </c>
      <c r="C208" s="271">
        <f>'Measure Tables'!T46</f>
        <v>3.1077078969344125</v>
      </c>
      <c r="D208" s="273">
        <f>'Measure Tables'!U46</f>
        <v>0</v>
      </c>
      <c r="E208" s="285">
        <v>2</v>
      </c>
    </row>
    <row r="209" spans="1:12">
      <c r="A209" s="101" t="str">
        <f>'Measure Tables'!A47</f>
        <v>BNI - Efficient Product Rebates; Refrigerated Vending Machine Controller; COM-Refrigeration; Other Commercial</v>
      </c>
      <c r="B209" s="271">
        <f>'Measure Tables'!P47</f>
        <v>3.1077078969344125</v>
      </c>
      <c r="C209" s="271">
        <f>'Measure Tables'!T47</f>
        <v>3.1077078969344125</v>
      </c>
      <c r="D209" s="273">
        <f>'Measure Tables'!U47</f>
        <v>0</v>
      </c>
      <c r="E209" s="285">
        <v>2</v>
      </c>
    </row>
    <row r="210" spans="1:12">
      <c r="A210" s="101" t="str">
        <f>'Measure Tables'!A48</f>
        <v>BNI - Efficient Product Rebates; Refrigerated Vending Machine Controller; COM-Refrigeration; Retail</v>
      </c>
      <c r="B210" s="271">
        <f>'Measure Tables'!P48</f>
        <v>3.1349491348782341</v>
      </c>
      <c r="C210" s="271">
        <f>'Measure Tables'!T48</f>
        <v>3.1349491348782341</v>
      </c>
      <c r="D210" s="273">
        <f>'Measure Tables'!U48</f>
        <v>0</v>
      </c>
      <c r="E210" s="285">
        <v>2</v>
      </c>
      <c r="L210" s="331"/>
    </row>
    <row r="211" spans="1:12">
      <c r="A211" s="101" t="str">
        <f>'Measure Tables'!A45</f>
        <v>BNI - Efficient Product Rebates; Intelligent (Electronic) Defrost Control For Walk-In Freezers; COM-Refrigeration; School</v>
      </c>
      <c r="B211" s="271">
        <f>'Measure Tables'!P45</f>
        <v>3.1952602029275119</v>
      </c>
      <c r="C211" s="271">
        <f>'Measure Tables'!T45</f>
        <v>3.1952602029275119</v>
      </c>
      <c r="D211" s="273">
        <f>'Measure Tables'!U45</f>
        <v>0</v>
      </c>
      <c r="E211" s="285">
        <v>2</v>
      </c>
    </row>
    <row r="212" spans="1:12">
      <c r="A212" s="101" t="str">
        <f>'Measure Tables'!A43</f>
        <v>BNI - Efficient Product Rebates; Intelligent (Electronic) Defrost Control For Walk-In Freezers; COM-Refrigeration; Other Commercial</v>
      </c>
      <c r="B212" s="271">
        <f>'Measure Tables'!P43</f>
        <v>3.2595990944100852</v>
      </c>
      <c r="C212" s="271">
        <f>'Measure Tables'!T43</f>
        <v>3.2595990944100852</v>
      </c>
      <c r="D212" s="273">
        <f>'Measure Tables'!U43</f>
        <v>0</v>
      </c>
      <c r="E212" s="285">
        <v>2</v>
      </c>
    </row>
    <row r="213" spans="1:12">
      <c r="A213" s="101" t="str">
        <f>'Measure Tables'!A44</f>
        <v>BNI - Efficient Product Rebates; Intelligent (Electronic) Defrost Control For Walk-In Freezers; COM-Refrigeration; Retail</v>
      </c>
      <c r="B213" s="271">
        <f>'Measure Tables'!P44</f>
        <v>3.2897449598810176</v>
      </c>
      <c r="C213" s="271">
        <f>'Measure Tables'!T44</f>
        <v>3.2897449598810176</v>
      </c>
      <c r="D213" s="273">
        <f>'Measure Tables'!U44</f>
        <v>0</v>
      </c>
      <c r="E213" s="285">
        <v>2</v>
      </c>
    </row>
    <row r="214" spans="1:12">
      <c r="A214" s="101" t="str">
        <f>'Measure Tables'!A142</f>
        <v>BNI - Efficient Product Rebates; Heat Reclaimer Unit; COM-Other; Other Commercial</v>
      </c>
      <c r="B214" s="271">
        <f>'Measure Tables'!P142</f>
        <v>3.4925087101467152</v>
      </c>
      <c r="C214" s="271">
        <f>'Measure Tables'!T142</f>
        <v>3.4925087101467152</v>
      </c>
      <c r="D214" s="273">
        <f>'Measure Tables'!U142</f>
        <v>0</v>
      </c>
      <c r="E214" s="285">
        <v>2</v>
      </c>
    </row>
    <row r="215" spans="1:12">
      <c r="A215" s="101" t="str">
        <f>'Measure Tables'!A153</f>
        <v>BNI- Direct Installation; Humidity-Based Door Heater Controls for Reach-In Coolers and Freezers-BES; COM-Refrigeration; Other Commercial</v>
      </c>
      <c r="B215" s="271">
        <f>'Measure Tables'!P153</f>
        <v>3.6758168826803108</v>
      </c>
      <c r="C215" s="271">
        <f>'Measure Tables'!T153</f>
        <v>3.6758168826803108</v>
      </c>
      <c r="D215" s="273">
        <f>'Measure Tables'!U153</f>
        <v>0</v>
      </c>
      <c r="E215" s="285">
        <v>2</v>
      </c>
    </row>
    <row r="216" spans="1:12">
      <c r="A216" s="101" t="str">
        <f>'Measure Tables'!A154</f>
        <v>BNI- Direct Installation; Humidity-Based Door Heater Controls for Reach-In Coolers and Freezers-BES; COM-Refrigeration; Retail</v>
      </c>
      <c r="B216" s="271">
        <f>'Measure Tables'!P154</f>
        <v>3.7098120698280472</v>
      </c>
      <c r="C216" s="271">
        <f>'Measure Tables'!T154</f>
        <v>3.7098120698280472</v>
      </c>
      <c r="D216" s="273">
        <f>'Measure Tables'!U154</f>
        <v>0</v>
      </c>
      <c r="E216" s="285">
        <v>2</v>
      </c>
    </row>
    <row r="217" spans="1:12">
      <c r="A217" s="101" t="str">
        <f>'Measure Tables'!A140</f>
        <v>BNI - Efficient Product Rebates; Double Heat Pad; COM-Other; Other Commercial</v>
      </c>
      <c r="B217" s="271">
        <f>'Measure Tables'!P140</f>
        <v>3.8631457542605285</v>
      </c>
      <c r="C217" s="271">
        <f>'Measure Tables'!T140</f>
        <v>3.8631457542605285</v>
      </c>
      <c r="D217" s="273">
        <f>'Measure Tables'!U140</f>
        <v>0</v>
      </c>
      <c r="E217" s="285">
        <v>2</v>
      </c>
    </row>
    <row r="218" spans="1:12">
      <c r="A218" s="101" t="str">
        <f>'Measure Tables'!A58</f>
        <v>BNI - Efficient Product Rebates; Variable Frequency Drives; COM-Motors; Retail</v>
      </c>
      <c r="B218" s="271">
        <f>'Measure Tables'!P58</f>
        <v>3.8938860915995486</v>
      </c>
      <c r="C218" s="271">
        <f>'Measure Tables'!T58</f>
        <v>3.8938860915995486</v>
      </c>
      <c r="D218" s="273">
        <f>'Measure Tables'!U58</f>
        <v>0</v>
      </c>
      <c r="E218" s="285">
        <v>2</v>
      </c>
    </row>
    <row r="219" spans="1:12">
      <c r="A219" s="101" t="str">
        <f>'Measure Tables'!A126</f>
        <v>BNI - Efficient Product Rebates; Variable Speed Drive Screw Compressors (10 - 40 hp); COM-Process; Other Commercial</v>
      </c>
      <c r="B219" s="271">
        <f>'Measure Tables'!P126</f>
        <v>3.9503412300920369</v>
      </c>
      <c r="C219" s="271">
        <f>'Measure Tables'!T126</f>
        <v>3.9503412300920369</v>
      </c>
      <c r="D219" s="273">
        <f>'Measure Tables'!U126</f>
        <v>0</v>
      </c>
      <c r="E219" s="285">
        <v>2</v>
      </c>
    </row>
    <row r="220" spans="1:12">
      <c r="A220" s="101" t="str">
        <f>'Measure Tables'!A59</f>
        <v>BNI - Efficient Product Rebates; Variable Frequency Drives; COM-Motors; School</v>
      </c>
      <c r="B220" s="271">
        <f>'Measure Tables'!P59</f>
        <v>4.0017748784032516</v>
      </c>
      <c r="C220" s="271">
        <f>'Measure Tables'!T59</f>
        <v>4.0017748784032516</v>
      </c>
      <c r="D220" s="273">
        <f>'Measure Tables'!U59</f>
        <v>0</v>
      </c>
      <c r="E220" s="285">
        <v>2</v>
      </c>
    </row>
    <row r="221" spans="1:12">
      <c r="A221" s="101" t="str">
        <f>'Measure Tables'!A138</f>
        <v>BNI - Efficient Product Rebates; Zero-Energy Livestock Waterers; COM-Other; Other Commercial</v>
      </c>
      <c r="B221" s="271">
        <f>'Measure Tables'!P138</f>
        <v>4.0356654146487489</v>
      </c>
      <c r="C221" s="271">
        <f>'Measure Tables'!T138</f>
        <v>4.0356654146487489</v>
      </c>
      <c r="D221" s="273">
        <f>'Measure Tables'!U138</f>
        <v>0</v>
      </c>
      <c r="E221" s="285">
        <v>2</v>
      </c>
    </row>
    <row r="222" spans="1:12">
      <c r="A222" s="101" t="str">
        <f>'Measure Tables'!A131</f>
        <v>BNI - Efficient Product Rebates; Air Tanks for Load / No-Load Screw Compressors (10 – 40 hp); COM-Process; Other Commercial</v>
      </c>
      <c r="B222" s="271">
        <f>'Measure Tables'!P131</f>
        <v>4.0927165520587838</v>
      </c>
      <c r="C222" s="271">
        <f>'Measure Tables'!T131</f>
        <v>4.0927165520587838</v>
      </c>
      <c r="D222" s="273">
        <f>'Measure Tables'!U131</f>
        <v>0</v>
      </c>
      <c r="E222" s="285">
        <v>2</v>
      </c>
    </row>
    <row r="223" spans="1:12">
      <c r="A223" s="101" t="str">
        <f>'Measure Tables'!A56</f>
        <v>BNI - Efficient Product Rebates; Variable Frequency Drives; COM-Motors; Office</v>
      </c>
      <c r="B223" s="271">
        <f>'Measure Tables'!P56</f>
        <v>4.1686892583393647</v>
      </c>
      <c r="C223" s="271">
        <f>'Measure Tables'!T56</f>
        <v>4.1686892583393647</v>
      </c>
      <c r="D223" s="273">
        <f>'Measure Tables'!U56</f>
        <v>0</v>
      </c>
      <c r="E223" s="285">
        <v>2</v>
      </c>
    </row>
    <row r="224" spans="1:12">
      <c r="A224" s="101" t="str">
        <f>'Measure Tables'!A128</f>
        <v>BNI - Efficient Product Rebates; Air-Entraining Air Nozzles (up to 14CFM at 100 psi); COM-Process; School</v>
      </c>
      <c r="B224" s="271">
        <f>'Measure Tables'!P128</f>
        <v>4.1879484619140834</v>
      </c>
      <c r="C224" s="271">
        <f>'Measure Tables'!T128</f>
        <v>4.1879484619140834</v>
      </c>
      <c r="D224" s="273">
        <f>'Measure Tables'!U128</f>
        <v>0</v>
      </c>
      <c r="E224" s="285">
        <v>2</v>
      </c>
    </row>
    <row r="225" spans="1:5">
      <c r="A225" s="101" t="str">
        <f>'Measure Tables'!A57</f>
        <v>BNI - Efficient Product Rebates; Variable Frequency Drives; COM-Motors; Other Commercial</v>
      </c>
      <c r="B225" s="271">
        <f>'Measure Tables'!P57</f>
        <v>4.2776112798980721</v>
      </c>
      <c r="C225" s="271">
        <f>'Measure Tables'!T57</f>
        <v>4.2776112798980721</v>
      </c>
      <c r="D225" s="273">
        <f>'Measure Tables'!U57</f>
        <v>0</v>
      </c>
      <c r="E225" s="285">
        <v>2</v>
      </c>
    </row>
    <row r="226" spans="1:5">
      <c r="A226" s="101" t="str">
        <f>'Measure Tables'!A129</f>
        <v>BNI - Efficient Product Rebates; No-Loss Drains (Timed drains are not eligible); COM-Process; School</v>
      </c>
      <c r="B226" s="271">
        <f>'Measure Tables'!P129</f>
        <v>4.7743137872511001</v>
      </c>
      <c r="C226" s="271">
        <f>'Measure Tables'!T129</f>
        <v>4.7743137872511001</v>
      </c>
      <c r="D226" s="273">
        <f>'Measure Tables'!U129</f>
        <v>0</v>
      </c>
      <c r="E226" s="285">
        <v>2</v>
      </c>
    </row>
    <row r="227" spans="1:5">
      <c r="A227" s="101" t="str">
        <f>'Measure Tables'!A266</f>
        <v>Existing Residential; Advanced Power Strip (load sensing or remote control/wireless APS); RES-Plug Load; MURB</v>
      </c>
      <c r="B227" s="271">
        <f>'Measure Tables'!P266</f>
        <v>4.8146892356973705</v>
      </c>
      <c r="C227" s="271">
        <f>'Measure Tables'!T266</f>
        <v>4.8146892356973705</v>
      </c>
      <c r="D227" s="273">
        <f>'Measure Tables'!U266</f>
        <v>0</v>
      </c>
      <c r="E227" s="285">
        <v>2</v>
      </c>
    </row>
    <row r="228" spans="1:5">
      <c r="A228" s="101" t="str">
        <f>'Measure Tables'!A14</f>
        <v>BNI - Efficient Product Rebates; Full Size Commercial Hot Food Holding Cabinet; COM-Other; Retail</v>
      </c>
      <c r="B228" s="271">
        <f>'Measure Tables'!P14</f>
        <v>4.8590592586241375</v>
      </c>
      <c r="C228" s="271">
        <f>'Measure Tables'!T14</f>
        <v>4.8590592586241375</v>
      </c>
      <c r="D228" s="273">
        <f>'Measure Tables'!U14</f>
        <v>0</v>
      </c>
      <c r="E228" s="285">
        <v>2</v>
      </c>
    </row>
    <row r="229" spans="1:5">
      <c r="A229" s="101" t="str">
        <f>'Measure Tables'!A122</f>
        <v xml:space="preserve">BNI - Efficient Product Rebates; Cycling Refrigerated Air Dryers (≤ 300 CFM capacity); IND; Industrial </v>
      </c>
      <c r="B229" s="271">
        <f>'Measure Tables'!P122</f>
        <v>4.8612234502198906</v>
      </c>
      <c r="C229" s="271">
        <f>'Measure Tables'!T122</f>
        <v>4.8612234502198906</v>
      </c>
      <c r="D229" s="273">
        <f>'Measure Tables'!U122</f>
        <v>0</v>
      </c>
      <c r="E229" s="285">
        <v>2</v>
      </c>
    </row>
    <row r="230" spans="1:5">
      <c r="A230" s="101" t="str">
        <f>'Measure Tables'!A264</f>
        <v>Existing Residential; Embertec Power Strip; RES-Plug Load; RES-SF</v>
      </c>
      <c r="B230" s="271">
        <f>'Measure Tables'!P264</f>
        <v>4.8871523172826956</v>
      </c>
      <c r="C230" s="271">
        <f>'Measure Tables'!T264</f>
        <v>4.8871523172826956</v>
      </c>
      <c r="D230" s="273">
        <f>'Measure Tables'!U264</f>
        <v>0</v>
      </c>
      <c r="E230" s="285">
        <v>2</v>
      </c>
    </row>
    <row r="231" spans="1:5">
      <c r="A231" s="101" t="str">
        <f>'Measure Tables'!A227</f>
        <v>Residential - Efficient Product Rebates; Dehumidifier (Retirement); RES-Appliance; RES-SF</v>
      </c>
      <c r="B231" s="271">
        <f>'Measure Tables'!P227</f>
        <v>5.1193233089433292</v>
      </c>
      <c r="C231" s="271">
        <f>'Measure Tables'!T227</f>
        <v>5.1193233089433292</v>
      </c>
      <c r="D231" s="273">
        <f>'Measure Tables'!U227</f>
        <v>0</v>
      </c>
      <c r="E231" s="285">
        <v>2</v>
      </c>
    </row>
    <row r="232" spans="1:5">
      <c r="A232" s="101" t="str">
        <f>'Measure Tables'!A139</f>
        <v>BNI - Efficient Product Rebates; Single Heat Pad; COM-Other; Other Commercial</v>
      </c>
      <c r="B232" s="271">
        <f>'Measure Tables'!P139</f>
        <v>5.1828336538090118</v>
      </c>
      <c r="C232" s="271">
        <f>'Measure Tables'!T139</f>
        <v>5.1828336538090118</v>
      </c>
      <c r="D232" s="273">
        <f>'Measure Tables'!U139</f>
        <v>0</v>
      </c>
      <c r="E232" s="285">
        <v>2</v>
      </c>
    </row>
    <row r="233" spans="1:5">
      <c r="A233" s="101" t="str">
        <f>'Measure Tables'!A36</f>
        <v>BNI - Efficient Product Rebates; Humidity-Based Door Heater Controls for Reach-In Coolers and Freezers; COM-Refrigeration; School</v>
      </c>
      <c r="B233" s="271">
        <f>'Measure Tables'!P36</f>
        <v>5.357646650448336</v>
      </c>
      <c r="C233" s="271">
        <f>'Measure Tables'!T36</f>
        <v>5.357646650448336</v>
      </c>
      <c r="D233" s="273">
        <f>'Measure Tables'!U36</f>
        <v>0</v>
      </c>
      <c r="E233" s="285">
        <v>2</v>
      </c>
    </row>
    <row r="234" spans="1:5">
      <c r="A234" s="101" t="str">
        <f>'Measure Tables'!A34</f>
        <v>BNI - Efficient Product Rebates; Humidity-Based Door Heater Controls for Reach-In Coolers and Freezers; COM-Refrigeration; Other Commercial</v>
      </c>
      <c r="B234" s="271">
        <f>'Measure Tables'!P34</f>
        <v>5.4655267680454402</v>
      </c>
      <c r="C234" s="271">
        <f>'Measure Tables'!T34</f>
        <v>5.4655267680454402</v>
      </c>
      <c r="D234" s="273">
        <f>'Measure Tables'!U34</f>
        <v>0</v>
      </c>
      <c r="E234" s="285">
        <v>2</v>
      </c>
    </row>
    <row r="235" spans="1:5">
      <c r="A235" s="101" t="str">
        <f>'Measure Tables'!A35</f>
        <v>BNI - Efficient Product Rebates; Humidity-Based Door Heater Controls for Reach-In Coolers and Freezers; COM-Refrigeration; Retail</v>
      </c>
      <c r="B235" s="271">
        <f>'Measure Tables'!P35</f>
        <v>5.5160737923588998</v>
      </c>
      <c r="C235" s="271">
        <f>'Measure Tables'!T35</f>
        <v>5.5160737923588998</v>
      </c>
      <c r="D235" s="273">
        <f>'Measure Tables'!U35</f>
        <v>0</v>
      </c>
      <c r="E235" s="285">
        <v>2</v>
      </c>
    </row>
    <row r="236" spans="1:5">
      <c r="A236" s="101" t="str">
        <f>'Measure Tables'!A123</f>
        <v>BNI - Efficient Product Rebates; Cycling Refrigerated Air Dryers (≤ 300 CFM capacity); COM-Process; Other Commercial</v>
      </c>
      <c r="B236" s="271">
        <f>'Measure Tables'!P123</f>
        <v>6.7038661939833348</v>
      </c>
      <c r="C236" s="271">
        <f>'Measure Tables'!T123</f>
        <v>6.7038661939833348</v>
      </c>
      <c r="D236" s="273">
        <f>'Measure Tables'!U123</f>
        <v>0</v>
      </c>
      <c r="E236" s="285">
        <v>2</v>
      </c>
    </row>
    <row r="237" spans="1:5">
      <c r="A237" s="101" t="str">
        <f>'Measure Tables'!A143</f>
        <v>BNI - Efficient Product Rebates; VSD for Milk Vacuum Pump; COM-Other; Other Commercial</v>
      </c>
      <c r="B237" s="271">
        <f>'Measure Tables'!P143</f>
        <v>7.2373324462945643</v>
      </c>
      <c r="C237" s="271">
        <f>'Measure Tables'!T143</f>
        <v>7.2373324462945643</v>
      </c>
      <c r="D237" s="273">
        <f>'Measure Tables'!U143</f>
        <v>0</v>
      </c>
      <c r="E237" s="285">
        <v>2</v>
      </c>
    </row>
    <row r="238" spans="1:5">
      <c r="A238" s="101" t="str">
        <f>'Measure Tables'!A27</f>
        <v>BNI - Efficient Product Rebates; ENERGY STAR®, CEE Tier 2 or CEE Tier 3 Commercial Clothes Washer; COM-Other; Other Commercial</v>
      </c>
      <c r="B238" s="271">
        <f>'Measure Tables'!P27</f>
        <v>1.3353428138318306</v>
      </c>
      <c r="C238" s="271">
        <f>'Measure Tables'!T27</f>
        <v>1.2073781782098469</v>
      </c>
      <c r="D238" s="273">
        <f>'Measure Tables'!U27</f>
        <v>-9.5829051758464165E-2</v>
      </c>
      <c r="E238" s="285">
        <v>1</v>
      </c>
    </row>
  </sheetData>
  <sortState ref="A1:E238">
    <sortCondition descending="1" ref="D1:D23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M64"/>
  <sheetViews>
    <sheetView topLeftCell="A31" zoomScaleNormal="100" workbookViewId="0">
      <selection activeCell="I57" sqref="I57"/>
    </sheetView>
  </sheetViews>
  <sheetFormatPr defaultRowHeight="15"/>
  <cols>
    <col min="1" max="1" width="4" customWidth="1"/>
    <col min="2" max="2" width="74" bestFit="1" customWidth="1"/>
    <col min="3" max="3" width="19.7109375" bestFit="1" customWidth="1"/>
    <col min="4" max="4" width="18" bestFit="1" customWidth="1"/>
    <col min="5" max="5" width="17" customWidth="1"/>
    <col min="6" max="6" width="15.42578125" customWidth="1"/>
    <col min="7" max="7" width="16.140625" customWidth="1"/>
    <col min="8" max="8" width="17" customWidth="1"/>
    <col min="9" max="9" width="15.28515625" customWidth="1"/>
    <col min="10" max="10" width="10.7109375" customWidth="1"/>
    <col min="11" max="11" width="10.140625" customWidth="1"/>
  </cols>
  <sheetData>
    <row r="1" spans="2:11">
      <c r="C1" s="488" t="s">
        <v>213</v>
      </c>
      <c r="D1" s="488"/>
    </row>
    <row r="2" spans="2:11">
      <c r="B2" s="113" t="s">
        <v>202</v>
      </c>
      <c r="C2" s="114" t="s">
        <v>207</v>
      </c>
      <c r="D2" s="115" t="s">
        <v>206</v>
      </c>
      <c r="E2" s="169" t="s">
        <v>234</v>
      </c>
      <c r="F2" s="116" t="s">
        <v>214</v>
      </c>
      <c r="G2" s="116" t="s">
        <v>203</v>
      </c>
    </row>
    <row r="3" spans="2:11">
      <c r="C3" s="97"/>
      <c r="E3" t="s">
        <v>216</v>
      </c>
    </row>
    <row r="4" spans="2:11" s="101" customFormat="1" ht="6" customHeight="1" thickBot="1">
      <c r="B4" s="125"/>
      <c r="C4" s="117"/>
      <c r="D4" s="117"/>
      <c r="E4" s="126"/>
      <c r="F4" s="127"/>
    </row>
    <row r="5" spans="2:11">
      <c r="B5" s="120" t="s">
        <v>208</v>
      </c>
      <c r="C5" s="121">
        <f>(15.1*1.017)*H18</f>
        <v>19.349441999999996</v>
      </c>
      <c r="D5" s="129"/>
      <c r="E5" s="118"/>
      <c r="F5" s="122">
        <v>42491</v>
      </c>
      <c r="G5" s="111" t="s">
        <v>221</v>
      </c>
    </row>
    <row r="6" spans="2:11" ht="15.75" thickBot="1">
      <c r="B6" s="123" t="s">
        <v>204</v>
      </c>
      <c r="C6" s="124"/>
      <c r="D6" s="130">
        <v>20.27</v>
      </c>
      <c r="E6" s="171">
        <f>(D6-C5)/C5</f>
        <v>4.7575428790143072E-2</v>
      </c>
      <c r="F6" s="122">
        <v>42856</v>
      </c>
      <c r="G6" s="111" t="s">
        <v>215</v>
      </c>
    </row>
    <row r="7" spans="2:11" s="101" customFormat="1" ht="15.75" thickBot="1">
      <c r="B7" s="119"/>
      <c r="C7" s="118"/>
      <c r="D7" s="118"/>
      <c r="E7" s="118"/>
      <c r="F7" s="128"/>
      <c r="G7" s="127"/>
    </row>
    <row r="8" spans="2:11">
      <c r="B8" s="120" t="s">
        <v>209</v>
      </c>
      <c r="C8" s="121">
        <f>(20.8*1.017)*H18</f>
        <v>26.653535999999995</v>
      </c>
      <c r="D8" s="129"/>
      <c r="E8" s="118"/>
      <c r="F8" s="122">
        <v>42491</v>
      </c>
      <c r="G8" s="111" t="s">
        <v>221</v>
      </c>
    </row>
    <row r="9" spans="2:11" ht="15.75" thickBot="1">
      <c r="B9" s="123" t="s">
        <v>205</v>
      </c>
      <c r="C9" s="124"/>
      <c r="D9" s="130">
        <v>28.93</v>
      </c>
      <c r="E9" s="171">
        <f>(D9-C8)/C8</f>
        <v>8.540945561594547E-2</v>
      </c>
      <c r="F9" s="122">
        <v>42856</v>
      </c>
      <c r="G9" s="111" t="s">
        <v>215</v>
      </c>
    </row>
    <row r="10" spans="2:11">
      <c r="C10" s="97"/>
      <c r="D10" s="97"/>
    </row>
    <row r="11" spans="2:11">
      <c r="C11" s="169" t="s">
        <v>248</v>
      </c>
      <c r="D11" s="169"/>
      <c r="E11" s="169"/>
      <c r="F11" s="169"/>
    </row>
    <row r="12" spans="2:11" ht="15.75" thickBot="1">
      <c r="C12" s="131"/>
      <c r="D12" s="131"/>
      <c r="E12" s="131"/>
      <c r="F12" s="131"/>
    </row>
    <row r="13" spans="2:11">
      <c r="B13" s="120" t="s">
        <v>292</v>
      </c>
      <c r="C13" s="202">
        <f>11*H18</f>
        <v>13.86</v>
      </c>
      <c r="D13" s="203"/>
      <c r="E13" s="204"/>
      <c r="F13" s="131"/>
    </row>
    <row r="14" spans="2:11" ht="15.75" thickBot="1">
      <c r="B14" s="123" t="s">
        <v>293</v>
      </c>
      <c r="C14" s="205"/>
      <c r="D14" s="206">
        <v>10.85</v>
      </c>
      <c r="E14" s="207" t="s">
        <v>294</v>
      </c>
      <c r="F14" s="131"/>
    </row>
    <row r="15" spans="2:11" ht="15.75" thickBot="1">
      <c r="C15" s="131"/>
      <c r="D15" s="131"/>
      <c r="E15" s="131"/>
      <c r="F15" s="131"/>
      <c r="J15" s="240">
        <v>1.2609999999999999</v>
      </c>
      <c r="K15" t="s">
        <v>328</v>
      </c>
    </row>
    <row r="16" spans="2:11" ht="15.75" thickBot="1">
      <c r="J16">
        <v>1.236</v>
      </c>
      <c r="K16" t="s">
        <v>327</v>
      </c>
    </row>
    <row r="17" spans="2:12" ht="15.75" thickBot="1">
      <c r="H17" s="133" t="s">
        <v>210</v>
      </c>
      <c r="I17" s="144"/>
      <c r="J17">
        <v>1.286</v>
      </c>
      <c r="K17" t="s">
        <v>324</v>
      </c>
    </row>
    <row r="18" spans="2:12" ht="15.75" thickBot="1">
      <c r="H18" s="112">
        <v>1.26</v>
      </c>
      <c r="I18" s="145" t="s">
        <v>211</v>
      </c>
      <c r="J18">
        <v>1.282</v>
      </c>
      <c r="K18" t="s">
        <v>323</v>
      </c>
    </row>
    <row r="19" spans="2:12">
      <c r="C19" s="488" t="s">
        <v>220</v>
      </c>
      <c r="D19" s="488"/>
      <c r="H19" s="111" t="s">
        <v>212</v>
      </c>
    </row>
    <row r="20" spans="2:12">
      <c r="B20" s="113" t="s">
        <v>217</v>
      </c>
      <c r="C20" s="114" t="s">
        <v>207</v>
      </c>
      <c r="D20" s="115" t="s">
        <v>206</v>
      </c>
    </row>
    <row r="21" spans="2:12" ht="15.75" thickBot="1">
      <c r="B21" s="131"/>
      <c r="C21" s="131" t="s">
        <v>222</v>
      </c>
      <c r="D21" s="132">
        <v>42972</v>
      </c>
      <c r="E21" s="170" t="s">
        <v>233</v>
      </c>
    </row>
    <row r="22" spans="2:12">
      <c r="B22" s="133" t="s">
        <v>218</v>
      </c>
      <c r="C22" s="135">
        <f>(2.342*0.264172)*H18</f>
        <v>0.77955043824000014</v>
      </c>
      <c r="D22" s="137">
        <f>((105.9+108.1)/2)/100</f>
        <v>1.07</v>
      </c>
      <c r="E22" s="146">
        <f>(D22-C22)/C22</f>
        <v>0.37258597713799146</v>
      </c>
      <c r="F22" s="111" t="s">
        <v>223</v>
      </c>
    </row>
    <row r="23" spans="2:12" ht="15.75" thickBot="1">
      <c r="B23" s="134" t="s">
        <v>219</v>
      </c>
      <c r="C23" s="136">
        <f>(2.546*0.264172)*H18</f>
        <v>0.84745320912</v>
      </c>
      <c r="D23" s="138">
        <f>((97.2+99.4)/2)/100</f>
        <v>0.9830000000000001</v>
      </c>
      <c r="E23" s="146">
        <f>(D23-C23)/C23</f>
        <v>0.15994604707527466</v>
      </c>
      <c r="F23" s="111" t="s">
        <v>224</v>
      </c>
    </row>
    <row r="24" spans="2:12">
      <c r="B24" s="99"/>
      <c r="C24" s="172"/>
      <c r="D24" s="119"/>
      <c r="E24" s="173"/>
      <c r="F24" s="111"/>
    </row>
    <row r="25" spans="2:12">
      <c r="B25" s="99"/>
      <c r="C25" s="174" t="s">
        <v>249</v>
      </c>
      <c r="D25" s="175"/>
      <c r="E25" s="146"/>
      <c r="F25" s="111"/>
    </row>
    <row r="26" spans="2:12">
      <c r="B26" s="99"/>
      <c r="C26" s="172"/>
      <c r="D26" s="119"/>
      <c r="E26" s="173"/>
      <c r="F26" s="111"/>
    </row>
    <row r="27" spans="2:12">
      <c r="B27" s="99"/>
      <c r="C27" s="172"/>
      <c r="D27" s="119"/>
      <c r="E27" s="173"/>
      <c r="F27" s="111"/>
    </row>
    <row r="28" spans="2:12">
      <c r="B28" s="99"/>
      <c r="C28" s="172"/>
      <c r="D28" s="119"/>
      <c r="E28" s="173"/>
      <c r="F28" s="111"/>
    </row>
    <row r="30" spans="2:12" ht="15.75" thickBot="1">
      <c r="D30" s="140" t="s">
        <v>225</v>
      </c>
      <c r="E30" s="140" t="s">
        <v>318</v>
      </c>
      <c r="I30" s="101"/>
    </row>
    <row r="31" spans="2:12">
      <c r="B31" s="217" t="s">
        <v>314</v>
      </c>
      <c r="C31" s="218"/>
      <c r="D31" s="219" t="s">
        <v>207</v>
      </c>
      <c r="E31" s="220" t="s">
        <v>206</v>
      </c>
      <c r="F31" s="491" t="s">
        <v>314</v>
      </c>
      <c r="G31" s="491"/>
      <c r="H31" s="491"/>
      <c r="I31" s="148" t="s">
        <v>322</v>
      </c>
      <c r="J31" s="232">
        <f>E33/D33</f>
        <v>0.443283004258614</v>
      </c>
      <c r="L31" s="98">
        <f>(D33-E33)/E33</f>
        <v>1.2558951965065501</v>
      </c>
    </row>
    <row r="32" spans="2:12">
      <c r="B32" s="221"/>
      <c r="C32" s="119"/>
      <c r="D32" s="222"/>
      <c r="E32" s="223"/>
      <c r="F32" s="224"/>
      <c r="G32" s="224"/>
      <c r="H32" s="224"/>
      <c r="I32" s="99"/>
      <c r="J32" s="155"/>
    </row>
    <row r="33" spans="1:13" ht="15.75" thickBot="1">
      <c r="A33" s="101"/>
      <c r="B33" s="225" t="s">
        <v>315</v>
      </c>
      <c r="C33" s="226" t="s">
        <v>321</v>
      </c>
      <c r="D33" s="227">
        <f>410000*H18</f>
        <v>516600</v>
      </c>
      <c r="E33" s="227">
        <v>229000</v>
      </c>
      <c r="F33" s="227" t="s">
        <v>320</v>
      </c>
      <c r="G33" s="228" t="s">
        <v>319</v>
      </c>
      <c r="H33" s="228"/>
      <c r="I33" s="226"/>
      <c r="J33" s="229"/>
    </row>
    <row r="34" spans="1:13">
      <c r="B34" s="215"/>
      <c r="D34" s="139"/>
      <c r="E34" s="139">
        <v>465219</v>
      </c>
      <c r="F34" t="s">
        <v>309</v>
      </c>
      <c r="G34" s="111" t="s">
        <v>311</v>
      </c>
      <c r="J34" s="139"/>
    </row>
    <row r="35" spans="1:13" ht="15.75" thickBot="1">
      <c r="B35" s="214"/>
      <c r="D35" s="139"/>
      <c r="E35" s="139">
        <v>522083</v>
      </c>
      <c r="F35" t="s">
        <v>310</v>
      </c>
      <c r="G35" s="111" t="s">
        <v>311</v>
      </c>
      <c r="J35" s="139"/>
      <c r="M35" s="111"/>
    </row>
    <row r="36" spans="1:13" ht="15.75" thickBot="1">
      <c r="B36" s="111" t="s">
        <v>316</v>
      </c>
      <c r="C36" t="s">
        <v>317</v>
      </c>
      <c r="D36" s="216">
        <f>335000*H18</f>
        <v>422100</v>
      </c>
      <c r="E36" s="139">
        <v>306944</v>
      </c>
      <c r="F36" t="s">
        <v>312</v>
      </c>
      <c r="G36" s="111" t="s">
        <v>313</v>
      </c>
      <c r="J36" s="139"/>
    </row>
    <row r="37" spans="1:13">
      <c r="C37" s="139"/>
      <c r="H37" s="139"/>
    </row>
    <row r="38" spans="1:13">
      <c r="C38" s="139"/>
      <c r="H38" s="139"/>
    </row>
    <row r="39" spans="1:13">
      <c r="C39" s="139"/>
      <c r="H39" s="139"/>
    </row>
    <row r="40" spans="1:13">
      <c r="C40" s="139"/>
      <c r="H40" s="139"/>
    </row>
    <row r="41" spans="1:13">
      <c r="C41" s="139"/>
      <c r="H41" s="139"/>
    </row>
    <row r="42" spans="1:13">
      <c r="C42" s="139"/>
      <c r="H42" s="139"/>
    </row>
    <row r="43" spans="1:13">
      <c r="C43" s="139"/>
      <c r="H43" s="139"/>
    </row>
    <row r="44" spans="1:13">
      <c r="H44" s="139"/>
    </row>
    <row r="45" spans="1:13">
      <c r="H45" s="139"/>
    </row>
    <row r="46" spans="1:13" ht="15.75" thickBot="1">
      <c r="H46" s="139"/>
    </row>
    <row r="47" spans="1:13">
      <c r="B47" s="489" t="s">
        <v>196</v>
      </c>
      <c r="C47" s="490"/>
      <c r="D47" s="490"/>
      <c r="E47" s="490"/>
      <c r="F47" s="490"/>
      <c r="G47" s="148"/>
      <c r="H47" s="148"/>
      <c r="I47" s="148"/>
      <c r="J47" s="148"/>
      <c r="K47" s="148"/>
      <c r="L47" s="144"/>
    </row>
    <row r="48" spans="1:13">
      <c r="B48" s="149" t="s">
        <v>230</v>
      </c>
      <c r="C48" s="141" t="s">
        <v>231</v>
      </c>
      <c r="D48" s="141" t="s">
        <v>226</v>
      </c>
      <c r="E48" s="142" t="s">
        <v>228</v>
      </c>
      <c r="F48" s="143" t="s">
        <v>232</v>
      </c>
      <c r="G48" s="142" t="s">
        <v>229</v>
      </c>
      <c r="H48" s="142" t="s">
        <v>227</v>
      </c>
      <c r="I48" s="99"/>
      <c r="J48" s="147" t="s">
        <v>242</v>
      </c>
      <c r="K48" s="147" t="s">
        <v>243</v>
      </c>
      <c r="L48" s="150" t="s">
        <v>244</v>
      </c>
    </row>
    <row r="49" spans="2:12">
      <c r="B49" s="151" t="s">
        <v>238</v>
      </c>
      <c r="C49" s="152">
        <v>3232</v>
      </c>
      <c r="D49" s="152">
        <v>2389</v>
      </c>
      <c r="E49" s="152">
        <v>2850</v>
      </c>
      <c r="F49" s="153">
        <v>3568</v>
      </c>
      <c r="G49" s="153">
        <v>2982</v>
      </c>
      <c r="H49" s="153">
        <v>3430</v>
      </c>
      <c r="I49" s="99"/>
      <c r="J49" s="154">
        <f>SUM(C49:E49)</f>
        <v>8471</v>
      </c>
      <c r="K49" s="154">
        <f>SUM(F49:H49)</f>
        <v>9980</v>
      </c>
      <c r="L49" s="155"/>
    </row>
    <row r="50" spans="2:12" ht="16.5" customHeight="1">
      <c r="B50" s="151" t="s">
        <v>239</v>
      </c>
      <c r="C50" s="152">
        <v>593</v>
      </c>
      <c r="D50" s="152">
        <v>844</v>
      </c>
      <c r="E50" s="152">
        <v>829</v>
      </c>
      <c r="F50" s="153">
        <v>355</v>
      </c>
      <c r="G50" s="153">
        <v>245</v>
      </c>
      <c r="H50" s="153">
        <v>389</v>
      </c>
      <c r="I50" s="99"/>
      <c r="J50" s="154">
        <f>SUM(C50:E50)</f>
        <v>2266</v>
      </c>
      <c r="K50" s="154">
        <f>SUM(F50:H50)</f>
        <v>989</v>
      </c>
      <c r="L50" s="155"/>
    </row>
    <row r="51" spans="2:12" ht="3.75" customHeight="1">
      <c r="B51" s="151"/>
      <c r="C51" s="156"/>
      <c r="D51" s="156"/>
      <c r="E51" s="156"/>
      <c r="F51" s="156"/>
      <c r="G51" s="156"/>
      <c r="H51" s="156"/>
      <c r="I51" s="99"/>
      <c r="J51" s="99"/>
      <c r="K51" s="99"/>
      <c r="L51" s="155"/>
    </row>
    <row r="52" spans="2:12">
      <c r="B52" s="151" t="s">
        <v>240</v>
      </c>
      <c r="C52" s="157">
        <v>7201</v>
      </c>
      <c r="D52" s="157">
        <v>5553</v>
      </c>
      <c r="E52" s="157">
        <v>6424</v>
      </c>
      <c r="F52" s="158">
        <v>7960</v>
      </c>
      <c r="G52" s="158">
        <v>6931</v>
      </c>
      <c r="H52" s="158">
        <v>7665</v>
      </c>
      <c r="I52" s="99"/>
      <c r="J52" s="159">
        <f>SUM(J49:J51)</f>
        <v>10737</v>
      </c>
      <c r="K52" s="159">
        <f>SUM(K49:K51)</f>
        <v>10969</v>
      </c>
      <c r="L52" s="160">
        <f>(K52-J52)/J52</f>
        <v>2.1607525379528734E-2</v>
      </c>
    </row>
    <row r="53" spans="2:12">
      <c r="B53" s="151" t="s">
        <v>241</v>
      </c>
      <c r="C53" s="157">
        <v>588</v>
      </c>
      <c r="D53" s="157">
        <v>904</v>
      </c>
      <c r="E53" s="157">
        <v>924</v>
      </c>
      <c r="F53" s="158">
        <v>281</v>
      </c>
      <c r="G53" s="158">
        <v>144</v>
      </c>
      <c r="H53" s="158">
        <v>328</v>
      </c>
      <c r="I53" s="99"/>
      <c r="J53" s="99"/>
      <c r="K53" s="99"/>
      <c r="L53" s="155"/>
    </row>
    <row r="54" spans="2:12" ht="5.25" customHeight="1">
      <c r="B54" s="161"/>
      <c r="C54" s="156"/>
      <c r="D54" s="99"/>
      <c r="E54" s="99"/>
      <c r="F54" s="99"/>
      <c r="G54" s="99"/>
      <c r="H54" s="99"/>
      <c r="I54" s="99"/>
      <c r="J54" s="99"/>
      <c r="K54" s="99"/>
      <c r="L54" s="155"/>
    </row>
    <row r="55" spans="2:12">
      <c r="B55" s="161" t="s">
        <v>235</v>
      </c>
      <c r="C55" s="156"/>
      <c r="D55" s="162">
        <f>(C49+D49+E49)/3</f>
        <v>2823.6666666666665</v>
      </c>
      <c r="E55" s="163"/>
      <c r="F55" s="163"/>
      <c r="G55" s="164">
        <f>(F49+G49+H49)/3</f>
        <v>3326.6666666666665</v>
      </c>
      <c r="H55" s="99"/>
      <c r="I55" s="159">
        <f>G55-D55</f>
        <v>503</v>
      </c>
      <c r="J55" s="99"/>
      <c r="K55" s="99"/>
      <c r="L55" s="155"/>
    </row>
    <row r="56" spans="2:12">
      <c r="B56" s="161" t="s">
        <v>236</v>
      </c>
      <c r="C56" s="163"/>
      <c r="D56" s="162">
        <f>(C50+D50+E50)/3</f>
        <v>755.33333333333337</v>
      </c>
      <c r="E56" s="163"/>
      <c r="F56" s="163"/>
      <c r="G56" s="164">
        <f>(F50+G50+H50)/3</f>
        <v>329.66666666666669</v>
      </c>
      <c r="H56" s="99"/>
      <c r="I56" s="154">
        <f>D56-G56</f>
        <v>425.66666666666669</v>
      </c>
      <c r="J56" s="99"/>
      <c r="K56" s="99"/>
      <c r="L56" s="155"/>
    </row>
    <row r="57" spans="2:12">
      <c r="B57" s="161"/>
      <c r="C57" s="163"/>
      <c r="D57" s="163"/>
      <c r="E57" s="163"/>
      <c r="F57" s="163"/>
      <c r="G57" s="163"/>
      <c r="H57" s="99"/>
      <c r="I57" s="99"/>
      <c r="J57" s="99"/>
      <c r="K57" s="99"/>
      <c r="L57" s="155"/>
    </row>
    <row r="58" spans="2:12">
      <c r="B58" s="161" t="s">
        <v>237</v>
      </c>
      <c r="C58" s="163"/>
      <c r="D58" s="162">
        <f>SUM(D55:D57)</f>
        <v>3579</v>
      </c>
      <c r="E58" s="163"/>
      <c r="F58" s="163"/>
      <c r="G58" s="164">
        <f>SUM(G55:G57)</f>
        <v>3656.333333333333</v>
      </c>
      <c r="H58" s="99"/>
      <c r="I58" s="99"/>
      <c r="J58" s="99"/>
      <c r="K58" s="99"/>
      <c r="L58" s="160">
        <f>(G58-D58)/D58</f>
        <v>2.1607525379528647E-2</v>
      </c>
    </row>
    <row r="59" spans="2:12">
      <c r="B59" s="161"/>
      <c r="C59" s="163"/>
      <c r="D59" s="99"/>
      <c r="E59" s="99"/>
      <c r="F59" s="99"/>
      <c r="G59" s="99"/>
      <c r="H59" s="99"/>
      <c r="I59" s="99"/>
      <c r="J59" s="99"/>
      <c r="K59" s="99"/>
      <c r="L59" s="155"/>
    </row>
    <row r="60" spans="2:12">
      <c r="B60" s="165"/>
      <c r="C60" s="176" t="s">
        <v>247</v>
      </c>
      <c r="D60" s="175"/>
      <c r="E60" s="175"/>
      <c r="F60" s="175"/>
      <c r="J60" s="99"/>
      <c r="K60" s="99"/>
      <c r="L60" s="155"/>
    </row>
    <row r="61" spans="2:12">
      <c r="B61" s="166" t="s">
        <v>245</v>
      </c>
      <c r="C61" s="154"/>
      <c r="D61" s="163"/>
      <c r="E61" s="167"/>
      <c r="F61" s="163"/>
      <c r="G61" s="163"/>
      <c r="H61" s="163"/>
      <c r="I61" s="99"/>
      <c r="J61" s="99"/>
      <c r="K61" s="99"/>
      <c r="L61" s="155"/>
    </row>
    <row r="62" spans="2:12">
      <c r="B62" s="165" t="s">
        <v>246</v>
      </c>
      <c r="C62" s="99"/>
      <c r="D62" s="99"/>
      <c r="E62" s="99"/>
      <c r="F62" s="99"/>
      <c r="G62" s="99"/>
      <c r="H62" s="99"/>
      <c r="I62" s="99"/>
      <c r="J62" s="99"/>
      <c r="K62" s="99"/>
      <c r="L62" s="155"/>
    </row>
    <row r="63" spans="2:12">
      <c r="B63" s="161" t="s">
        <v>250</v>
      </c>
      <c r="C63" s="99"/>
      <c r="D63" s="99"/>
      <c r="E63" s="99"/>
      <c r="F63" s="99"/>
      <c r="G63" s="99"/>
      <c r="H63" s="99"/>
      <c r="I63" s="99"/>
      <c r="J63" s="99"/>
      <c r="K63" s="99"/>
      <c r="L63" s="155"/>
    </row>
    <row r="64" spans="2:12" ht="15.75" thickBot="1">
      <c r="B64" s="134"/>
      <c r="C64" s="168"/>
      <c r="D64" s="168"/>
      <c r="E64" s="168"/>
      <c r="F64" s="168"/>
      <c r="G64" s="168"/>
      <c r="H64" s="168"/>
      <c r="I64" s="168"/>
      <c r="J64" s="168"/>
      <c r="K64" s="168"/>
      <c r="L64" s="145"/>
    </row>
  </sheetData>
  <mergeCells count="4">
    <mergeCell ref="C1:D1"/>
    <mergeCell ref="C19:D19"/>
    <mergeCell ref="B47:F47"/>
    <mergeCell ref="F31:H31"/>
  </mergeCells>
  <hyperlinks>
    <hyperlink ref="H19" display="https://www.google.com/search?q=exchange+rate+US+to+CAn&amp;rlz=1C1GGRV_enUS757US757&amp;oq=exchange+rate+US+to+CAn&amp;aqs=chrome..69i57j0l5.7647j0j8&amp;sourceid=chrome&amp;ie=UTF-8"/>
    <hyperlink ref="G9" display="http://www5.statcan.gc.ca/cansim/a26?lang=eng&amp;retrLang=eng&amp;id=2820151&amp;&amp;pattern=&amp;stByVal=1&amp;p1=1&amp;p2=37&amp;tabMode=dataTable&amp;csid="/>
    <hyperlink ref="G6" display="http://www5.statcan.gc.ca/cansim/a26?lang=eng&amp;retrLang=eng&amp;id=2820151&amp;&amp;pattern=&amp;stByVal=1&amp;p1=1&amp;p2=37&amp;tabMode=dataTable&amp;csid="/>
    <hyperlink ref="G5" display="https://www.bls.gov/OES/current/oes_ma.htm#49-0000"/>
    <hyperlink ref="G8" display="https://www.bls.gov/OES/current/oes_ma.htm#49-0000"/>
    <hyperlink ref="F22" display="http://www.mass.gov/eea/energy-utilities-clean-tech/home-auto-fuel-price-info/gasoline-and-diesel-fuel-prices.html"/>
    <hyperlink ref="F23" display="https://nsuarb.novascotia.ca/mandates/gasoline-diesel-pricing/gasoline-prices-zone-map"/>
    <hyperlink ref="G33" display="http://creastats.crea.ca/nsar/mls05_median.html"/>
    <hyperlink ref="G34" display="https://www03.cmhc-schl.gc.ca/hmiportal/en/#Profile/12/2/Nova%20Scotia"/>
    <hyperlink ref="G35" display="https://www03.cmhc-schl.gc.ca/hmiportal/en/#Profile/12/2/Nova%20Scotia"/>
    <hyperlink ref="G36" display="https://docs.rlpnetwork.com/rlp.ca/hps/HPS_Q1_2017_Price_Composite_EN.pdf"/>
    <hyperlink ref="B36" display="Average Home Prices and Value in Massachusetts"/>
    <hyperlink ref="B33" display="June 2017 Median Price"/>
  </hyperlink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BD239"/>
  <sheetViews>
    <sheetView workbookViewId="0">
      <selection activeCell="A29" sqref="A29"/>
    </sheetView>
  </sheetViews>
  <sheetFormatPr defaultColWidth="9.140625" defaultRowHeight="15"/>
  <cols>
    <col min="1" max="1" width="111" style="101" customWidth="1"/>
    <col min="2" max="2" width="9.140625" style="101"/>
    <col min="3" max="3" width="15.28515625" style="101" customWidth="1"/>
    <col min="4" max="4" width="16.28515625" style="101" customWidth="1"/>
    <col min="5" max="5" width="16.28515625" style="285" customWidth="1"/>
    <col min="6" max="54" width="9.140625" style="101"/>
    <col min="55" max="55" width="21.28515625" style="101" bestFit="1" customWidth="1"/>
    <col min="56" max="16384" width="9.140625" style="101"/>
  </cols>
  <sheetData>
    <row r="2" spans="1:56">
      <c r="A2" s="101" t="str">
        <f>'Measure Tables'!A281</f>
        <v>New Residential; Solar DHW; RES-Water Heat; RES-NC</v>
      </c>
      <c r="B2" s="271">
        <f>'Measure Tables'!P281</f>
        <v>0.28236775420255716</v>
      </c>
      <c r="C2" s="271">
        <f>'Measure Tables'!T281</f>
        <v>0.28236775420255716</v>
      </c>
      <c r="D2" s="273">
        <f>'Measure Tables'!U281</f>
        <v>0</v>
      </c>
      <c r="E2" s="285">
        <v>2</v>
      </c>
    </row>
    <row r="3" spans="1:56">
      <c r="A3" s="101" t="str">
        <f>'Measure Tables'!A258</f>
        <v>Existing Residential; Solar DHW; RES-Water Heat; RES-SF</v>
      </c>
      <c r="B3" s="271">
        <f>'Measure Tables'!P258</f>
        <v>0.28236775420255716</v>
      </c>
      <c r="C3" s="271">
        <f>'Measure Tables'!T258</f>
        <v>0.28436716001010987</v>
      </c>
      <c r="D3" s="273">
        <f>'Measure Tables'!U258</f>
        <v>7.080857420137367E-3</v>
      </c>
      <c r="E3" s="285">
        <v>3</v>
      </c>
      <c r="N3" s="101" t="s">
        <v>317</v>
      </c>
      <c r="O3" s="273">
        <f>AVERAGE(D2:D239)</f>
        <v>0.31160265500222123</v>
      </c>
      <c r="BC3" s="101" t="s">
        <v>352</v>
      </c>
    </row>
    <row r="4" spans="1:56">
      <c r="A4" s="101" t="str">
        <f>'Measure Tables'!A259</f>
        <v>Existing Residential; Solar Space and Water Heat (Supplement Electricity); RES-Package; RES-SF</v>
      </c>
      <c r="B4" s="271">
        <f>'Measure Tables'!P259</f>
        <v>0.36588995382318629</v>
      </c>
      <c r="C4" s="271">
        <f>'Measure Tables'!T259</f>
        <v>0.36588995382318629</v>
      </c>
      <c r="D4" s="273">
        <f>'Measure Tables'!U259</f>
        <v>0</v>
      </c>
      <c r="E4" s="285">
        <v>2</v>
      </c>
      <c r="N4" s="101" t="s">
        <v>318</v>
      </c>
      <c r="O4" s="273">
        <f>MEDIAN(D2:D239)</f>
        <v>0.195151538000054</v>
      </c>
      <c r="V4" s="101" t="s">
        <v>349</v>
      </c>
      <c r="W4" s="101">
        <f>COUNTIF(D2:D239,0)</f>
        <v>85</v>
      </c>
      <c r="X4" s="101">
        <f>W4/SUM(W4:W5)</f>
        <v>0.35714285714285715</v>
      </c>
      <c r="BB4" s="101">
        <v>1</v>
      </c>
      <c r="BC4" s="101" t="str">
        <f>"&gt; -10% and &lt; 0%"</f>
        <v>&gt; -10% and &lt; 0%</v>
      </c>
      <c r="BD4" s="101">
        <f>COUNTIF($E$2:$E$239,BB4)</f>
        <v>1</v>
      </c>
    </row>
    <row r="5" spans="1:56">
      <c r="A5" s="101" t="str">
        <f>'Measure Tables'!A263</f>
        <v>Existing Residential; ENERGY STAR® Door; RES-HVAC/Shell; RES-SF</v>
      </c>
      <c r="B5" s="271">
        <f>'Measure Tables'!P263</f>
        <v>0.38804570379615538</v>
      </c>
      <c r="C5" s="271">
        <f>'Measure Tables'!T263</f>
        <v>0.38804570379615538</v>
      </c>
      <c r="D5" s="273">
        <f>'Measure Tables'!U263</f>
        <v>0</v>
      </c>
      <c r="E5" s="285">
        <v>2</v>
      </c>
      <c r="V5" s="101" t="s">
        <v>348</v>
      </c>
      <c r="W5" s="274">
        <f>COUNT(D2:D239)-W4</f>
        <v>153</v>
      </c>
      <c r="BB5" s="101">
        <v>2</v>
      </c>
      <c r="BC5" s="272" t="str">
        <f>"0%"</f>
        <v>0%</v>
      </c>
      <c r="BD5" s="101">
        <f t="shared" ref="BD5:BD15" si="0">COUNTIF($E$2:$E$239,BB5)</f>
        <v>82</v>
      </c>
    </row>
    <row r="6" spans="1:56">
      <c r="A6" s="101" t="str">
        <f>'Measure Tables'!A282</f>
        <v>New Residential; Solar Space and Water Heat (Supplement Electricity); RES-Package; RES-NC</v>
      </c>
      <c r="B6" s="271">
        <f>'Measure Tables'!P282</f>
        <v>0.39649176198217667</v>
      </c>
      <c r="C6" s="271">
        <f>'Measure Tables'!T282</f>
        <v>0.39649176198217667</v>
      </c>
      <c r="D6" s="273">
        <f>'Measure Tables'!U282</f>
        <v>0</v>
      </c>
      <c r="E6" s="285">
        <v>2</v>
      </c>
      <c r="BB6" s="101">
        <v>3</v>
      </c>
      <c r="BC6" s="101" t="str">
        <f>"&gt; 0% and 10%"</f>
        <v>&gt; 0% and 10%</v>
      </c>
      <c r="BD6" s="101">
        <f t="shared" si="0"/>
        <v>27</v>
      </c>
    </row>
    <row r="7" spans="1:56">
      <c r="A7" s="101" t="str">
        <f>'Measure Tables'!A60</f>
        <v>BNI - Efficient Product Rebates; Fluorescent T5 and HPT8 Fixtures (4 FT) lamps-Retrofit (dual baseline); COM-Lighting; Other Commercial</v>
      </c>
      <c r="B7" s="271">
        <f>'Measure Tables'!P60</f>
        <v>0.29924685062284234</v>
      </c>
      <c r="C7" s="271">
        <f>'Measure Tables'!T60</f>
        <v>0.41131919506371323</v>
      </c>
      <c r="D7" s="273">
        <f>'Measure Tables'!U60</f>
        <v>0.37451469984598762</v>
      </c>
      <c r="E7" s="285">
        <v>6</v>
      </c>
      <c r="BB7" s="101">
        <v>4</v>
      </c>
      <c r="BC7" s="101" t="str">
        <f>"&gt; 10% and 20%"</f>
        <v>&gt; 10% and 20%</v>
      </c>
      <c r="BD7" s="101">
        <f t="shared" si="0"/>
        <v>8</v>
      </c>
    </row>
    <row r="8" spans="1:56">
      <c r="A8" s="101" t="str">
        <f>'Measure Tables'!A283</f>
        <v>New Residential; Solar Space Heating (Displacing Electricity); RES-HVAC/Shell; RES-NC</v>
      </c>
      <c r="B8" s="271">
        <f>'Measure Tables'!P283</f>
        <v>0.51084913461693626</v>
      </c>
      <c r="C8" s="271">
        <f>'Measure Tables'!T283</f>
        <v>0.51084913461693626</v>
      </c>
      <c r="D8" s="273">
        <f>'Measure Tables'!U283</f>
        <v>0</v>
      </c>
      <c r="E8" s="285">
        <v>2</v>
      </c>
      <c r="BB8" s="101">
        <v>5</v>
      </c>
      <c r="BC8" s="101" t="str">
        <f>"&gt; 20% and 30%"</f>
        <v>&gt; 20% and 30%</v>
      </c>
      <c r="BD8" s="101">
        <f t="shared" si="0"/>
        <v>17</v>
      </c>
    </row>
    <row r="9" spans="1:56">
      <c r="A9" s="101" t="str">
        <f>'Measure Tables'!A262</f>
        <v>Existing Residential; ENERGY STAR® Windows (300 ft2) (Replace Double Pane); RES-HVAC/Shell; RES-SF</v>
      </c>
      <c r="B9" s="271">
        <f>'Measure Tables'!P262</f>
        <v>0.51321243703744746</v>
      </c>
      <c r="C9" s="271">
        <f>'Measure Tables'!T262</f>
        <v>0.52804653218707409</v>
      </c>
      <c r="D9" s="273">
        <f>'Measure Tables'!U262</f>
        <v>2.8904395293413827E-2</v>
      </c>
      <c r="E9" s="285">
        <v>3</v>
      </c>
      <c r="BB9" s="101">
        <v>6</v>
      </c>
      <c r="BC9" s="101" t="str">
        <f>"&gt; 30% and 40%"</f>
        <v>&gt; 30% and 40%</v>
      </c>
      <c r="BD9" s="101">
        <f t="shared" si="0"/>
        <v>64</v>
      </c>
    </row>
    <row r="10" spans="1:56">
      <c r="A10" s="101" t="str">
        <f>'Measure Tables'!A256</f>
        <v>Existing Residential; Ground Source Heat Pump; RES-HVAC/Shell; RES-SF</v>
      </c>
      <c r="B10" s="271">
        <f>'Measure Tables'!P256</f>
        <v>0.78691841864424383</v>
      </c>
      <c r="C10" s="271">
        <f>'Measure Tables'!T256</f>
        <v>0.81064510719259408</v>
      </c>
      <c r="D10" s="273">
        <f>'Measure Tables'!U256</f>
        <v>3.015139560366142E-2</v>
      </c>
      <c r="E10" s="285">
        <v>3</v>
      </c>
      <c r="BB10" s="101">
        <v>7</v>
      </c>
      <c r="BC10" s="101" t="str">
        <f>"&gt; 40% and 50%"</f>
        <v>&gt; 40% and 50%</v>
      </c>
      <c r="BD10" s="101">
        <f t="shared" si="0"/>
        <v>8</v>
      </c>
    </row>
    <row r="11" spans="1:56">
      <c r="A11" s="101" t="str">
        <f>'Measure Tables'!A257</f>
        <v>Existing Residential; ENERGY STAR® Air Source Heat Pump; RES-HVAC/Shell; RES-SF</v>
      </c>
      <c r="B11" s="271">
        <f>'Measure Tables'!P257</f>
        <v>0.81466151962264588</v>
      </c>
      <c r="C11" s="271">
        <f>'Measure Tables'!T257</f>
        <v>0.82007837211317614</v>
      </c>
      <c r="D11" s="273">
        <f>'Measure Tables'!U257</f>
        <v>6.649206277767189E-3</v>
      </c>
      <c r="E11" s="285">
        <v>3</v>
      </c>
      <c r="BB11" s="101">
        <v>8</v>
      </c>
      <c r="BC11" s="101" t="str">
        <f>"&gt; 50% and 60%"</f>
        <v>&gt; 50% and 60%</v>
      </c>
      <c r="BD11" s="101">
        <f t="shared" si="0"/>
        <v>3</v>
      </c>
    </row>
    <row r="12" spans="1:56">
      <c r="A12" s="101" t="str">
        <f>'Measure Tables'!A221</f>
        <v>Residential - Efficient Product Rebates; Indoor Motion Sensor; RES-Lighting; RES-SF</v>
      </c>
      <c r="B12" s="271">
        <f>'Measure Tables'!P221</f>
        <v>0.71977859346990913</v>
      </c>
      <c r="C12" s="271">
        <f>'Measure Tables'!T221</f>
        <v>0.8311118301893482</v>
      </c>
      <c r="D12" s="273">
        <f>'Measure Tables'!U221</f>
        <v>0.15467706004248297</v>
      </c>
      <c r="E12" s="285">
        <v>4</v>
      </c>
      <c r="BB12" s="101">
        <v>9</v>
      </c>
      <c r="BC12" s="101" t="str">
        <f>"&gt; 60% and 70%"</f>
        <v>&gt; 60% and 70%</v>
      </c>
      <c r="BD12" s="101">
        <f t="shared" si="0"/>
        <v>5</v>
      </c>
    </row>
    <row r="13" spans="1:56">
      <c r="A13" s="101" t="str">
        <f>'Measure Tables'!A217</f>
        <v>Residential - Efficient Product Rebates; Freezer Retirement; RES-Appliance; RES-SF</v>
      </c>
      <c r="B13" s="271">
        <f>'Measure Tables'!P217</f>
        <v>0.8563110356146606</v>
      </c>
      <c r="C13" s="271">
        <f>'Measure Tables'!T217</f>
        <v>0.8563110356146606</v>
      </c>
      <c r="D13" s="273">
        <f>'Measure Tables'!U217</f>
        <v>0</v>
      </c>
      <c r="E13" s="285">
        <v>3</v>
      </c>
      <c r="BB13" s="101">
        <v>10</v>
      </c>
      <c r="BC13" s="101" t="str">
        <f>"&gt; 100% and 120%"</f>
        <v>&gt; 100% and 120%</v>
      </c>
      <c r="BD13" s="101">
        <f t="shared" si="0"/>
        <v>17</v>
      </c>
    </row>
    <row r="14" spans="1:56">
      <c r="A14" s="101" t="str">
        <f>'Measure Tables'!A224</f>
        <v>Residential - Efficient Product Rebates; Smartstrip; RES-Plug Load; RES-SF</v>
      </c>
      <c r="B14" s="271">
        <f>'Measure Tables'!P224</f>
        <v>0.8992121039934502</v>
      </c>
      <c r="C14" s="271">
        <f>'Measure Tables'!T224</f>
        <v>0.8992121039934502</v>
      </c>
      <c r="D14" s="273">
        <f>'Measure Tables'!U224</f>
        <v>0</v>
      </c>
      <c r="E14" s="285">
        <v>2</v>
      </c>
      <c r="BB14" s="101">
        <v>11</v>
      </c>
      <c r="BC14" s="101" t="str">
        <f>"&gt; 175% and 225%"</f>
        <v>&gt; 175% and 225%</v>
      </c>
      <c r="BD14" s="101">
        <f t="shared" si="0"/>
        <v>2</v>
      </c>
    </row>
    <row r="15" spans="1:56">
      <c r="A15" s="101" t="str">
        <f>'Measure Tables'!A152</f>
        <v>BNI- Direct Installation; Night Covers for 3' Refrigerated Display Cases-BES; COM-Refrigeration; Retail</v>
      </c>
      <c r="B15" s="271">
        <f>'Measure Tables'!P152</f>
        <v>0.93550677935511495</v>
      </c>
      <c r="C15" s="271">
        <f>'Measure Tables'!T152</f>
        <v>0.93550677935511495</v>
      </c>
      <c r="D15" s="273">
        <f>'Measure Tables'!U152</f>
        <v>0</v>
      </c>
      <c r="E15" s="285">
        <v>2</v>
      </c>
      <c r="BB15" s="101">
        <v>12</v>
      </c>
      <c r="BC15" s="101" t="str">
        <f>"&gt; 275%"</f>
        <v>&gt; 275%</v>
      </c>
      <c r="BD15" s="101">
        <f t="shared" si="0"/>
        <v>4</v>
      </c>
    </row>
    <row r="16" spans="1:56">
      <c r="A16" s="101" t="str">
        <f>'Measure Tables'!A220</f>
        <v>Residential - Efficient Product Rebates; Hardwired Dimmer Switch; RES-Lighting; RES-SF</v>
      </c>
      <c r="B16" s="271">
        <f>'Measure Tables'!P220</f>
        <v>0.69987426308041001</v>
      </c>
      <c r="C16" s="271">
        <f>'Measure Tables'!T220</f>
        <v>0.99238228622399771</v>
      </c>
      <c r="D16" s="273">
        <f>'Measure Tables'!U220</f>
        <v>0.41794367727732951</v>
      </c>
      <c r="E16" s="285">
        <v>6</v>
      </c>
    </row>
    <row r="17" spans="1:5">
      <c r="A17" s="101" t="str">
        <f>'Measure Tables'!A141</f>
        <v>BNI - Efficient Product Rebates; Dairy Scroll Compressor; COM-Other; Other Commercial</v>
      </c>
      <c r="B17" s="271">
        <f>'Measure Tables'!P141</f>
        <v>1.0090673960203322</v>
      </c>
      <c r="C17" s="271">
        <f>'Measure Tables'!T141</f>
        <v>1.0090673960203322</v>
      </c>
      <c r="D17" s="273">
        <f>'Measure Tables'!U141</f>
        <v>0</v>
      </c>
      <c r="E17" s="285">
        <v>2</v>
      </c>
    </row>
    <row r="18" spans="1:5">
      <c r="A18" s="101" t="str">
        <f>'Measure Tables'!A121</f>
        <v>BNI - Efficient Product Rebates; Daylighting Controls; COM-Lighting; School</v>
      </c>
      <c r="B18" s="271">
        <f>'Measure Tables'!P121</f>
        <v>0.70787300999316372</v>
      </c>
      <c r="C18" s="271">
        <f>'Measure Tables'!T121</f>
        <v>1.0398407182099974</v>
      </c>
      <c r="D18" s="273">
        <f>'Measure Tables'!U121</f>
        <v>0.46896505945330452</v>
      </c>
      <c r="E18" s="285">
        <v>7</v>
      </c>
    </row>
    <row r="19" spans="1:5">
      <c r="A19" s="101" t="str">
        <f>'Measure Tables'!A265</f>
        <v>Existing Residential; ENERGY STAR® Refrigerator (Replacement); RES-Appliance; MURB</v>
      </c>
      <c r="B19" s="271">
        <f>'Measure Tables'!P265</f>
        <v>1.0253148455480356</v>
      </c>
      <c r="C19" s="271">
        <f>'Measure Tables'!T265</f>
        <v>1.0253148455480356</v>
      </c>
      <c r="D19" s="273">
        <f>'Measure Tables'!U265</f>
        <v>0</v>
      </c>
      <c r="E19" s="285">
        <v>3</v>
      </c>
    </row>
    <row r="20" spans="1:5">
      <c r="A20" s="101" t="str">
        <f>'Measure Tables'!A119</f>
        <v>BNI - Efficient Product Rebates; Daylighting Controls; COM-Lighting; Other Commercial</v>
      </c>
      <c r="B20" s="271">
        <f>'Measure Tables'!P119</f>
        <v>0.76159265709188106</v>
      </c>
      <c r="C20" s="271">
        <f>'Measure Tables'!T119</f>
        <v>1.0697781956475849</v>
      </c>
      <c r="D20" s="273">
        <f>'Measure Tables'!U119</f>
        <v>0.40465928299847476</v>
      </c>
      <c r="E20" s="285">
        <v>6</v>
      </c>
    </row>
    <row r="21" spans="1:5">
      <c r="A21" s="101" t="str">
        <f>'Measure Tables'!A120</f>
        <v>BNI - Efficient Product Rebates; Daylighting Controls; COM-Lighting; Retail</v>
      </c>
      <c r="B21" s="271">
        <f>'Measure Tables'!P120</f>
        <v>0.78073299849862121</v>
      </c>
      <c r="C21" s="271">
        <f>'Measure Tables'!T120</f>
        <v>1.0922420741480285</v>
      </c>
      <c r="D21" s="273">
        <f>'Measure Tables'!U120</f>
        <v>0.39899565696396971</v>
      </c>
      <c r="E21" s="285">
        <v>6</v>
      </c>
    </row>
    <row r="22" spans="1:5">
      <c r="A22" s="101" t="str">
        <f>'Measure Tables'!A118</f>
        <v>BNI - Efficient Product Rebates; Daylighting Controls; COM-Lighting; Office</v>
      </c>
      <c r="B22" s="271">
        <f>'Measure Tables'!P118</f>
        <v>0.80665609373588898</v>
      </c>
      <c r="C22" s="271">
        <f>'Measure Tables'!T118</f>
        <v>1.1357823833747653</v>
      </c>
      <c r="D22" s="273">
        <f>'Measure Tables'!U118</f>
        <v>0.40801314487638041</v>
      </c>
      <c r="E22" s="285">
        <v>6</v>
      </c>
    </row>
    <row r="23" spans="1:5">
      <c r="A23" s="101" t="str">
        <f>'Measure Tables'!A239</f>
        <v>Existing Residential; 12 W LED: 23 W CFL baseline; RES-Lighting; MURB</v>
      </c>
      <c r="B23" s="271">
        <f>'Measure Tables'!P239</f>
        <v>0.9256999859395254</v>
      </c>
      <c r="C23" s="271">
        <f>'Measure Tables'!T239</f>
        <v>1.1413063638867298</v>
      </c>
      <c r="D23" s="273">
        <f>'Measure Tables'!U239</f>
        <v>0.23291172218002998</v>
      </c>
      <c r="E23" s="285">
        <v>5</v>
      </c>
    </row>
    <row r="24" spans="1:5">
      <c r="A24" s="101" t="str">
        <f>'Measure Tables'!A29</f>
        <v>BNI - Efficient Product Rebates; Night Covers for 3' Refrigerated Display Cases; COM-Refrigeration; Retail</v>
      </c>
      <c r="B24" s="271">
        <f>'Measure Tables'!P29</f>
        <v>1.1281328515982136</v>
      </c>
      <c r="C24" s="271">
        <f>'Measure Tables'!T29</f>
        <v>1.1281328515982136</v>
      </c>
      <c r="D24" s="273">
        <f>'Measure Tables'!U29</f>
        <v>0</v>
      </c>
      <c r="E24" s="285">
        <v>2</v>
      </c>
    </row>
    <row r="25" spans="1:5">
      <c r="A25" s="101" t="str">
        <f>'Measure Tables'!A151</f>
        <v>BNI- Direct Installation; Night Covers for 3' Refrigerated Display Cases-BES; COM-Refrigeration; Other Commercial</v>
      </c>
      <c r="B25" s="271">
        <f>'Measure Tables'!P151</f>
        <v>1.1347744094984293</v>
      </c>
      <c r="C25" s="271">
        <f>'Measure Tables'!T151</f>
        <v>1.1347744094984293</v>
      </c>
      <c r="D25" s="273">
        <f>'Measure Tables'!U151</f>
        <v>0</v>
      </c>
      <c r="E25" s="285">
        <v>2</v>
      </c>
    </row>
    <row r="26" spans="1:5">
      <c r="A26" s="101" t="str">
        <f>'Measure Tables'!A127</f>
        <v>BNI - Efficient Product Rebates; Variable Speed Drive Screw Compressors (10 - 40 hp); COM-Process; School</v>
      </c>
      <c r="B26" s="271">
        <f>'Measure Tables'!P127</f>
        <v>1.151030651464708</v>
      </c>
      <c r="C26" s="271">
        <f>'Measure Tables'!T127</f>
        <v>1.151030651464708</v>
      </c>
      <c r="D26" s="273">
        <f>'Measure Tables'!U127</f>
        <v>0</v>
      </c>
      <c r="E26" s="285">
        <v>2</v>
      </c>
    </row>
    <row r="27" spans="1:5">
      <c r="A27" s="101" t="str">
        <f>'Measure Tables'!A132</f>
        <v>BNI - Efficient Product Rebates; Air Tanks for Load / No-Load Screw Compressors (10 – 40 hp); COM-Process; School</v>
      </c>
      <c r="B27" s="271">
        <f>'Measure Tables'!P132</f>
        <v>1.1780038582976915</v>
      </c>
      <c r="C27" s="271">
        <f>'Measure Tables'!T132</f>
        <v>1.1780038582976915</v>
      </c>
      <c r="D27" s="273">
        <f>'Measure Tables'!U132</f>
        <v>0</v>
      </c>
      <c r="E27" s="285">
        <v>2</v>
      </c>
    </row>
    <row r="28" spans="1:5">
      <c r="A28" s="101" t="str">
        <f>'Measure Tables'!A216</f>
        <v>Residential - Efficient Product Rebates; Refrigerator Retirement; RES-Appliance; RES-SF</v>
      </c>
      <c r="B28" s="271">
        <f>'Measure Tables'!P216</f>
        <v>1.1978944276305643</v>
      </c>
      <c r="C28" s="271">
        <f>'Measure Tables'!T216</f>
        <v>1.1978944276305643</v>
      </c>
      <c r="D28" s="273">
        <f>'Measure Tables'!U216</f>
        <v>0</v>
      </c>
      <c r="E28" s="285">
        <v>3</v>
      </c>
    </row>
    <row r="29" spans="1:5">
      <c r="A29" s="101" t="str">
        <f>'Measure Tables'!A27</f>
        <v>BNI - Efficient Product Rebates; ENERGY STAR®, CEE Tier 2 or CEE Tier 3 Commercial Clothes Washer; COM-Other; Other Commercial</v>
      </c>
      <c r="B29" s="271">
        <f>'Measure Tables'!P27</f>
        <v>1.3353428138318306</v>
      </c>
      <c r="C29" s="271">
        <f>'Measure Tables'!T27</f>
        <v>1.2073781782098469</v>
      </c>
      <c r="D29" s="273">
        <f>'Measure Tables'!U27</f>
        <v>-9.5829051758464165E-2</v>
      </c>
      <c r="E29" s="285">
        <v>1</v>
      </c>
    </row>
    <row r="30" spans="1:5">
      <c r="A30" s="101" t="str">
        <f>'Measure Tables'!A136</f>
        <v>BNI - Efficient Product Rebates; Integrated Dual Enthalpy Economizer Controls; COM-HVAC; School</v>
      </c>
      <c r="B30" s="271">
        <f>'Measure Tables'!P136</f>
        <v>1.245308557766295</v>
      </c>
      <c r="C30" s="271">
        <f>'Measure Tables'!T136</f>
        <v>1.245308557766295</v>
      </c>
      <c r="D30" s="273">
        <f>'Measure Tables'!U136</f>
        <v>0</v>
      </c>
      <c r="E30" s="285">
        <v>2</v>
      </c>
    </row>
    <row r="31" spans="1:5">
      <c r="A31" s="101" t="str">
        <f>'Measure Tables'!A90</f>
        <v>BNI - Efficient Product Rebates; LED Low Bay Fixture; COM-Lighting; Other Commercial</v>
      </c>
      <c r="B31" s="271">
        <f>'Measure Tables'!P90</f>
        <v>0.94677425161172768</v>
      </c>
      <c r="C31" s="271">
        <f>'Measure Tables'!T90</f>
        <v>1.2695291472404735</v>
      </c>
      <c r="D31" s="273">
        <f>'Measure Tables'!U90</f>
        <v>0.34089952813916158</v>
      </c>
      <c r="E31" s="285">
        <v>6</v>
      </c>
    </row>
    <row r="32" spans="1:5">
      <c r="A32" s="101" t="str">
        <f>'Measure Tables'!A26</f>
        <v>BNI - Efficient Product Rebates; Variable Speed Drive for Kitchen exhaust fans (Demand Controlled Ventilation) ; COM-Motors; Retail</v>
      </c>
      <c r="B32" s="271">
        <f>'Measure Tables'!P26</f>
        <v>1.2901244005378381</v>
      </c>
      <c r="C32" s="271">
        <f>'Measure Tables'!T26</f>
        <v>1.2901244005378381</v>
      </c>
      <c r="D32" s="273">
        <f>'Measure Tables'!U26</f>
        <v>0</v>
      </c>
      <c r="E32" s="285">
        <v>2</v>
      </c>
    </row>
    <row r="33" spans="1:5">
      <c r="A33" s="101" t="str">
        <f>'Measure Tables'!A135</f>
        <v>BNI - Efficient Product Rebates; Integrated Dual Enthalpy Economizer Controls; COM-HVAC; Retail</v>
      </c>
      <c r="B33" s="271">
        <f>'Measure Tables'!P135</f>
        <v>1.3102080471983981</v>
      </c>
      <c r="C33" s="271">
        <f>'Measure Tables'!T135</f>
        <v>1.3102080471983981</v>
      </c>
      <c r="D33" s="273">
        <f>'Measure Tables'!U135</f>
        <v>0</v>
      </c>
      <c r="E33" s="285">
        <v>2</v>
      </c>
    </row>
    <row r="34" spans="1:5">
      <c r="A34" s="101" t="str">
        <f>'Measure Tables'!A91</f>
        <v>BNI - Efficient Product Rebates; LED Low Bay Fixture; COM-Lighting; Retail</v>
      </c>
      <c r="B34" s="271">
        <f>'Measure Tables'!P91</f>
        <v>0.9979195519385059</v>
      </c>
      <c r="C34" s="271">
        <f>'Measure Tables'!T91</f>
        <v>1.330409928961434</v>
      </c>
      <c r="D34" s="273">
        <f>'Measure Tables'!U91</f>
        <v>0.33318354808967293</v>
      </c>
      <c r="E34" s="285">
        <v>6</v>
      </c>
    </row>
    <row r="35" spans="1:5">
      <c r="A35" s="101" t="str">
        <f>'Measure Tables'!A92</f>
        <v>BNI - Efficient Product Rebates; LED Low Bay Fixture; COM-Lighting; School</v>
      </c>
      <c r="B35" s="271">
        <f>'Measure Tables'!P92</f>
        <v>1.0001399770587669</v>
      </c>
      <c r="C35" s="271">
        <f>'Measure Tables'!T92</f>
        <v>1.3366933001047974</v>
      </c>
      <c r="D35" s="273">
        <f>'Measure Tables'!U92</f>
        <v>0.33650621989511281</v>
      </c>
      <c r="E35" s="285">
        <v>6</v>
      </c>
    </row>
    <row r="36" spans="1:5">
      <c r="A36" s="101" t="str">
        <f>'Measure Tables'!A89</f>
        <v>BNI - Efficient Product Rebates; LED Low Bay Fixture; COM-Lighting; Office</v>
      </c>
      <c r="B36" s="271">
        <f>'Measure Tables'!P89</f>
        <v>1.0065241748830438</v>
      </c>
      <c r="C36" s="271">
        <f>'Measure Tables'!T89</f>
        <v>1.353756501462841</v>
      </c>
      <c r="D36" s="273">
        <f>'Measure Tables'!U89</f>
        <v>0.34498160624919411</v>
      </c>
      <c r="E36" s="285">
        <v>6</v>
      </c>
    </row>
    <row r="37" spans="1:5">
      <c r="A37" s="101" t="str">
        <f>'Measure Tables'!A95</f>
        <v>BNI - Efficient Product Rebates; LED Linear Replacement Lamps; COM-Lighting; Other Commercial</v>
      </c>
      <c r="B37" s="271">
        <f>'Measure Tables'!P95</f>
        <v>1.0079304946894427</v>
      </c>
      <c r="C37" s="271">
        <f>'Measure Tables'!T95</f>
        <v>1.3854152813736773</v>
      </c>
      <c r="D37" s="273">
        <f>'Measure Tables'!U95</f>
        <v>0.37451469984598773</v>
      </c>
      <c r="E37" s="285">
        <v>6</v>
      </c>
    </row>
    <row r="38" spans="1:5">
      <c r="A38" s="101" t="str">
        <f>'Measure Tables'!A81</f>
        <v>BNI - Efficient Product Rebates; LED Refrigeration Strip Lighting-End of Life replacement; COM-Lighting; Other Commercial</v>
      </c>
      <c r="B38" s="271">
        <f>'Measure Tables'!P81</f>
        <v>0.98859889282853386</v>
      </c>
      <c r="C38" s="271">
        <f>'Measure Tables'!T81</f>
        <v>1.4183634609394764</v>
      </c>
      <c r="D38" s="273">
        <f>'Measure Tables'!U81</f>
        <v>0.43472086730880294</v>
      </c>
      <c r="E38" s="285">
        <v>6</v>
      </c>
    </row>
    <row r="39" spans="1:5">
      <c r="A39" s="101" t="str">
        <f>'Measure Tables'!A16</f>
        <v>BNI - Efficient Product Rebates; Half Size Commercial Hot Food Holding Cabinet; COM-Other; Retail</v>
      </c>
      <c r="B39" s="271">
        <f>'Measure Tables'!P16</f>
        <v>1.3649026497120107</v>
      </c>
      <c r="C39" s="271">
        <f>'Measure Tables'!T16</f>
        <v>1.3649026497120107</v>
      </c>
      <c r="D39" s="273">
        <f>'Measure Tables'!U16</f>
        <v>0</v>
      </c>
      <c r="E39" s="285">
        <v>2</v>
      </c>
    </row>
    <row r="40" spans="1:5">
      <c r="A40" s="101" t="str">
        <f>'Measure Tables'!A88</f>
        <v xml:space="preserve">BNI - Efficient Product Rebates; LED Low Bay Fixture; IND; Industrial </v>
      </c>
      <c r="B40" s="271">
        <f>'Measure Tables'!P88</f>
        <v>1.0544862815808405</v>
      </c>
      <c r="C40" s="271">
        <f>'Measure Tables'!T88</f>
        <v>1.3810721954124268</v>
      </c>
      <c r="D40" s="273">
        <f>'Measure Tables'!U88</f>
        <v>0.30971091756829949</v>
      </c>
      <c r="E40" s="285">
        <v>5</v>
      </c>
    </row>
    <row r="41" spans="1:5">
      <c r="A41" s="101" t="str">
        <f>'Measure Tables'!A83</f>
        <v>BNI - Efficient Product Rebates; LED Refrigeration Strip Lighting-End of Life replacement; COM-Lighting; School</v>
      </c>
      <c r="B41" s="271">
        <f>'Measure Tables'!P83</f>
        <v>1.0011569829623144</v>
      </c>
      <c r="C41" s="271">
        <f>'Measure Tables'!T83</f>
        <v>1.4309215510732567</v>
      </c>
      <c r="D41" s="273">
        <f>'Measure Tables'!U83</f>
        <v>0.42926791244996948</v>
      </c>
      <c r="E41" s="285">
        <v>6</v>
      </c>
    </row>
    <row r="42" spans="1:5">
      <c r="A42" s="101" t="str">
        <f>'Measure Tables'!A82</f>
        <v>BNI - Efficient Product Rebates; LED Refrigeration Strip Lighting-End of Life replacement; COM-Lighting; Retail</v>
      </c>
      <c r="B42" s="271">
        <f>'Measure Tables'!P82</f>
        <v>1.010874654555824</v>
      </c>
      <c r="C42" s="271">
        <f>'Measure Tables'!T82</f>
        <v>1.4406392226667666</v>
      </c>
      <c r="D42" s="273">
        <f>'Measure Tables'!U82</f>
        <v>0.42514130330014072</v>
      </c>
      <c r="E42" s="285">
        <v>6</v>
      </c>
    </row>
    <row r="43" spans="1:5">
      <c r="A43" s="101" t="str">
        <f>'Measure Tables'!A28</f>
        <v>BNI - Efficient Product Rebates; Night Covers for 3' Refrigerated Display Cases; COM-Refrigeration; Other Commercial</v>
      </c>
      <c r="B43" s="271">
        <f>'Measure Tables'!P28</f>
        <v>1.4312470937332435</v>
      </c>
      <c r="C43" s="271">
        <f>'Measure Tables'!T28</f>
        <v>1.4312470937332435</v>
      </c>
      <c r="D43" s="273">
        <f>'Measure Tables'!U28</f>
        <v>0</v>
      </c>
      <c r="E43" s="285">
        <v>2</v>
      </c>
    </row>
    <row r="44" spans="1:5">
      <c r="A44" s="101" t="str">
        <f>'Measure Tables'!A96</f>
        <v>BNI - Efficient Product Rebates; LED Linear Replacement Lamps; COM-Lighting; Retail</v>
      </c>
      <c r="B44" s="271">
        <f>'Measure Tables'!P96</f>
        <v>1.0688304819823504</v>
      </c>
      <c r="C44" s="271">
        <f>'Measure Tables'!T96</f>
        <v>1.4598876296979326</v>
      </c>
      <c r="D44" s="273">
        <f>'Measure Tables'!U96</f>
        <v>0.36587387271206184</v>
      </c>
      <c r="E44" s="285">
        <v>6</v>
      </c>
    </row>
    <row r="45" spans="1:5">
      <c r="A45" s="101" t="str">
        <f>'Measure Tables'!A165</f>
        <v>BNI- Direct Installation; LED Lamps-End of Life-BES; COM-Lighting; Office</v>
      </c>
      <c r="B45" s="271">
        <f>'Measure Tables'!P165</f>
        <v>1.0606521709944663</v>
      </c>
      <c r="C45" s="271">
        <f>'Measure Tables'!T165</f>
        <v>1.4627339484125057</v>
      </c>
      <c r="D45" s="273">
        <f>'Measure Tables'!U165</f>
        <v>0.37908919475557001</v>
      </c>
      <c r="E45" s="285">
        <v>6</v>
      </c>
    </row>
    <row r="46" spans="1:5">
      <c r="A46" s="101" t="str">
        <f>'Measure Tables'!A97</f>
        <v>BNI - Efficient Product Rebates; LED Linear Replacement Lamps; COM-Lighting; School</v>
      </c>
      <c r="B46" s="271">
        <f>'Measure Tables'!P97</f>
        <v>1.0733726588435786</v>
      </c>
      <c r="C46" s="271">
        <f>'Measure Tables'!T97</f>
        <v>1.4700845974202212</v>
      </c>
      <c r="D46" s="273">
        <f>'Measure Tables'!U97</f>
        <v>0.36959385476060935</v>
      </c>
      <c r="E46" s="285">
        <v>6</v>
      </c>
    </row>
    <row r="47" spans="1:5">
      <c r="A47" s="101" t="str">
        <f>'Measure Tables'!A223</f>
        <v>Residential - Efficient Product Rebates; Power bar with integrated timer; RES-Plug Load; RES-SF</v>
      </c>
      <c r="B47" s="271">
        <f>'Measure Tables'!P223</f>
        <v>1.4426026208298643</v>
      </c>
      <c r="C47" s="271">
        <f>'Measure Tables'!T223</f>
        <v>1.4426026208298643</v>
      </c>
      <c r="D47" s="273">
        <f>'Measure Tables'!U223</f>
        <v>0</v>
      </c>
      <c r="E47" s="285">
        <v>2</v>
      </c>
    </row>
    <row r="48" spans="1:5">
      <c r="A48" s="101" t="str">
        <f>'Measure Tables'!A267</f>
        <v>Existing Residential; Building Envelope Retrofits (Insulation, Draft Proofing, EnergyStar Windows and Doors); RES-HVAC/Shell; RES-SF</v>
      </c>
      <c r="B48" s="271">
        <f>'Measure Tables'!P267</f>
        <v>1.2382841039804822</v>
      </c>
      <c r="C48" s="271">
        <f>'Measure Tables'!T267</f>
        <v>1.3906148702640801</v>
      </c>
      <c r="D48" s="273">
        <f>'Measure Tables'!U267</f>
        <v>0.12301762236463226</v>
      </c>
      <c r="E48" s="285">
        <v>4</v>
      </c>
    </row>
    <row r="49" spans="1:5">
      <c r="A49" s="101" t="str">
        <f>'Measure Tables'!A94</f>
        <v>BNI - Efficient Product Rebates; LED Linear Replacement Lamps; COM-Lighting; Office</v>
      </c>
      <c r="B49" s="271">
        <f>'Measure Tables'!P94</f>
        <v>1.0856246371752427</v>
      </c>
      <c r="C49" s="271">
        <f>'Measure Tables'!T94</f>
        <v>1.4971732066888135</v>
      </c>
      <c r="D49" s="273">
        <f>'Measure Tables'!U94</f>
        <v>0.37908919475557018</v>
      </c>
      <c r="E49" s="285">
        <v>6</v>
      </c>
    </row>
    <row r="50" spans="1:5">
      <c r="A50" s="101" t="str">
        <f>'Measure Tables'!A33</f>
        <v>BNI - Efficient Product Rebates; Zero Energy Doors for Reach-In Coolers and Freezers; COM-Refrigeration; School</v>
      </c>
      <c r="B50" s="271">
        <f>'Measure Tables'!P33</f>
        <v>1.4747106383262882</v>
      </c>
      <c r="C50" s="271">
        <f>'Measure Tables'!T33</f>
        <v>1.4747106383262882</v>
      </c>
      <c r="D50" s="273">
        <f>'Measure Tables'!U33</f>
        <v>0</v>
      </c>
      <c r="E50" s="285">
        <v>2</v>
      </c>
    </row>
    <row r="51" spans="1:5">
      <c r="A51" s="101" t="str">
        <f>'Measure Tables'!A31</f>
        <v>BNI - Efficient Product Rebates; Zero Energy Doors for Reach-In Coolers and Freezers; COM-Refrigeration; Other Commercial</v>
      </c>
      <c r="B51" s="271">
        <f>'Measure Tables'!P31</f>
        <v>1.4751104860144455</v>
      </c>
      <c r="C51" s="271">
        <f>'Measure Tables'!T31</f>
        <v>1.4751104860144455</v>
      </c>
      <c r="D51" s="273">
        <f>'Measure Tables'!U31</f>
        <v>0</v>
      </c>
      <c r="E51" s="285">
        <v>2</v>
      </c>
    </row>
    <row r="52" spans="1:5">
      <c r="A52" s="101" t="str">
        <f>'Measure Tables'!A32</f>
        <v>BNI - Efficient Product Rebates; Zero Energy Doors for Reach-In Coolers and Freezers; COM-Refrigeration; Retail</v>
      </c>
      <c r="B52" s="271">
        <f>'Measure Tables'!P32</f>
        <v>1.4752893271712284</v>
      </c>
      <c r="C52" s="271">
        <f>'Measure Tables'!T32</f>
        <v>1.4752893271712284</v>
      </c>
      <c r="D52" s="273">
        <f>'Measure Tables'!U32</f>
        <v>0</v>
      </c>
      <c r="E52" s="285">
        <v>2</v>
      </c>
    </row>
    <row r="53" spans="1:5">
      <c r="A53" s="101" t="str">
        <f>'Measure Tables'!A93</f>
        <v xml:space="preserve">BNI - Efficient Product Rebates; LED Linear Replacement Lamps; IND; Industrial </v>
      </c>
      <c r="B53" s="271">
        <f>'Measure Tables'!P93</f>
        <v>1.1271779991919366</v>
      </c>
      <c r="C53" s="271">
        <f>'Measure Tables'!T93</f>
        <v>1.5100074614278185</v>
      </c>
      <c r="D53" s="273">
        <f>'Measure Tables'!U93</f>
        <v>0.33963532158215359</v>
      </c>
      <c r="E53" s="285">
        <v>6</v>
      </c>
    </row>
    <row r="54" spans="1:5">
      <c r="A54" s="101" t="str">
        <f>'Measure Tables'!A30</f>
        <v>BNI - Efficient Product Rebates; Night Covers for 3' Refrigerated Display Cases; COM-Refrigeration; School</v>
      </c>
      <c r="B54" s="271">
        <f>'Measure Tables'!P30</f>
        <v>1.534935680523551</v>
      </c>
      <c r="C54" s="271">
        <f>'Measure Tables'!T30</f>
        <v>1.534935680523551</v>
      </c>
      <c r="D54" s="273">
        <f>'Measure Tables'!U30</f>
        <v>0</v>
      </c>
      <c r="E54" s="285">
        <v>2</v>
      </c>
    </row>
    <row r="55" spans="1:5">
      <c r="A55" s="101" t="str">
        <f>'Measure Tables'!A179</f>
        <v>BNI- Direct Installation; Ground Source Heat Pump; COM-HVAC; School</v>
      </c>
      <c r="B55" s="271">
        <f>'Measure Tables'!P179</f>
        <v>0.71837861819080784</v>
      </c>
      <c r="C55" s="271">
        <f>'Measure Tables'!T179</f>
        <v>1.4320823841286532</v>
      </c>
      <c r="D55" s="273">
        <f>'Measure Tables'!U179</f>
        <v>0.99349249527396033</v>
      </c>
      <c r="E55" s="285">
        <v>10</v>
      </c>
    </row>
    <row r="56" spans="1:5">
      <c r="A56" s="101" t="str">
        <f>'Measure Tables'!A178</f>
        <v>BNI- Direct Installation; Ground Source Heat Pump; COM-HVAC; Retail</v>
      </c>
      <c r="B56" s="271">
        <f>'Measure Tables'!P178</f>
        <v>0.72145489908422211</v>
      </c>
      <c r="C56" s="271">
        <f>'Measure Tables'!T178</f>
        <v>1.4351586650220673</v>
      </c>
      <c r="D56" s="273">
        <f>'Measure Tables'!U178</f>
        <v>0.98925624712478111</v>
      </c>
      <c r="E56" s="285">
        <v>10</v>
      </c>
    </row>
    <row r="57" spans="1:5">
      <c r="A57" s="101" t="str">
        <f>'Measure Tables'!A177</f>
        <v>BNI- Direct Installation; Ground Source Heat Pump; COM-HVAC; Other Commercial</v>
      </c>
      <c r="B57" s="271">
        <f>'Measure Tables'!P177</f>
        <v>0.7341167498145803</v>
      </c>
      <c r="C57" s="271">
        <f>'Measure Tables'!T177</f>
        <v>1.4478205157524255</v>
      </c>
      <c r="D57" s="273">
        <f>'Measure Tables'!U177</f>
        <v>0.97219381810605621</v>
      </c>
      <c r="E57" s="285">
        <v>10</v>
      </c>
    </row>
    <row r="58" spans="1:5">
      <c r="A58" s="101" t="str">
        <f>'Measure Tables'!A176</f>
        <v>BNI- Direct Installation; Ground Source Heat Pump; COM-HVAC; Office</v>
      </c>
      <c r="B58" s="271">
        <f>'Measure Tables'!P176</f>
        <v>0.73998959178757084</v>
      </c>
      <c r="C58" s="271">
        <f>'Measure Tables'!T176</f>
        <v>1.4536933577254161</v>
      </c>
      <c r="D58" s="273">
        <f>'Measure Tables'!U176</f>
        <v>0.96447811409586492</v>
      </c>
      <c r="E58" s="285">
        <v>10</v>
      </c>
    </row>
    <row r="59" spans="1:5">
      <c r="A59" s="101" t="str">
        <f>'Measure Tables'!A261</f>
        <v>Existing Residential; ENERGY STAR® Windows (Replace Single Pane); RES-HVAC/Shell; RES-SF</v>
      </c>
      <c r="B59" s="271">
        <f>'Measure Tables'!P261</f>
        <v>1.5903850829535529</v>
      </c>
      <c r="C59" s="271">
        <f>'Measure Tables'!T261</f>
        <v>1.6046553947372311</v>
      </c>
      <c r="D59" s="273">
        <f>'Measure Tables'!U261</f>
        <v>8.9728657144949962E-3</v>
      </c>
      <c r="E59" s="285">
        <v>3</v>
      </c>
    </row>
    <row r="60" spans="1:5">
      <c r="A60" s="101" t="str">
        <f>'Measure Tables'!A157</f>
        <v>BNI- Direct Installation; Electronically Commutated (Brushless) DC Motors for Refrigeration Applications-BES; COM-Refrigeration; Other Commercial</v>
      </c>
      <c r="B60" s="271">
        <f>'Measure Tables'!P157</f>
        <v>1.6099068531967375</v>
      </c>
      <c r="C60" s="271">
        <f>'Measure Tables'!T157</f>
        <v>1.6099068531967375</v>
      </c>
      <c r="D60" s="273">
        <f>'Measure Tables'!U157</f>
        <v>0</v>
      </c>
      <c r="E60" s="285">
        <v>2</v>
      </c>
    </row>
    <row r="61" spans="1:5">
      <c r="A61" s="101" t="str">
        <f>'Measure Tables'!A158</f>
        <v>BNI- Direct Installation; Electronically Commutated (Brushless) DC Motors for Refrigeration Applications-BES; COM-Refrigeration; Retail</v>
      </c>
      <c r="B61" s="271">
        <f>'Measure Tables'!P158</f>
        <v>1.6100981132282295</v>
      </c>
      <c r="C61" s="271">
        <f>'Measure Tables'!T158</f>
        <v>1.6100981132282295</v>
      </c>
      <c r="D61" s="273">
        <f>'Measure Tables'!U158</f>
        <v>0</v>
      </c>
      <c r="E61" s="285">
        <v>2</v>
      </c>
    </row>
    <row r="62" spans="1:5">
      <c r="A62" s="101" t="str">
        <f>'Measure Tables'!A117</f>
        <v>BNI - Efficient Product Rebates; Lighting Controls - Occupancy Sensors; COM-Lighting; School</v>
      </c>
      <c r="B62" s="271">
        <f>'Measure Tables'!P117</f>
        <v>1.1258567752640007</v>
      </c>
      <c r="C62" s="271">
        <f>'Measure Tables'!T117</f>
        <v>1.6538442648115881</v>
      </c>
      <c r="D62" s="273">
        <f>'Measure Tables'!U117</f>
        <v>0.46896505945330408</v>
      </c>
      <c r="E62" s="285">
        <v>7</v>
      </c>
    </row>
    <row r="63" spans="1:5">
      <c r="A63" s="101" t="str">
        <f>'Measure Tables'!A80</f>
        <v>BNI - Efficient Product Rebates; LED Lamps-End of Life; COM-Lighting; School</v>
      </c>
      <c r="B63" s="271">
        <f>'Measure Tables'!P80</f>
        <v>1.2213476307320252</v>
      </c>
      <c r="C63" s="271">
        <f>'Measure Tables'!T80</f>
        <v>1.6727502095770113</v>
      </c>
      <c r="D63" s="273">
        <f>'Measure Tables'!U80</f>
        <v>0.36959385476060896</v>
      </c>
      <c r="E63" s="285">
        <v>6</v>
      </c>
    </row>
    <row r="64" spans="1:5">
      <c r="A64" s="101" t="str">
        <f>'Measure Tables'!A15</f>
        <v>BNI - Efficient Product Rebates; Three Quarter Size Commercial Hot Food Holding Cabinet; COM-Other; Retail</v>
      </c>
      <c r="B64" s="271">
        <f>'Measure Tables'!P15</f>
        <v>1.6763440609482247</v>
      </c>
      <c r="C64" s="271">
        <f>'Measure Tables'!T15</f>
        <v>1.6763440609482247</v>
      </c>
      <c r="D64" s="273">
        <f>'Measure Tables'!U15</f>
        <v>0</v>
      </c>
      <c r="E64" s="285">
        <v>2</v>
      </c>
    </row>
    <row r="65" spans="1:5">
      <c r="A65" s="101" t="str">
        <f>'Measure Tables'!A260</f>
        <v>Existing Residential; Solar Space Heating (Displacing Electricity); RES-HVAC/Shell; RES-SF</v>
      </c>
      <c r="B65" s="271">
        <f>'Measure Tables'!P260</f>
        <v>1.6773715219431966</v>
      </c>
      <c r="C65" s="271">
        <f>'Measure Tables'!T260</f>
        <v>1.6773715219431966</v>
      </c>
      <c r="D65" s="273">
        <f>'Measure Tables'!U260</f>
        <v>0</v>
      </c>
      <c r="E65" s="285">
        <v>2</v>
      </c>
    </row>
    <row r="66" spans="1:5">
      <c r="A66" s="101" t="str">
        <f>'Measure Tables'!A218</f>
        <v>Residential - Efficient Product Rebates; Room A/C Retirement; RES-HVAC/Shell; RES-SF</v>
      </c>
      <c r="B66" s="271">
        <f>'Measure Tables'!P218</f>
        <v>0.41289059030957059</v>
      </c>
      <c r="C66" s="271">
        <f>'Measure Tables'!T218</f>
        <v>2.306451811636077</v>
      </c>
      <c r="D66" s="273">
        <f>'Measure Tables'!U218</f>
        <v>4.5861089251435398</v>
      </c>
      <c r="E66" s="285">
        <v>12</v>
      </c>
    </row>
    <row r="67" spans="1:5">
      <c r="A67" s="101" t="str">
        <f>'Measure Tables'!A19</f>
        <v>BNI - Efficient Product Rebates; Glass Door Commercial Refrigerator; COM-Refrigeration; Retail</v>
      </c>
      <c r="B67" s="271">
        <f>'Measure Tables'!P19</f>
        <v>1.0720192154681811</v>
      </c>
      <c r="C67" s="271">
        <f>'Measure Tables'!T19</f>
        <v>1.767385046450072</v>
      </c>
      <c r="D67" s="273">
        <f>'Measure Tables'!U19</f>
        <v>0.64865052878572227</v>
      </c>
      <c r="E67" s="285">
        <v>9</v>
      </c>
    </row>
    <row r="68" spans="1:5">
      <c r="A68" s="101" t="str">
        <f>'Measure Tables'!A23</f>
        <v>BNI - Efficient Product Rebates; ENERGY STAR® Self Contained Ice Maker; COM-Refrigeration; Retail</v>
      </c>
      <c r="B68" s="271">
        <f>'Measure Tables'!P23</f>
        <v>0.82975470228310022</v>
      </c>
      <c r="C68" s="271">
        <f>'Measure Tables'!T23</f>
        <v>1.8542006483369851</v>
      </c>
      <c r="D68" s="273">
        <f>'Measure Tables'!U23</f>
        <v>1.2346371080936145</v>
      </c>
      <c r="E68" s="285">
        <v>10</v>
      </c>
    </row>
    <row r="69" spans="1:5">
      <c r="A69" s="101" t="str">
        <f>'Measure Tables'!A252</f>
        <v>Existing Residential; Certified Wood Boiler or Furnace; RES-HVAC/Shell; RES-SF</v>
      </c>
      <c r="B69" s="271">
        <f>'Measure Tables'!P252</f>
        <v>1.6861324319946671</v>
      </c>
      <c r="C69" s="271">
        <f>'Measure Tables'!T252</f>
        <v>1.741115141913802</v>
      </c>
      <c r="D69" s="273">
        <f>'Measure Tables'!U252</f>
        <v>3.2608773116410111E-2</v>
      </c>
      <c r="E69" s="285">
        <v>3</v>
      </c>
    </row>
    <row r="70" spans="1:5">
      <c r="A70" s="101" t="str">
        <f>'Measure Tables'!A77</f>
        <v>BNI - Efficient Product Rebates; LED Lamps-End of Life; COM-Lighting; Office</v>
      </c>
      <c r="B70" s="271">
        <f>'Measure Tables'!P77</f>
        <v>1.2998787978402941</v>
      </c>
      <c r="C70" s="271">
        <f>'Measure Tables'!T77</f>
        <v>1.7926488045934101</v>
      </c>
      <c r="D70" s="273">
        <f>'Measure Tables'!U77</f>
        <v>0.3790891947555704</v>
      </c>
      <c r="E70" s="285">
        <v>6</v>
      </c>
    </row>
    <row r="71" spans="1:5">
      <c r="A71" s="101" t="str">
        <f>'Measure Tables'!A25</f>
        <v>BNI - Efficient Product Rebates; Variable Speed Drive for Kitchen exhaust fans (Demand Controlled Ventilation) ; COM-Motors; Other Commercial</v>
      </c>
      <c r="B71" s="271">
        <f>'Measure Tables'!P25</f>
        <v>1.7608697714325492</v>
      </c>
      <c r="C71" s="271">
        <f>'Measure Tables'!T25</f>
        <v>1.7608697714325492</v>
      </c>
      <c r="D71" s="273">
        <f>'Measure Tables'!U25</f>
        <v>0</v>
      </c>
      <c r="E71" s="285">
        <v>2</v>
      </c>
    </row>
    <row r="72" spans="1:5">
      <c r="A72" s="101" t="str">
        <f>'Measure Tables'!A13</f>
        <v>BNI - Efficient Product Rebates; Standard Capacity Commercial Electric Fryers; COM-Other; Retail</v>
      </c>
      <c r="B72" s="271">
        <f>'Measure Tables'!P13</f>
        <v>1.7927669415713954</v>
      </c>
      <c r="C72" s="271">
        <f>'Measure Tables'!T13</f>
        <v>1.7927669415713954</v>
      </c>
      <c r="D72" s="273">
        <f>'Measure Tables'!U13</f>
        <v>0</v>
      </c>
      <c r="E72" s="285">
        <v>2</v>
      </c>
    </row>
    <row r="73" spans="1:5">
      <c r="A73" s="101" t="str">
        <f>'Measure Tables'!A160</f>
        <v>BNI- Direct Installation; Relamp/Reballast-Retrofit (dual baseline)-BES; COM-Lighting; Other Commercial</v>
      </c>
      <c r="B73" s="271">
        <f>'Measure Tables'!P160</f>
        <v>1.3581932854062171</v>
      </c>
      <c r="C73" s="271">
        <f>'Measure Tables'!T160</f>
        <v>1.8212007355229742</v>
      </c>
      <c r="D73" s="273">
        <f>'Measure Tables'!U160</f>
        <v>0.34089952813916169</v>
      </c>
      <c r="E73" s="285">
        <v>6</v>
      </c>
    </row>
    <row r="74" spans="1:5">
      <c r="A74" s="101" t="str">
        <f>'Measure Tables'!A222</f>
        <v>Residential - Efficient Product Rebates; Outdoor Motion Sensor; RES-Lighting; RES-SF</v>
      </c>
      <c r="B74" s="271">
        <f>'Measure Tables'!P222</f>
        <v>1.7456235428372289</v>
      </c>
      <c r="C74" s="271">
        <f>'Measure Tables'!T222</f>
        <v>1.8307716638827163</v>
      </c>
      <c r="D74" s="273">
        <f>'Measure Tables'!U222</f>
        <v>4.8778054921906532E-2</v>
      </c>
      <c r="E74" s="285">
        <v>3</v>
      </c>
    </row>
    <row r="75" spans="1:5">
      <c r="A75" s="101" t="str">
        <f>'Measure Tables'!A70</f>
        <v>BNI - Efficient Product Rebates; T8 Dimmable Stairwell Lighting; COM-Lighting; School</v>
      </c>
      <c r="B75" s="271">
        <f>'Measure Tables'!P70</f>
        <v>1.2729838748536708</v>
      </c>
      <c r="C75" s="271">
        <f>'Measure Tables'!T70</f>
        <v>1.8699688334075204</v>
      </c>
      <c r="D75" s="273">
        <f>'Measure Tables'!U70</f>
        <v>0.46896505945330441</v>
      </c>
      <c r="E75" s="285">
        <v>7</v>
      </c>
    </row>
    <row r="76" spans="1:5">
      <c r="A76" s="101" t="str">
        <f>'Measure Tables'!A137</f>
        <v>BNI - Efficient Product Rebates; HVAC Hotel Occupancy Sensor; COM-HVAC; Other Commercial</v>
      </c>
      <c r="B76" s="271">
        <f>'Measure Tables'!P137</f>
        <v>1.830351923813238</v>
      </c>
      <c r="C76" s="271">
        <f>'Measure Tables'!T137</f>
        <v>1.830351923813238</v>
      </c>
      <c r="D76" s="273">
        <f>'Measure Tables'!U137</f>
        <v>0</v>
      </c>
      <c r="E76" s="285">
        <v>2</v>
      </c>
    </row>
    <row r="77" spans="1:5">
      <c r="A77" s="101" t="str">
        <f>'Measure Tables'!A159</f>
        <v>BNI- Direct Installation; Relamp/Reballast-Retrofit (dual baseline)-BES; COM-Lighting; Office</v>
      </c>
      <c r="B77" s="271">
        <f>'Measure Tables'!P159</f>
        <v>1.375406241299995</v>
      </c>
      <c r="C77" s="271">
        <f>'Measure Tables'!T159</f>
        <v>1.849896095668834</v>
      </c>
      <c r="D77" s="273">
        <f>'Measure Tables'!U159</f>
        <v>0.34498160624919411</v>
      </c>
      <c r="E77" s="285">
        <v>6</v>
      </c>
    </row>
    <row r="78" spans="1:5">
      <c r="A78" s="101" t="str">
        <f>'Measure Tables'!A155</f>
        <v>BNI- Direct Installation; Evaporator Fan Motor Controls for Walk-In Freezers and Coolers-BES; COM-Refrigeration; Other Commercial</v>
      </c>
      <c r="B78" s="271">
        <f>'Measure Tables'!P155</f>
        <v>1.8366019145325971</v>
      </c>
      <c r="C78" s="271">
        <f>'Measure Tables'!T155</f>
        <v>1.8366019145325971</v>
      </c>
      <c r="D78" s="273">
        <f>'Measure Tables'!U155</f>
        <v>0</v>
      </c>
      <c r="E78" s="285">
        <v>2</v>
      </c>
    </row>
    <row r="79" spans="1:5">
      <c r="A79" s="101" t="str">
        <f>'Measure Tables'!A161</f>
        <v>BNI- Direct Installation; Relamp/Reballast-Retrofit (dual baseline)-BES; COM-Lighting; Retail</v>
      </c>
      <c r="B79" s="271">
        <f>'Measure Tables'!P161</f>
        <v>1.3951332562318068</v>
      </c>
      <c r="C79" s="271">
        <f>'Measure Tables'!T161</f>
        <v>1.8599687046010194</v>
      </c>
      <c r="D79" s="273">
        <f>'Measure Tables'!U161</f>
        <v>0.33318354808967315</v>
      </c>
      <c r="E79" s="285">
        <v>6</v>
      </c>
    </row>
    <row r="80" spans="1:5">
      <c r="A80" s="101" t="str">
        <f>'Measure Tables'!A156</f>
        <v>BNI- Direct Installation; Evaporator Fan Motor Controls for Walk-In Freezers and Coolers-BES; COM-Refrigeration; Retail</v>
      </c>
      <c r="B80" s="271">
        <f>'Measure Tables'!P156</f>
        <v>1.8475975422532376</v>
      </c>
      <c r="C80" s="271">
        <f>'Measure Tables'!T156</f>
        <v>1.8475975422532376</v>
      </c>
      <c r="D80" s="273">
        <f>'Measure Tables'!U156</f>
        <v>0</v>
      </c>
      <c r="E80" s="285">
        <v>2</v>
      </c>
    </row>
    <row r="81" spans="1:5">
      <c r="A81" s="101" t="str">
        <f>'Measure Tables'!A207</f>
        <v>Custom Incentives; Whole Building 20% Over Baseline; COM-Other; New Construction - BNI</v>
      </c>
      <c r="B81" s="271">
        <f>'Measure Tables'!P207</f>
        <v>1.7453816622858349</v>
      </c>
      <c r="C81" s="271">
        <f>'Measure Tables'!T207</f>
        <v>1.856736993903529</v>
      </c>
      <c r="D81" s="273">
        <f>'Measure Tables'!U207</f>
        <v>6.3799989437185803E-2</v>
      </c>
      <c r="E81" s="285">
        <v>3</v>
      </c>
    </row>
    <row r="82" spans="1:5">
      <c r="A82" s="101" t="str">
        <f>'Measure Tables'!A208</f>
        <v>Custom Incentives; Whole Building 40% Over Baseline; COM-Other; New Construction - BNI</v>
      </c>
      <c r="B82" s="271">
        <f>'Measure Tables'!P208</f>
        <v>1.7458404034860093</v>
      </c>
      <c r="C82" s="271">
        <f>'Measure Tables'!T208</f>
        <v>1.8572250027874289</v>
      </c>
      <c r="D82" s="273">
        <f>'Measure Tables'!U208</f>
        <v>6.3799989437185761E-2</v>
      </c>
      <c r="E82" s="285">
        <v>3</v>
      </c>
    </row>
    <row r="83" spans="1:5">
      <c r="A83" s="101" t="str">
        <f>'Measure Tables'!A114</f>
        <v>BNI - Efficient Product Rebates; Lighting Controls - Occupancy Sensors; COM-Lighting; Office</v>
      </c>
      <c r="B83" s="271">
        <f>'Measure Tables'!P114</f>
        <v>1.4117031546446381</v>
      </c>
      <c r="C83" s="271">
        <f>'Measure Tables'!T114</f>
        <v>1.9876965984031043</v>
      </c>
      <c r="D83" s="273">
        <f>'Measure Tables'!U114</f>
        <v>0.40801314487638052</v>
      </c>
      <c r="E83" s="285">
        <v>6</v>
      </c>
    </row>
    <row r="84" spans="1:5">
      <c r="A84" s="101" t="str">
        <f>'Measure Tables'!A167</f>
        <v>BNI- Direct Installation; LED Lamps-End of Life-BES; COM-Lighting; Retail</v>
      </c>
      <c r="B84" s="271">
        <f>'Measure Tables'!P167</f>
        <v>1.5026266406850544</v>
      </c>
      <c r="C84" s="271">
        <f>'Measure Tables'!T167</f>
        <v>2.052398468952811</v>
      </c>
      <c r="D84" s="273">
        <f>'Measure Tables'!U167</f>
        <v>0.36587387271206179</v>
      </c>
      <c r="E84" s="285">
        <v>6</v>
      </c>
    </row>
    <row r="85" spans="1:5">
      <c r="A85" s="101" t="str">
        <f>'Measure Tables'!A55</f>
        <v>BNI - Efficient Product Rebates; Electronically Commutated (Brushless) DC Motors for Refrigeration Applications; COM-Refrigeration; School</v>
      </c>
      <c r="B85" s="271">
        <f>'Measure Tables'!P55</f>
        <v>2.0257016944545763</v>
      </c>
      <c r="C85" s="271">
        <f>'Measure Tables'!T55</f>
        <v>2.0257016944545763</v>
      </c>
      <c r="D85" s="273">
        <f>'Measure Tables'!U55</f>
        <v>0</v>
      </c>
      <c r="E85" s="285">
        <v>2</v>
      </c>
    </row>
    <row r="86" spans="1:5">
      <c r="A86" s="101" t="str">
        <f>'Measure Tables'!A53</f>
        <v>BNI - Efficient Product Rebates; Electronically Commutated (Brushless) DC Motors for Refrigeration Applications; COM-Refrigeration; Other Commercial</v>
      </c>
      <c r="B86" s="271">
        <f>'Measure Tables'!P53</f>
        <v>2.0262398916795568</v>
      </c>
      <c r="C86" s="271">
        <f>'Measure Tables'!T53</f>
        <v>2.0262398916795568</v>
      </c>
      <c r="D86" s="273">
        <f>'Measure Tables'!U53</f>
        <v>0</v>
      </c>
      <c r="E86" s="285">
        <v>2</v>
      </c>
    </row>
    <row r="87" spans="1:5">
      <c r="A87" s="101" t="str">
        <f>'Measure Tables'!A54</f>
        <v>BNI - Efficient Product Rebates; Electronically Commutated (Brushless) DC Motors for Refrigeration Applications; COM-Refrigeration; Retail</v>
      </c>
      <c r="B87" s="271">
        <f>'Measure Tables'!P54</f>
        <v>2.0264806128770121</v>
      </c>
      <c r="C87" s="271">
        <f>'Measure Tables'!T54</f>
        <v>2.0264806128770121</v>
      </c>
      <c r="D87" s="273">
        <f>'Measure Tables'!U54</f>
        <v>0</v>
      </c>
      <c r="E87" s="285">
        <v>2</v>
      </c>
    </row>
    <row r="88" spans="1:5">
      <c r="A88" s="101" t="str">
        <f>'Measure Tables'!A39</f>
        <v>BNI - Efficient Product Rebates; Evaporator Fan Motor Controls for Walk-In Freezers and Coolers; COM-Refrigeration; School</v>
      </c>
      <c r="B88" s="271">
        <f>'Measure Tables'!P39</f>
        <v>2.0360414253993575</v>
      </c>
      <c r="C88" s="271">
        <f>'Measure Tables'!T39</f>
        <v>2.0360414253993575</v>
      </c>
      <c r="D88" s="273">
        <f>'Measure Tables'!U39</f>
        <v>0</v>
      </c>
      <c r="E88" s="285">
        <v>2</v>
      </c>
    </row>
    <row r="89" spans="1:5">
      <c r="A89" s="101" t="str">
        <f>'Measure Tables'!A166</f>
        <v>BNI- Direct Installation; LED Lamps-End of Life-BES; COM-Lighting; Other Commercial</v>
      </c>
      <c r="B89" s="271">
        <f>'Measure Tables'!P166</f>
        <v>1.5313121176000779</v>
      </c>
      <c r="C89" s="271">
        <f>'Measure Tables'!T166</f>
        <v>2.1048110156935946</v>
      </c>
      <c r="D89" s="273">
        <f>'Measure Tables'!U166</f>
        <v>0.37451469984598751</v>
      </c>
      <c r="E89" s="285">
        <v>6</v>
      </c>
    </row>
    <row r="90" spans="1:5">
      <c r="A90" s="101" t="str">
        <f>'Measure Tables'!A52</f>
        <v xml:space="preserve">BNI - Efficient Product Rebates; Electronically Commutated (Brushless) DC Motors for Refrigeration Applications; IND; Industrial </v>
      </c>
      <c r="B90" s="271">
        <f>'Measure Tables'!P52</f>
        <v>2.0723321209396599</v>
      </c>
      <c r="C90" s="271">
        <f>'Measure Tables'!T52</f>
        <v>2.0723321209396599</v>
      </c>
      <c r="D90" s="273">
        <f>'Measure Tables'!U52</f>
        <v>0</v>
      </c>
      <c r="E90" s="285">
        <v>2</v>
      </c>
    </row>
    <row r="91" spans="1:5">
      <c r="A91" s="101" t="str">
        <f>'Measure Tables'!A37</f>
        <v>BNI - Efficient Product Rebates; Evaporator Fan Motor Controls for Walk-In Freezers and Coolers; COM-Refrigeration; Other Commercial</v>
      </c>
      <c r="B91" s="271">
        <f>'Measure Tables'!P37</f>
        <v>2.07662411709769</v>
      </c>
      <c r="C91" s="271">
        <f>'Measure Tables'!T37</f>
        <v>2.07662411709769</v>
      </c>
      <c r="D91" s="273">
        <f>'Measure Tables'!U37</f>
        <v>0</v>
      </c>
      <c r="E91" s="285">
        <v>2</v>
      </c>
    </row>
    <row r="92" spans="1:5">
      <c r="A92" s="101" t="str">
        <f>'Measure Tables'!A38</f>
        <v>BNI - Efficient Product Rebates; Evaporator Fan Motor Controls for Walk-In Freezers and Coolers; COM-Refrigeration; Retail</v>
      </c>
      <c r="B92" s="271">
        <f>'Measure Tables'!P38</f>
        <v>2.0881995663230017</v>
      </c>
      <c r="C92" s="271">
        <f>'Measure Tables'!T38</f>
        <v>2.0881995663230017</v>
      </c>
      <c r="D92" s="273">
        <f>'Measure Tables'!U38</f>
        <v>0</v>
      </c>
      <c r="E92" s="285">
        <v>2</v>
      </c>
    </row>
    <row r="93" spans="1:5">
      <c r="A93" s="101" t="str">
        <f>'Measure Tables'!A108</f>
        <v xml:space="preserve">BNI - Efficient Product Rebates; Photoluminescent Exit Sign; IND; Industrial </v>
      </c>
      <c r="B93" s="271">
        <f>'Measure Tables'!P108</f>
        <v>1.5506093582189306</v>
      </c>
      <c r="C93" s="271">
        <f>'Measure Tables'!T108</f>
        <v>2.1385633991850161</v>
      </c>
      <c r="D93" s="273">
        <f>'Measure Tables'!U108</f>
        <v>0.37917612056812583</v>
      </c>
      <c r="E93" s="285">
        <v>6</v>
      </c>
    </row>
    <row r="94" spans="1:5">
      <c r="A94" s="101" t="str">
        <f>'Measure Tables'!A109</f>
        <v>BNI - Efficient Product Rebates; Photoluminescent Exit Sign; COM-Lighting; Office</v>
      </c>
      <c r="B94" s="271">
        <f>'Measure Tables'!P109</f>
        <v>1.5506093582189306</v>
      </c>
      <c r="C94" s="271">
        <f>'Measure Tables'!T109</f>
        <v>2.1385633991850161</v>
      </c>
      <c r="D94" s="273">
        <f>'Measure Tables'!U109</f>
        <v>0.37917612056812583</v>
      </c>
      <c r="E94" s="285">
        <v>6</v>
      </c>
    </row>
    <row r="95" spans="1:5">
      <c r="A95" s="101" t="str">
        <f>'Measure Tables'!A110</f>
        <v>BNI - Efficient Product Rebates; Photoluminescent Exit Sign; COM-Lighting; Other Commercial</v>
      </c>
      <c r="B95" s="271">
        <f>'Measure Tables'!P110</f>
        <v>1.5506093582189306</v>
      </c>
      <c r="C95" s="271">
        <f>'Measure Tables'!T110</f>
        <v>2.1385633991850161</v>
      </c>
      <c r="D95" s="273">
        <f>'Measure Tables'!U110</f>
        <v>0.37917612056812583</v>
      </c>
      <c r="E95" s="285">
        <v>6</v>
      </c>
    </row>
    <row r="96" spans="1:5">
      <c r="A96" s="101" t="str">
        <f>'Measure Tables'!A111</f>
        <v>BNI - Efficient Product Rebates; Photoluminescent Exit Sign; COM-Lighting; Retail</v>
      </c>
      <c r="B96" s="271">
        <f>'Measure Tables'!P111</f>
        <v>1.5506093582189306</v>
      </c>
      <c r="C96" s="271">
        <f>'Measure Tables'!T111</f>
        <v>2.1385633991850161</v>
      </c>
      <c r="D96" s="273">
        <f>'Measure Tables'!U111</f>
        <v>0.37917612056812583</v>
      </c>
      <c r="E96" s="285">
        <v>6</v>
      </c>
    </row>
    <row r="97" spans="1:5">
      <c r="A97" s="101" t="str">
        <f>'Measure Tables'!A112</f>
        <v>BNI - Efficient Product Rebates; Photoluminescent Exit Sign; COM-Lighting; School</v>
      </c>
      <c r="B97" s="271">
        <f>'Measure Tables'!P112</f>
        <v>1.5506093582189306</v>
      </c>
      <c r="C97" s="271">
        <f>'Measure Tables'!T112</f>
        <v>2.1385633991850161</v>
      </c>
      <c r="D97" s="273">
        <f>'Measure Tables'!U112</f>
        <v>0.37917612056812583</v>
      </c>
      <c r="E97" s="285">
        <v>6</v>
      </c>
    </row>
    <row r="98" spans="1:5">
      <c r="A98" s="101" t="str">
        <f>'Measure Tables'!A63</f>
        <v>BNI - Efficient Product Rebates; Relamp/Reballast-Retrofit (dual baseline); COM-Lighting; Other Commercial</v>
      </c>
      <c r="B98" s="271">
        <f>'Measure Tables'!P63</f>
        <v>1.6023561309206746</v>
      </c>
      <c r="C98" s="271">
        <f>'Measure Tables'!T63</f>
        <v>2.1485985798624254</v>
      </c>
      <c r="D98" s="273">
        <f>'Measure Tables'!U63</f>
        <v>0.34089952813916169</v>
      </c>
      <c r="E98" s="285">
        <v>6</v>
      </c>
    </row>
    <row r="99" spans="1:5">
      <c r="A99" s="101" t="str">
        <f>'Measure Tables'!A18</f>
        <v>BNI - Efficient Product Rebates; Solid Door Commercial Refrigerator; COM-Refrigeration; Retail</v>
      </c>
      <c r="B99" s="271">
        <f>'Measure Tables'!P18</f>
        <v>1.3244852365682911</v>
      </c>
      <c r="C99" s="271">
        <f>'Measure Tables'!T18</f>
        <v>2.1836132856371959</v>
      </c>
      <c r="D99" s="273">
        <f>'Measure Tables'!U18</f>
        <v>0.64865052878572249</v>
      </c>
      <c r="E99" s="285">
        <v>9</v>
      </c>
    </row>
    <row r="100" spans="1:5">
      <c r="A100" s="101" t="str">
        <f>'Measure Tables'!A22</f>
        <v>BNI - Efficient Product Rebates; ENERGY STAR® Remote Condensing Head/Split System Ice Maker; COM-Refrigeration; Retail</v>
      </c>
      <c r="B100" s="271">
        <f>'Measure Tables'!P22</f>
        <v>1.7756726987472056</v>
      </c>
      <c r="C100" s="271">
        <f>'Measure Tables'!T22</f>
        <v>2.1779057103021202</v>
      </c>
      <c r="D100" s="273">
        <f>'Measure Tables'!U22</f>
        <v>0.22652429799630475</v>
      </c>
      <c r="E100" s="285">
        <v>5</v>
      </c>
    </row>
    <row r="101" spans="1:5">
      <c r="A101" s="101" t="str">
        <f>'Measure Tables'!A62</f>
        <v>BNI - Efficient Product Rebates; Relamp/Reballast-Retrofit (dual baseline); COM-Lighting; Office</v>
      </c>
      <c r="B101" s="271">
        <f>'Measure Tables'!P62</f>
        <v>1.6299300750053118</v>
      </c>
      <c r="C101" s="271">
        <f>'Measure Tables'!T62</f>
        <v>2.1922259703545137</v>
      </c>
      <c r="D101" s="273">
        <f>'Measure Tables'!U62</f>
        <v>0.34498160624919411</v>
      </c>
      <c r="E101" s="285">
        <v>6</v>
      </c>
    </row>
    <row r="102" spans="1:5">
      <c r="A102" s="101" t="str">
        <f>'Measure Tables'!A64</f>
        <v>BNI - Efficient Product Rebates; Relamp/Reballast-Retrofit (dual baseline); COM-Lighting; Retail</v>
      </c>
      <c r="B102" s="271">
        <f>'Measure Tables'!P64</f>
        <v>1.6471058466668058</v>
      </c>
      <c r="C102" s="271">
        <f>'Measure Tables'!T64</f>
        <v>2.1958944167384975</v>
      </c>
      <c r="D102" s="273">
        <f>'Measure Tables'!U64</f>
        <v>0.33318354808967326</v>
      </c>
      <c r="E102" s="285">
        <v>6</v>
      </c>
    </row>
    <row r="103" spans="1:5">
      <c r="A103" s="101" t="str">
        <f>'Measure Tables'!A67</f>
        <v>BNI - Efficient Product Rebates; T8 Dimmable Stairwell Lighting; COM-Lighting; Office</v>
      </c>
      <c r="B103" s="271">
        <f>'Measure Tables'!P67</f>
        <v>1.5944140525196868</v>
      </c>
      <c r="C103" s="271">
        <f>'Measure Tables'!T67</f>
        <v>2.2449559443233387</v>
      </c>
      <c r="D103" s="273">
        <f>'Measure Tables'!U67</f>
        <v>0.40801314487638046</v>
      </c>
      <c r="E103" s="285">
        <v>6</v>
      </c>
    </row>
    <row r="104" spans="1:5">
      <c r="A104" s="101" t="str">
        <f>'Measure Tables'!A65</f>
        <v>BNI - Efficient Product Rebates; Relamp/Reballast-Retrofit (dual baseline); COM-Lighting; School</v>
      </c>
      <c r="B104" s="271">
        <f>'Measure Tables'!P65</f>
        <v>1.6774613509309899</v>
      </c>
      <c r="C104" s="271">
        <f>'Measure Tables'!T65</f>
        <v>2.241937529152926</v>
      </c>
      <c r="D104" s="273">
        <f>'Measure Tables'!U65</f>
        <v>0.33650621989511242</v>
      </c>
      <c r="E104" s="285">
        <v>6</v>
      </c>
    </row>
    <row r="105" spans="1:5">
      <c r="A105" s="101" t="str">
        <f>'Measure Tables'!A219</f>
        <v>Residential - Efficient Product Rebates; ENERGY STAR® LED Lamps; RES-Lighting; RES-SF</v>
      </c>
      <c r="B105" s="271">
        <f>'Measure Tables'!P219</f>
        <v>2.09267634198455</v>
      </c>
      <c r="C105" s="271">
        <f>'Measure Tables'!T219</f>
        <v>2.2349801743414259</v>
      </c>
      <c r="D105" s="273">
        <f>'Measure Tables'!U219</f>
        <v>6.8000879783409213E-2</v>
      </c>
      <c r="E105" s="285">
        <v>3</v>
      </c>
    </row>
    <row r="106" spans="1:5">
      <c r="A106" s="101" t="str">
        <f>'Measure Tables'!A61</f>
        <v xml:space="preserve">BNI - Efficient Product Rebates; Relamp/Reballast-Retrofit (dual baseline); IND; Industrial </v>
      </c>
      <c r="B106" s="271">
        <f>'Measure Tables'!P61</f>
        <v>1.771424947812881</v>
      </c>
      <c r="C106" s="271">
        <f>'Measure Tables'!T61</f>
        <v>2.3200545938033854</v>
      </c>
      <c r="D106" s="273">
        <f>'Measure Tables'!U61</f>
        <v>0.30971091756829955</v>
      </c>
      <c r="E106" s="285">
        <v>5</v>
      </c>
    </row>
    <row r="107" spans="1:5">
      <c r="A107" s="101" t="str">
        <f>'Measure Tables'!A124</f>
        <v>BNI - Efficient Product Rebates; Cycling Refrigerated Air Dryers (≤ 300 CFM capacity); COM-Process; School</v>
      </c>
      <c r="B107" s="271">
        <f>'Measure Tables'!P124</f>
        <v>2.3202023267243828</v>
      </c>
      <c r="C107" s="271">
        <f>'Measure Tables'!T124</f>
        <v>2.3202023267243828</v>
      </c>
      <c r="D107" s="273">
        <f>'Measure Tables'!U124</f>
        <v>0</v>
      </c>
      <c r="E107" s="285">
        <v>2</v>
      </c>
    </row>
    <row r="108" spans="1:5">
      <c r="A108" s="101" t="str">
        <f>'Measure Tables'!A242</f>
        <v>Existing Residential; 1W LED Nightlight; RES-Lighting; MURB</v>
      </c>
      <c r="B108" s="271">
        <f>'Measure Tables'!P242</f>
        <v>1.9045691724200355</v>
      </c>
      <c r="C108" s="271">
        <f>'Measure Tables'!T242</f>
        <v>2.3546815461784898</v>
      </c>
      <c r="D108" s="273">
        <f>'Measure Tables'!U242</f>
        <v>0.23633290944561505</v>
      </c>
      <c r="E108" s="285">
        <v>5</v>
      </c>
    </row>
    <row r="109" spans="1:5">
      <c r="A109" s="101" t="str">
        <f>'Measure Tables'!A226</f>
        <v>Residential - Efficient Product Rebates; Advanced Power Strip (load sensing or remote control/wireless APS); RES-Plug Load; RES-SF</v>
      </c>
      <c r="B109" s="271">
        <f>'Measure Tables'!P226</f>
        <v>2.4329316386805018</v>
      </c>
      <c r="C109" s="271">
        <f>'Measure Tables'!T226</f>
        <v>2.4329316386805018</v>
      </c>
      <c r="D109" s="273">
        <f>'Measure Tables'!U226</f>
        <v>0</v>
      </c>
      <c r="E109" s="285">
        <v>2</v>
      </c>
    </row>
    <row r="110" spans="1:5">
      <c r="A110" s="101" t="str">
        <f>'Measure Tables'!A51</f>
        <v>BNI - Efficient Product Rebates; Strip Curtains for 3' Open Refrigerated Display Cases; COM-Refrigeration; School</v>
      </c>
      <c r="B110" s="271">
        <f>'Measure Tables'!P51</f>
        <v>2.4754565682000402</v>
      </c>
      <c r="C110" s="271">
        <f>'Measure Tables'!T51</f>
        <v>2.4754565682000402</v>
      </c>
      <c r="D110" s="273">
        <f>'Measure Tables'!U51</f>
        <v>0</v>
      </c>
      <c r="E110" s="285">
        <v>2</v>
      </c>
    </row>
    <row r="111" spans="1:5">
      <c r="A111" s="101" t="str">
        <f>'Measure Tables'!A49</f>
        <v>BNI - Efficient Product Rebates; Strip Curtains for 3' Open Refrigerated Display Cases; COM-Refrigeration; Other Commercial</v>
      </c>
      <c r="B111" s="271">
        <f>'Measure Tables'!P49</f>
        <v>2.4759805897681701</v>
      </c>
      <c r="C111" s="271">
        <f>'Measure Tables'!T49</f>
        <v>2.4759805897681701</v>
      </c>
      <c r="D111" s="273">
        <f>'Measure Tables'!U49</f>
        <v>0</v>
      </c>
      <c r="E111" s="285">
        <v>2</v>
      </c>
    </row>
    <row r="112" spans="1:5">
      <c r="A112" s="101" t="str">
        <f>'Measure Tables'!A50</f>
        <v>BNI - Efficient Product Rebates; Strip Curtains for 3' Open Refrigerated Display Cases; COM-Refrigeration; Retail</v>
      </c>
      <c r="B112" s="271">
        <f>'Measure Tables'!P50</f>
        <v>2.4762149705741598</v>
      </c>
      <c r="C112" s="271">
        <f>'Measure Tables'!T50</f>
        <v>2.4762149705741598</v>
      </c>
      <c r="D112" s="273">
        <f>'Measure Tables'!U50</f>
        <v>0</v>
      </c>
      <c r="E112" s="285">
        <v>2</v>
      </c>
    </row>
    <row r="113" spans="1:5">
      <c r="A113" s="101" t="str">
        <f>'Measure Tables'!A133</f>
        <v>BNI - Efficient Product Rebates; Integrated Dual Enthalpy Economizer Controls; COM-HVAC; Office</v>
      </c>
      <c r="B113" s="271">
        <f>'Measure Tables'!P133</f>
        <v>2.5601364763393386</v>
      </c>
      <c r="C113" s="271">
        <f>'Measure Tables'!T133</f>
        <v>2.5601364763393386</v>
      </c>
      <c r="D113" s="273">
        <f>'Measure Tables'!U133</f>
        <v>0</v>
      </c>
      <c r="E113" s="285">
        <v>2</v>
      </c>
    </row>
    <row r="114" spans="1:5">
      <c r="A114" s="101" t="str">
        <f>'Measure Tables'!A134</f>
        <v>BNI - Efficient Product Rebates; Integrated Dual Enthalpy Economizer Controls; COM-HVAC; Other Commercial</v>
      </c>
      <c r="B114" s="271">
        <f>'Measure Tables'!P134</f>
        <v>2.5601364763393386</v>
      </c>
      <c r="C114" s="271">
        <f>'Measure Tables'!T134</f>
        <v>2.5601364763393386</v>
      </c>
      <c r="D114" s="273">
        <f>'Measure Tables'!U134</f>
        <v>0</v>
      </c>
      <c r="E114" s="285">
        <v>2</v>
      </c>
    </row>
    <row r="115" spans="1:5">
      <c r="A115" s="101" t="str">
        <f>'Measure Tables'!A125</f>
        <v xml:space="preserve">BNI - Efficient Product Rebates; Variable Speed Drive Screw Compressors (10 - 40 hp); IND; Industrial </v>
      </c>
      <c r="B115" s="271">
        <f>'Measure Tables'!P125</f>
        <v>2.6018255218086841</v>
      </c>
      <c r="C115" s="271">
        <f>'Measure Tables'!T125</f>
        <v>2.6018255218086841</v>
      </c>
      <c r="D115" s="273">
        <f>'Measure Tables'!U125</f>
        <v>0</v>
      </c>
      <c r="E115" s="285">
        <v>2</v>
      </c>
    </row>
    <row r="116" spans="1:5">
      <c r="A116" s="101" t="str">
        <f>'Measure Tables'!A113</f>
        <v xml:space="preserve">BNI - Efficient Product Rebates; Lighting Controls - Occupancy Sensors; IND; Industrial </v>
      </c>
      <c r="B116" s="271">
        <f>'Measure Tables'!P113</f>
        <v>1.8097655264202912</v>
      </c>
      <c r="C116" s="271">
        <f>'Measure Tables'!T113</f>
        <v>2.66828780356943</v>
      </c>
      <c r="D116" s="273">
        <f>'Measure Tables'!U113</f>
        <v>0.47438315329571579</v>
      </c>
      <c r="E116" s="285">
        <v>7</v>
      </c>
    </row>
    <row r="117" spans="1:5">
      <c r="A117" s="101" t="str">
        <f>'Measure Tables'!A103</f>
        <v xml:space="preserve">BNI - Efficient Product Rebates; LED Exit Sign-End of Life replacement; IND; Industrial </v>
      </c>
      <c r="B117" s="271">
        <f>'Measure Tables'!P103</f>
        <v>1.9532101681831293</v>
      </c>
      <c r="C117" s="271">
        <f>'Measure Tables'!T103</f>
        <v>2.693820822409025</v>
      </c>
      <c r="D117" s="273">
        <f>'Measure Tables'!U103</f>
        <v>0.37917612056812589</v>
      </c>
      <c r="E117" s="285">
        <v>6</v>
      </c>
    </row>
    <row r="118" spans="1:5">
      <c r="A118" s="101" t="str">
        <f>'Measure Tables'!A104</f>
        <v>BNI - Efficient Product Rebates; LED Exit Sign-End of Life replacement; COM-Lighting; Office</v>
      </c>
      <c r="B118" s="271">
        <f>'Measure Tables'!P104</f>
        <v>1.9532101681831293</v>
      </c>
      <c r="C118" s="271">
        <f>'Measure Tables'!T104</f>
        <v>2.693820822409025</v>
      </c>
      <c r="D118" s="273">
        <f>'Measure Tables'!U104</f>
        <v>0.37917612056812589</v>
      </c>
      <c r="E118" s="285">
        <v>6</v>
      </c>
    </row>
    <row r="119" spans="1:5">
      <c r="A119" s="101" t="str">
        <f>'Measure Tables'!A105</f>
        <v>BNI - Efficient Product Rebates; LED Exit Sign-End of Life replacement; COM-Lighting; Other Commercial</v>
      </c>
      <c r="B119" s="271">
        <f>'Measure Tables'!P105</f>
        <v>1.9532101681831293</v>
      </c>
      <c r="C119" s="271">
        <f>'Measure Tables'!T105</f>
        <v>2.693820822409025</v>
      </c>
      <c r="D119" s="273">
        <f>'Measure Tables'!U105</f>
        <v>0.37917612056812589</v>
      </c>
      <c r="E119" s="285">
        <v>6</v>
      </c>
    </row>
    <row r="120" spans="1:5">
      <c r="A120" s="101" t="str">
        <f>'Measure Tables'!A106</f>
        <v>BNI - Efficient Product Rebates; LED Exit Sign-End of Life replacement; COM-Lighting; Retail</v>
      </c>
      <c r="B120" s="271">
        <f>'Measure Tables'!P106</f>
        <v>1.9532101681831293</v>
      </c>
      <c r="C120" s="271">
        <f>'Measure Tables'!T106</f>
        <v>2.693820822409025</v>
      </c>
      <c r="D120" s="273">
        <f>'Measure Tables'!U106</f>
        <v>0.37917612056812589</v>
      </c>
      <c r="E120" s="285">
        <v>6</v>
      </c>
    </row>
    <row r="121" spans="1:5">
      <c r="A121" s="101" t="str">
        <f>'Measure Tables'!A107</f>
        <v>BNI - Efficient Product Rebates; LED Exit Sign-End of Life replacement; COM-Lighting; School</v>
      </c>
      <c r="B121" s="271">
        <f>'Measure Tables'!P107</f>
        <v>1.9532101681831293</v>
      </c>
      <c r="C121" s="271">
        <f>'Measure Tables'!T107</f>
        <v>2.693820822409025</v>
      </c>
      <c r="D121" s="273">
        <f>'Measure Tables'!U107</f>
        <v>0.37917612056812589</v>
      </c>
      <c r="E121" s="285">
        <v>6</v>
      </c>
    </row>
    <row r="122" spans="1:5">
      <c r="A122" s="101" t="str">
        <f>'Measure Tables'!A130</f>
        <v xml:space="preserve">BNI - Efficient Product Rebates; Air Tanks for Load / No-Load Screw Compressors (10 – 40 hp); IND; Industrial </v>
      </c>
      <c r="B122" s="271">
        <f>'Measure Tables'!P130</f>
        <v>2.6796968390640368</v>
      </c>
      <c r="C122" s="271">
        <f>'Measure Tables'!T130</f>
        <v>2.6796968390640368</v>
      </c>
      <c r="D122" s="273">
        <f>'Measure Tables'!U130</f>
        <v>0</v>
      </c>
      <c r="E122" s="285">
        <v>2</v>
      </c>
    </row>
    <row r="123" spans="1:5">
      <c r="A123" s="101" t="str">
        <f>'Measure Tables'!A21</f>
        <v>BNI - Efficient Product Rebates; ENERGY STAR® Ice Making Head; COM-Refrigeration; Retail</v>
      </c>
      <c r="B123" s="271">
        <f>'Measure Tables'!P21</f>
        <v>2.0624154680227962</v>
      </c>
      <c r="C123" s="271">
        <f>'Measure Tables'!T21</f>
        <v>2.7549133492795885</v>
      </c>
      <c r="D123" s="273">
        <f>'Measure Tables'!U21</f>
        <v>0.33577031010181413</v>
      </c>
      <c r="E123" s="285">
        <v>6</v>
      </c>
    </row>
    <row r="124" spans="1:5">
      <c r="A124" s="101" t="str">
        <f>'Measure Tables'!A79</f>
        <v>BNI - Efficient Product Rebates; LED Lamps-End of Life; COM-Lighting; Retail</v>
      </c>
      <c r="B124" s="271">
        <f>'Measure Tables'!P79</f>
        <v>2.0078851166420968</v>
      </c>
      <c r="C124" s="271">
        <f>'Measure Tables'!T79</f>
        <v>2.7425178202288505</v>
      </c>
      <c r="D124" s="273">
        <f>'Measure Tables'!U79</f>
        <v>0.36587387271206173</v>
      </c>
      <c r="E124" s="285">
        <v>6</v>
      </c>
    </row>
    <row r="125" spans="1:5">
      <c r="A125" s="101" t="str">
        <f>'Measure Tables'!A24</f>
        <v>BNI - Efficient Product Rebates; ENERGY STAR® Commercial Electric Convection Oven; COM-Other; Retail</v>
      </c>
      <c r="B125" s="271">
        <f>'Measure Tables'!P24</f>
        <v>2.7070647359823434</v>
      </c>
      <c r="C125" s="271">
        <f>'Measure Tables'!T24</f>
        <v>2.7070647359823434</v>
      </c>
      <c r="D125" s="273">
        <f>'Measure Tables'!U24</f>
        <v>0</v>
      </c>
      <c r="E125" s="285">
        <v>2</v>
      </c>
    </row>
    <row r="126" spans="1:5">
      <c r="A126" s="101" t="str">
        <f>'Measure Tables'!A175</f>
        <v>BNI- Direct Installation; High-Efficiency Air Source Heat Pumps: Electric Baseboards; COM-HVAC; School</v>
      </c>
      <c r="B126" s="271">
        <f>'Measure Tables'!P175</f>
        <v>1.2732681733093543</v>
      </c>
      <c r="C126" s="271">
        <f>'Measure Tables'!T175</f>
        <v>2.5382505479633819</v>
      </c>
      <c r="D126" s="273">
        <f>'Measure Tables'!U175</f>
        <v>0.99349249527396022</v>
      </c>
      <c r="E126" s="285">
        <v>10</v>
      </c>
    </row>
    <row r="127" spans="1:5">
      <c r="A127" s="101" t="str">
        <f>'Measure Tables'!A174</f>
        <v>BNI- Direct Installation; High-Efficiency Air Source Heat Pumps: Electric Baseboards; COM-HVAC; Retail</v>
      </c>
      <c r="B127" s="271">
        <f>'Measure Tables'!P174</f>
        <v>1.2787206331328507</v>
      </c>
      <c r="C127" s="271">
        <f>'Measure Tables'!T174</f>
        <v>2.5437030077868785</v>
      </c>
      <c r="D127" s="273">
        <f>'Measure Tables'!U174</f>
        <v>0.98925624712478111</v>
      </c>
      <c r="E127" s="285">
        <v>10</v>
      </c>
    </row>
    <row r="128" spans="1:5">
      <c r="A128" s="101" t="str">
        <f>'Measure Tables'!A78</f>
        <v>BNI - Efficient Product Rebates; LED Lamps-End of Life; COM-Lighting; Other Commercial</v>
      </c>
      <c r="B128" s="271">
        <f>'Measure Tables'!P78</f>
        <v>2.0763478335999492</v>
      </c>
      <c r="C128" s="271">
        <f>'Measure Tables'!T78</f>
        <v>2.8539706192765006</v>
      </c>
      <c r="D128" s="273">
        <f>'Measure Tables'!U78</f>
        <v>0.37451469984598751</v>
      </c>
      <c r="E128" s="285">
        <v>6</v>
      </c>
    </row>
    <row r="129" spans="1:5">
      <c r="A129" s="101" t="str">
        <f>'Measure Tables'!A173</f>
        <v>BNI- Direct Installation; High-Efficiency Air Source Heat Pumps: Electric Baseboards; COM-HVAC; Other Commercial</v>
      </c>
      <c r="B129" s="271">
        <f>'Measure Tables'!P173</f>
        <v>1.3011627425469097</v>
      </c>
      <c r="C129" s="271">
        <f>'Measure Tables'!T173</f>
        <v>2.5661451172009371</v>
      </c>
      <c r="D129" s="273">
        <f>'Measure Tables'!U173</f>
        <v>0.9721938181060561</v>
      </c>
      <c r="E129" s="285">
        <v>10</v>
      </c>
    </row>
    <row r="130" spans="1:5">
      <c r="A130" s="101" t="str">
        <f>'Measure Tables'!A172</f>
        <v>BNI- Direct Installation; High-Efficiency Air Source Heat Pumps: Electric Baseboards; COM-HVAC; Office</v>
      </c>
      <c r="B130" s="271">
        <f>'Measure Tables'!P172</f>
        <v>1.3115718813794606</v>
      </c>
      <c r="C130" s="271">
        <f>'Measure Tables'!T172</f>
        <v>2.5765542560334884</v>
      </c>
      <c r="D130" s="273">
        <f>'Measure Tables'!U172</f>
        <v>0.96447811409586515</v>
      </c>
      <c r="E130" s="285">
        <v>10</v>
      </c>
    </row>
    <row r="131" spans="1:5">
      <c r="A131" s="101" t="str">
        <f>'Measure Tables'!A241</f>
        <v>Existing Residential; 1W LED Nightlight; RES-Lighting; RES-SF</v>
      </c>
      <c r="B131" s="271">
        <f>'Measure Tables'!P241</f>
        <v>2.3872017348887282</v>
      </c>
      <c r="C131" s="271">
        <f>'Measure Tables'!T241</f>
        <v>2.8437816197796866</v>
      </c>
      <c r="D131" s="273">
        <f>'Measure Tables'!U241</f>
        <v>0.19126154200463513</v>
      </c>
      <c r="E131" s="285">
        <v>4</v>
      </c>
    </row>
    <row r="132" spans="1:5">
      <c r="A132" s="101" t="str">
        <f>'Measure Tables'!A280</f>
        <v>New Residential; EnerGuide 88+ New Home; RES-Package; RES-NC</v>
      </c>
      <c r="B132" s="271">
        <f>'Measure Tables'!P280</f>
        <v>2.4799301970777234</v>
      </c>
      <c r="C132" s="271">
        <f>'Measure Tables'!T280</f>
        <v>2.7042979746359253</v>
      </c>
      <c r="D132" s="273">
        <f>'Measure Tables'!U280</f>
        <v>9.0473424543396491E-2</v>
      </c>
      <c r="E132" s="285">
        <v>4</v>
      </c>
    </row>
    <row r="133" spans="1:5">
      <c r="A133" s="101" t="str">
        <f>'Measure Tables'!A76</f>
        <v xml:space="preserve">BNI - Efficient Product Rebates; LED Lamps-End of Life; IND; Industrial </v>
      </c>
      <c r="B133" s="271">
        <f>'Measure Tables'!P76</f>
        <v>2.1709727310646123</v>
      </c>
      <c r="C133" s="271">
        <f>'Measure Tables'!T76</f>
        <v>2.9083117527258282</v>
      </c>
      <c r="D133" s="273">
        <f>'Measure Tables'!U76</f>
        <v>0.33963532158215359</v>
      </c>
      <c r="E133" s="285">
        <v>6</v>
      </c>
    </row>
    <row r="134" spans="1:5">
      <c r="A134" s="101" t="str">
        <f>'Measure Tables'!A279</f>
        <v>New Residential; EnerGuide 88 New Home; RES-Package; RES-NC</v>
      </c>
      <c r="B134" s="271">
        <f>'Measure Tables'!P279</f>
        <v>2.4959133908614541</v>
      </c>
      <c r="C134" s="271">
        <f>'Measure Tables'!T279</f>
        <v>2.7443086058799064</v>
      </c>
      <c r="D134" s="273">
        <f>'Measure Tables'!U279</f>
        <v>9.952076699773614E-2</v>
      </c>
      <c r="E134" s="285">
        <v>4</v>
      </c>
    </row>
    <row r="135" spans="1:5">
      <c r="A135" s="101" t="str">
        <f>'Measure Tables'!A85</f>
        <v>BNI - Efficient Product Rebates; LED High Bay Fixture; COM-Lighting; Other Commercial</v>
      </c>
      <c r="B135" s="271">
        <f>'Measure Tables'!P85</f>
        <v>2.193607398918858</v>
      </c>
      <c r="C135" s="271">
        <f>'Measure Tables'!T85</f>
        <v>2.9414071261328707</v>
      </c>
      <c r="D135" s="273">
        <f>'Measure Tables'!U85</f>
        <v>0.34089952813916174</v>
      </c>
      <c r="E135" s="285">
        <v>6</v>
      </c>
    </row>
    <row r="136" spans="1:5">
      <c r="A136" s="101" t="str">
        <f>'Measure Tables'!A116</f>
        <v>BNI - Efficient Product Rebates; Lighting Controls - Occupancy Sensors; COM-Lighting; Retail</v>
      </c>
      <c r="B136" s="271">
        <f>'Measure Tables'!P116</f>
        <v>2.143902807850246</v>
      </c>
      <c r="C136" s="271">
        <f>'Measure Tables'!T116</f>
        <v>2.9993107171353546</v>
      </c>
      <c r="D136" s="273">
        <f>'Measure Tables'!U116</f>
        <v>0.39899565696396988</v>
      </c>
      <c r="E136" s="285">
        <v>6</v>
      </c>
    </row>
    <row r="137" spans="1:5">
      <c r="A137" s="101" t="str">
        <f>'Measure Tables'!A87</f>
        <v>BNI - Efficient Product Rebates; LED High Bay Fixture; COM-Lighting; School</v>
      </c>
      <c r="B137" s="271">
        <f>'Measure Tables'!P87</f>
        <v>2.23529997230753</v>
      </c>
      <c r="C137" s="271">
        <f>'Measure Tables'!T87</f>
        <v>2.9874923163203868</v>
      </c>
      <c r="D137" s="273">
        <f>'Measure Tables'!U87</f>
        <v>0.33650621989511265</v>
      </c>
      <c r="E137" s="285">
        <v>6</v>
      </c>
    </row>
    <row r="138" spans="1:5">
      <c r="A138" s="101" t="str">
        <f>'Measure Tables'!A20</f>
        <v>BNI - Efficient Product Rebates; Solid Door Commercial Freezer; COM-Refrigeration; Retail</v>
      </c>
      <c r="B138" s="271">
        <f>'Measure Tables'!P20</f>
        <v>1.8355907062310652</v>
      </c>
      <c r="C138" s="271">
        <f>'Measure Tables'!T20</f>
        <v>3.0262475884620033</v>
      </c>
      <c r="D138" s="273">
        <f>'Measure Tables'!U20</f>
        <v>0.64865052878572238</v>
      </c>
      <c r="E138" s="285">
        <v>9</v>
      </c>
    </row>
    <row r="139" spans="1:5">
      <c r="A139" s="101" t="str">
        <f>'Measure Tables'!A278</f>
        <v>New Residential; EnerGuide 87 New Home; RES-Package; RES-NC</v>
      </c>
      <c r="B139" s="271">
        <f>'Measure Tables'!P278</f>
        <v>2.5159317070077356</v>
      </c>
      <c r="C139" s="271">
        <f>'Measure Tables'!T278</f>
        <v>2.7941049450960143</v>
      </c>
      <c r="D139" s="273">
        <f>'Measure Tables'!U278</f>
        <v>0.11056470146366472</v>
      </c>
      <c r="E139" s="285">
        <v>4</v>
      </c>
    </row>
    <row r="140" spans="1:5">
      <c r="A140" s="101" t="str">
        <f>'Measure Tables'!A86</f>
        <v>BNI - Efficient Product Rebates; LED High Bay Fixture; COM-Lighting; Retail</v>
      </c>
      <c r="B140" s="271">
        <f>'Measure Tables'!P86</f>
        <v>2.2537060182954263</v>
      </c>
      <c r="C140" s="271">
        <f>'Measure Tables'!T86</f>
        <v>3.0046037858221459</v>
      </c>
      <c r="D140" s="273">
        <f>'Measure Tables'!U86</f>
        <v>0.33318354808967304</v>
      </c>
      <c r="E140" s="285">
        <v>6</v>
      </c>
    </row>
    <row r="141" spans="1:5">
      <c r="A141" s="101" t="str">
        <f>'Measure Tables'!A42</f>
        <v>BNI - Efficient Product Rebates; Intelligent (Electronic) Defrost Control For Freezer Display Cases; COM-Refrigeration; School</v>
      </c>
      <c r="B141" s="271">
        <f>'Measure Tables'!P42</f>
        <v>3.0127154335898254</v>
      </c>
      <c r="C141" s="271">
        <f>'Measure Tables'!T42</f>
        <v>3.0127154335898254</v>
      </c>
      <c r="D141" s="273">
        <f>'Measure Tables'!U42</f>
        <v>0</v>
      </c>
      <c r="E141" s="285">
        <v>2</v>
      </c>
    </row>
    <row r="142" spans="1:5">
      <c r="A142" s="101" t="str">
        <f>'Measure Tables'!A277</f>
        <v>New Residential; EnerGuide 86 New Home; RES-Package; RES-NC</v>
      </c>
      <c r="B142" s="271">
        <f>'Measure Tables'!P277</f>
        <v>2.540948652571704</v>
      </c>
      <c r="C142" s="271">
        <f>'Measure Tables'!T277</f>
        <v>2.8570451010789548</v>
      </c>
      <c r="D142" s="273">
        <f>'Measure Tables'!U277</f>
        <v>0.12440095874717043</v>
      </c>
      <c r="E142" s="285">
        <v>4</v>
      </c>
    </row>
    <row r="143" spans="1:5">
      <c r="A143" s="101" t="str">
        <f>'Measure Tables'!A225</f>
        <v>Residential - Efficient Product Rebates; Heavy Duty Outdoor Timer; RES-Plug Load; RES-SF</v>
      </c>
      <c r="B143" s="271">
        <f>'Measure Tables'!P225</f>
        <v>2.9923076649100713</v>
      </c>
      <c r="C143" s="271">
        <f>'Measure Tables'!T225</f>
        <v>3.0527437917354892</v>
      </c>
      <c r="D143" s="273">
        <f>'Measure Tables'!U225</f>
        <v>2.0197163391363428E-2</v>
      </c>
      <c r="E143" s="285">
        <v>3</v>
      </c>
    </row>
    <row r="144" spans="1:5">
      <c r="A144" s="101" t="str">
        <f>'Measure Tables'!A17</f>
        <v>BNI - Efficient Product Rebates; Commercial Electric Griddle; COM-Other; Retail</v>
      </c>
      <c r="B144" s="271">
        <f>'Measure Tables'!P17</f>
        <v>3.0512364306843627</v>
      </c>
      <c r="C144" s="271">
        <f>'Measure Tables'!T17</f>
        <v>3.0512364306843627</v>
      </c>
      <c r="D144" s="273">
        <f>'Measure Tables'!U17</f>
        <v>0</v>
      </c>
      <c r="E144" s="285">
        <v>2</v>
      </c>
    </row>
    <row r="145" spans="1:5">
      <c r="A145" s="101" t="str">
        <f>'Measure Tables'!A253</f>
        <v>Existing Residential; Certified Pellet Stove; RES-HVAC/Shell; RES-SF</v>
      </c>
      <c r="B145" s="271">
        <f>'Measure Tables'!P253</f>
        <v>3.0480946169831964</v>
      </c>
      <c r="C145" s="271">
        <f>'Measure Tables'!T253</f>
        <v>3.0639676916371541</v>
      </c>
      <c r="D145" s="273">
        <f>'Measure Tables'!U253</f>
        <v>5.2075400040133384E-3</v>
      </c>
      <c r="E145" s="285">
        <v>3</v>
      </c>
    </row>
    <row r="146" spans="1:5">
      <c r="A146" s="101" t="str">
        <f>'Measure Tables'!A275</f>
        <v>New Residential; EnerGuide 83 New Home; RES-Package; RES-NC</v>
      </c>
      <c r="B146" s="271">
        <f>'Measure Tables'!P275</f>
        <v>2.3306794218558373</v>
      </c>
      <c r="C146" s="271">
        <f>'Measure Tables'!T275</f>
        <v>2.794581429233705</v>
      </c>
      <c r="D146" s="273">
        <f>'Measure Tables'!U275</f>
        <v>0.19904153399547286</v>
      </c>
      <c r="E146" s="285">
        <v>6</v>
      </c>
    </row>
    <row r="147" spans="1:5">
      <c r="A147" s="101" t="str">
        <f>'Measure Tables'!A40</f>
        <v>BNI - Efficient Product Rebates; Intelligent (Electronic) Defrost Control For Freezer Display Cases; COM-Refrigeration; Other Commercial</v>
      </c>
      <c r="B147" s="271">
        <f>'Measure Tables'!P40</f>
        <v>3.0733786531836542</v>
      </c>
      <c r="C147" s="271">
        <f>'Measure Tables'!T40</f>
        <v>3.0733786531836542</v>
      </c>
      <c r="D147" s="273">
        <f>'Measure Tables'!U40</f>
        <v>0</v>
      </c>
      <c r="E147" s="285">
        <v>2</v>
      </c>
    </row>
    <row r="148" spans="1:5">
      <c r="A148" s="101" t="str">
        <f>'Measure Tables'!A115</f>
        <v>BNI - Efficient Product Rebates; Lighting Controls - Occupancy Sensors; COM-Lighting; Other Commercial</v>
      </c>
      <c r="B148" s="271">
        <f>'Measure Tables'!P115</f>
        <v>2.236074460073187</v>
      </c>
      <c r="C148" s="271">
        <f>'Measure Tables'!T115</f>
        <v>3.1409227478176045</v>
      </c>
      <c r="D148" s="273">
        <f>'Measure Tables'!U115</f>
        <v>0.40465928299847481</v>
      </c>
      <c r="E148" s="285">
        <v>6</v>
      </c>
    </row>
    <row r="149" spans="1:5">
      <c r="A149" s="101" t="str">
        <f>'Measure Tables'!A41</f>
        <v>BNI - Efficient Product Rebates; Intelligent (Electronic) Defrost Control For Freezer Display Cases; COM-Refrigeration; Retail</v>
      </c>
      <c r="B149" s="271">
        <f>'Measure Tables'!P41</f>
        <v>3.1018022895685688</v>
      </c>
      <c r="C149" s="271">
        <f>'Measure Tables'!T41</f>
        <v>3.1018022895685688</v>
      </c>
      <c r="D149" s="273">
        <f>'Measure Tables'!U41</f>
        <v>0</v>
      </c>
      <c r="E149" s="285">
        <v>2</v>
      </c>
    </row>
    <row r="150" spans="1:5">
      <c r="A150" s="101" t="str">
        <f>'Measure Tables'!A46</f>
        <v>BNI - Efficient Product Rebates; Refrigerated Vending Machine Controller; COM-Refrigeration; Office</v>
      </c>
      <c r="B150" s="271">
        <f>'Measure Tables'!P46</f>
        <v>3.1077078969344125</v>
      </c>
      <c r="C150" s="271">
        <f>'Measure Tables'!T46</f>
        <v>3.1077078969344125</v>
      </c>
      <c r="D150" s="273">
        <f>'Measure Tables'!U46</f>
        <v>0</v>
      </c>
      <c r="E150" s="285">
        <v>2</v>
      </c>
    </row>
    <row r="151" spans="1:5">
      <c r="A151" s="101" t="str">
        <f>'Measure Tables'!A47</f>
        <v>BNI - Efficient Product Rebates; Refrigerated Vending Machine Controller; COM-Refrigeration; Other Commercial</v>
      </c>
      <c r="B151" s="271">
        <f>'Measure Tables'!P47</f>
        <v>3.1077078969344125</v>
      </c>
      <c r="C151" s="271">
        <f>'Measure Tables'!T47</f>
        <v>3.1077078969344125</v>
      </c>
      <c r="D151" s="273">
        <f>'Measure Tables'!U47</f>
        <v>0</v>
      </c>
      <c r="E151" s="285">
        <v>2</v>
      </c>
    </row>
    <row r="152" spans="1:5">
      <c r="A152" s="101" t="str">
        <f>'Measure Tables'!A48</f>
        <v>BNI - Efficient Product Rebates; Refrigerated Vending Machine Controller; COM-Refrigeration; Retail</v>
      </c>
      <c r="B152" s="271">
        <f>'Measure Tables'!P48</f>
        <v>3.1349491348782341</v>
      </c>
      <c r="C152" s="271">
        <f>'Measure Tables'!T48</f>
        <v>3.1349491348782341</v>
      </c>
      <c r="D152" s="273">
        <f>'Measure Tables'!U48</f>
        <v>0</v>
      </c>
      <c r="E152" s="285">
        <v>2</v>
      </c>
    </row>
    <row r="153" spans="1:5">
      <c r="A153" s="101" t="str">
        <f>'Measure Tables'!A84</f>
        <v xml:space="preserve">BNI - Efficient Product Rebates; LED High Bay Fixture; IND; Industrial </v>
      </c>
      <c r="B153" s="271">
        <f>'Measure Tables'!P84</f>
        <v>2.4184429043472764</v>
      </c>
      <c r="C153" s="271">
        <f>'Measure Tables'!T84</f>
        <v>3.1674610753392143</v>
      </c>
      <c r="D153" s="273">
        <f>'Measure Tables'!U84</f>
        <v>0.30971091756829938</v>
      </c>
      <c r="E153" s="285">
        <v>5</v>
      </c>
    </row>
    <row r="154" spans="1:5">
      <c r="A154" s="101" t="str">
        <f>'Measure Tables'!A276</f>
        <v>New Residential; EnerGuide 85 New Home; RES-Package; RES-NC</v>
      </c>
      <c r="B154" s="271">
        <f>'Measure Tables'!P276</f>
        <v>2.5741247064055583</v>
      </c>
      <c r="C154" s="271">
        <f>'Measure Tables'!T276</f>
        <v>2.9400945137331358</v>
      </c>
      <c r="D154" s="273">
        <f>'Measure Tables'!U276</f>
        <v>0.14217252428248059</v>
      </c>
      <c r="E154" s="285">
        <v>5</v>
      </c>
    </row>
    <row r="155" spans="1:5">
      <c r="A155" s="101" t="str">
        <f>'Measure Tables'!A45</f>
        <v>BNI - Efficient Product Rebates; Intelligent (Electronic) Defrost Control For Walk-In Freezers; COM-Refrigeration; School</v>
      </c>
      <c r="B155" s="271">
        <f>'Measure Tables'!P45</f>
        <v>3.1952602029275119</v>
      </c>
      <c r="C155" s="271">
        <f>'Measure Tables'!T45</f>
        <v>3.1952602029275119</v>
      </c>
      <c r="D155" s="273">
        <f>'Measure Tables'!U45</f>
        <v>0</v>
      </c>
      <c r="E155" s="285">
        <v>2</v>
      </c>
    </row>
    <row r="156" spans="1:5">
      <c r="A156" s="101" t="str">
        <f>'Measure Tables'!A43</f>
        <v>BNI - Efficient Product Rebates; Intelligent (Electronic) Defrost Control For Walk-In Freezers; COM-Refrigeration; Other Commercial</v>
      </c>
      <c r="B156" s="271">
        <f>'Measure Tables'!P43</f>
        <v>3.2595990944100852</v>
      </c>
      <c r="C156" s="271">
        <f>'Measure Tables'!T43</f>
        <v>3.2595990944100852</v>
      </c>
      <c r="D156" s="273">
        <f>'Measure Tables'!U43</f>
        <v>0</v>
      </c>
      <c r="E156" s="285">
        <v>2</v>
      </c>
    </row>
    <row r="157" spans="1:5">
      <c r="A157" s="101" t="str">
        <f>'Measure Tables'!A44</f>
        <v>BNI - Efficient Product Rebates; Intelligent (Electronic) Defrost Control For Walk-In Freezers; COM-Refrigeration; Retail</v>
      </c>
      <c r="B157" s="271">
        <f>'Measure Tables'!P44</f>
        <v>3.2897449598810176</v>
      </c>
      <c r="C157" s="271">
        <f>'Measure Tables'!T44</f>
        <v>3.2897449598810176</v>
      </c>
      <c r="D157" s="273">
        <f>'Measure Tables'!U44</f>
        <v>0</v>
      </c>
      <c r="E157" s="285">
        <v>2</v>
      </c>
    </row>
    <row r="158" spans="1:5">
      <c r="A158" s="101" t="str">
        <f>'Measure Tables'!A69</f>
        <v>BNI - Efficient Product Rebates; T8 Dimmable Stairwell Lighting; COM-Lighting; Retail</v>
      </c>
      <c r="B158" s="271">
        <f>'Measure Tables'!P69</f>
        <v>2.4058457894102272</v>
      </c>
      <c r="C158" s="271">
        <f>'Measure Tables'!T69</f>
        <v>3.3657678107099613</v>
      </c>
      <c r="D158" s="273">
        <f>'Measure Tables'!U69</f>
        <v>0.39899565696396982</v>
      </c>
      <c r="E158" s="285">
        <v>6</v>
      </c>
    </row>
    <row r="159" spans="1:5">
      <c r="A159" s="101" t="str">
        <f>'Measure Tables'!A187</f>
        <v>BNI- Direct Installation; DHW Tank Wrap; COM-Other; Office</v>
      </c>
      <c r="B159" s="271">
        <f>'Measure Tables'!P187</f>
        <v>2.061464604948601</v>
      </c>
      <c r="C159" s="271">
        <f>'Measure Tables'!T187</f>
        <v>3.5308267610228548</v>
      </c>
      <c r="D159" s="273">
        <f>'Measure Tables'!U187</f>
        <v>0.71277583546523704</v>
      </c>
      <c r="E159" s="285">
        <v>9</v>
      </c>
    </row>
    <row r="160" spans="1:5">
      <c r="A160" s="101" t="str">
        <f>'Measure Tables'!A188</f>
        <v>BNI- Direct Installation; DHW Tank Wrap; COM-Other; Retail</v>
      </c>
      <c r="B160" s="271">
        <f>'Measure Tables'!P188</f>
        <v>2.061464604948601</v>
      </c>
      <c r="C160" s="271">
        <f>'Measure Tables'!T188</f>
        <v>3.5308267610228548</v>
      </c>
      <c r="D160" s="273">
        <f>'Measure Tables'!U188</f>
        <v>0.71277583546523704</v>
      </c>
      <c r="E160" s="285">
        <v>9</v>
      </c>
    </row>
    <row r="161" spans="1:5">
      <c r="A161" s="101" t="str">
        <f>'Measure Tables'!A68</f>
        <v>BNI - Efficient Product Rebates; T8 Dimmable Stairwell Lighting; COM-Lighting; Other Commercial</v>
      </c>
      <c r="B161" s="271">
        <f>'Measure Tables'!P68</f>
        <v>2.5064339288950239</v>
      </c>
      <c r="C161" s="271">
        <f>'Measure Tables'!T68</f>
        <v>3.5206856854447346</v>
      </c>
      <c r="D161" s="273">
        <f>'Measure Tables'!U68</f>
        <v>0.40465928299847487</v>
      </c>
      <c r="E161" s="285">
        <v>6</v>
      </c>
    </row>
    <row r="162" spans="1:5">
      <c r="A162" s="101" t="str">
        <f>'Measure Tables'!A250</f>
        <v>Existing Residential; DHW Tank Wrap; RES-Water Heat; MURB</v>
      </c>
      <c r="B162" s="271">
        <f>'Measure Tables'!P250</f>
        <v>2.655618006286399</v>
      </c>
      <c r="C162" s="271">
        <f>'Measure Tables'!T250</f>
        <v>3.5220109590455286</v>
      </c>
      <c r="D162" s="273">
        <f>'Measure Tables'!U250</f>
        <v>0.32624908804963582</v>
      </c>
      <c r="E162" s="285">
        <v>6</v>
      </c>
    </row>
    <row r="163" spans="1:5">
      <c r="A163" s="101" t="str">
        <f>'Measure Tables'!A142</f>
        <v>BNI - Efficient Product Rebates; Heat Reclaimer Unit; COM-Other; Other Commercial</v>
      </c>
      <c r="B163" s="271">
        <f>'Measure Tables'!P142</f>
        <v>3.4925087101467152</v>
      </c>
      <c r="C163" s="271">
        <f>'Measure Tables'!T142</f>
        <v>3.4925087101467152</v>
      </c>
      <c r="D163" s="273">
        <f>'Measure Tables'!U142</f>
        <v>0</v>
      </c>
      <c r="E163" s="285">
        <v>2</v>
      </c>
    </row>
    <row r="164" spans="1:5">
      <c r="A164" s="101" t="str">
        <f>'Measure Tables'!A240</f>
        <v>Existing Residential; 5W Chandelier LED bulb; RES-Lighting; MURB</v>
      </c>
      <c r="B164" s="271">
        <f>'Measure Tables'!P240</f>
        <v>3.3439238867036716</v>
      </c>
      <c r="C164" s="271">
        <f>'Measure Tables'!T240</f>
        <v>3.5887018805380144</v>
      </c>
      <c r="D164" s="273">
        <f>'Measure Tables'!U240</f>
        <v>7.3200826970866495E-2</v>
      </c>
      <c r="E164" s="285">
        <v>3</v>
      </c>
    </row>
    <row r="165" spans="1:5">
      <c r="A165" s="101" t="str">
        <f>'Measure Tables'!A153</f>
        <v>BNI- Direct Installation; Humidity-Based Door Heater Controls for Reach-In Coolers and Freezers-BES; COM-Refrigeration; Other Commercial</v>
      </c>
      <c r="B165" s="271">
        <f>'Measure Tables'!P153</f>
        <v>3.6758168826803108</v>
      </c>
      <c r="C165" s="271">
        <f>'Measure Tables'!T153</f>
        <v>3.6758168826803108</v>
      </c>
      <c r="D165" s="273">
        <f>'Measure Tables'!U153</f>
        <v>0</v>
      </c>
      <c r="E165" s="285">
        <v>2</v>
      </c>
    </row>
    <row r="166" spans="1:5">
      <c r="A166" s="101" t="str">
        <f>'Measure Tables'!A154</f>
        <v>BNI- Direct Installation; Humidity-Based Door Heater Controls for Reach-In Coolers and Freezers-BES; COM-Refrigeration; Retail</v>
      </c>
      <c r="B166" s="271">
        <f>'Measure Tables'!P154</f>
        <v>3.7098120698280472</v>
      </c>
      <c r="C166" s="271">
        <f>'Measure Tables'!T154</f>
        <v>3.7098120698280472</v>
      </c>
      <c r="D166" s="273">
        <f>'Measure Tables'!U154</f>
        <v>0</v>
      </c>
      <c r="E166" s="285">
        <v>2</v>
      </c>
    </row>
    <row r="167" spans="1:5">
      <c r="A167" s="101" t="str">
        <f>'Measure Tables'!A66</f>
        <v xml:space="preserve">BNI - Efficient Product Rebates; T8 Dimmable Stairwell Lighting; IND; Industrial </v>
      </c>
      <c r="B167" s="271">
        <f>'Measure Tables'!P66</f>
        <v>2.8364188293670183</v>
      </c>
      <c r="C167" s="271">
        <f>'Measure Tables'!T66</f>
        <v>3.7997668506207614</v>
      </c>
      <c r="D167" s="273">
        <f>'Measure Tables'!U66</f>
        <v>0.33963532158215365</v>
      </c>
      <c r="E167" s="285">
        <v>6</v>
      </c>
    </row>
    <row r="168" spans="1:5">
      <c r="A168" s="101" t="str">
        <f>'Measure Tables'!A200</f>
        <v xml:space="preserve">Custom Incentives; Custom Efficiency; IND; Industrial </v>
      </c>
      <c r="B168" s="271">
        <f>'Measure Tables'!P200</f>
        <v>2.569959477883887</v>
      </c>
      <c r="C168" s="271">
        <f>'Measure Tables'!T200</f>
        <v>3.7713667892156688</v>
      </c>
      <c r="D168" s="273">
        <f>'Measure Tables'!U200</f>
        <v>0.46748103293870785</v>
      </c>
      <c r="E168" s="285">
        <v>7</v>
      </c>
    </row>
    <row r="169" spans="1:5">
      <c r="A169" s="101" t="str">
        <f>'Measure Tables'!A254</f>
        <v>Existing Residential; Certified Pellet Boiler or Furnace Supplemented by Baseboard Heat (Whole Home); RES-HVAC/Shell; RES-SF</v>
      </c>
      <c r="B169" s="271">
        <f>'Measure Tables'!P254</f>
        <v>2.9634681429216641</v>
      </c>
      <c r="C169" s="271">
        <f>'Measure Tables'!T254</f>
        <v>3.0603769967191634</v>
      </c>
      <c r="D169" s="273">
        <f>'Measure Tables'!U254</f>
        <v>3.2701162666104303E-2</v>
      </c>
      <c r="E169" s="285">
        <v>5</v>
      </c>
    </row>
    <row r="170" spans="1:5">
      <c r="A170" s="101" t="str">
        <f>'Measure Tables'!A199</f>
        <v>Custom Incentives; Custom Efficiency; COM-Other; COM</v>
      </c>
      <c r="B170" s="271">
        <f>'Measure Tables'!P199</f>
        <v>2.6466785212700317</v>
      </c>
      <c r="C170" s="271">
        <f>'Measure Tables'!T199</f>
        <v>3.848085832601813</v>
      </c>
      <c r="D170" s="273">
        <f>'Measure Tables'!U199</f>
        <v>0.4539302003158569</v>
      </c>
      <c r="E170" s="285">
        <v>7</v>
      </c>
    </row>
    <row r="171" spans="1:5">
      <c r="A171" s="101" t="str">
        <f>'Measure Tables'!A140</f>
        <v>BNI - Efficient Product Rebates; Double Heat Pad; COM-Other; Other Commercial</v>
      </c>
      <c r="B171" s="271">
        <f>'Measure Tables'!P140</f>
        <v>3.8631457542605285</v>
      </c>
      <c r="C171" s="271">
        <f>'Measure Tables'!T140</f>
        <v>3.8631457542605285</v>
      </c>
      <c r="D171" s="273">
        <f>'Measure Tables'!U140</f>
        <v>0</v>
      </c>
      <c r="E171" s="285">
        <v>2</v>
      </c>
    </row>
    <row r="172" spans="1:5">
      <c r="A172" s="101" t="str">
        <f>'Measure Tables'!A249</f>
        <v>Existing Residential; DHW Tank Wrap; RES-Water Heat; RES-SF</v>
      </c>
      <c r="B172" s="271">
        <f>'Measure Tables'!P249</f>
        <v>3.075111758789983</v>
      </c>
      <c r="C172" s="271">
        <f>'Measure Tables'!T249</f>
        <v>3.9245493653402357</v>
      </c>
      <c r="D172" s="273">
        <f>'Measure Tables'!U249</f>
        <v>0.27622983266289336</v>
      </c>
      <c r="E172" s="285">
        <v>5</v>
      </c>
    </row>
    <row r="173" spans="1:5">
      <c r="A173" s="101" t="str">
        <f>'Measure Tables'!A58</f>
        <v>BNI - Efficient Product Rebates; Variable Frequency Drives; COM-Motors; Retail</v>
      </c>
      <c r="B173" s="271">
        <f>'Measure Tables'!P58</f>
        <v>3.8938860915995486</v>
      </c>
      <c r="C173" s="271">
        <f>'Measure Tables'!T58</f>
        <v>3.8938860915995486</v>
      </c>
      <c r="D173" s="273">
        <f>'Measure Tables'!U58</f>
        <v>0</v>
      </c>
      <c r="E173" s="285">
        <v>2</v>
      </c>
    </row>
    <row r="174" spans="1:5">
      <c r="A174" s="101" t="str">
        <f>'Measure Tables'!A162</f>
        <v>BNI- Direct Installation; LED Lamps-Retrofit (dual baseline)-BES; COM-Lighting; Office</v>
      </c>
      <c r="B174" s="271">
        <f>'Measure Tables'!P162</f>
        <v>2.8968011572770771</v>
      </c>
      <c r="C174" s="271">
        <f>'Measure Tables'!T162</f>
        <v>3.9949471753562489</v>
      </c>
      <c r="D174" s="273">
        <f>'Measure Tables'!U162</f>
        <v>0.37908919475557046</v>
      </c>
      <c r="E174" s="285">
        <v>6</v>
      </c>
    </row>
    <row r="175" spans="1:5">
      <c r="A175" s="101" t="str">
        <f>'Measure Tables'!A126</f>
        <v>BNI - Efficient Product Rebates; Variable Speed Drive Screw Compressors (10 - 40 hp); COM-Process; Other Commercial</v>
      </c>
      <c r="B175" s="271">
        <f>'Measure Tables'!P126</f>
        <v>3.9503412300920369</v>
      </c>
      <c r="C175" s="271">
        <f>'Measure Tables'!T126</f>
        <v>3.9503412300920369</v>
      </c>
      <c r="D175" s="273">
        <f>'Measure Tables'!U126</f>
        <v>0</v>
      </c>
      <c r="E175" s="285">
        <v>2</v>
      </c>
    </row>
    <row r="176" spans="1:5">
      <c r="A176" s="101" t="str">
        <f>'Measure Tables'!A99</f>
        <v>BNI - Efficient Product Rebates; LED Exterior Fixtures-End of Life replacement; COM-Lighting; Office</v>
      </c>
      <c r="B176" s="271">
        <f>'Measure Tables'!P99</f>
        <v>3.0789769198330741</v>
      </c>
      <c r="C176" s="271">
        <f>'Measure Tables'!T99</f>
        <v>4.0523728160258514</v>
      </c>
      <c r="D176" s="273">
        <f>'Measure Tables'!U99</f>
        <v>0.31614264138282328</v>
      </c>
      <c r="E176" s="285">
        <v>5</v>
      </c>
    </row>
    <row r="177" spans="1:5">
      <c r="A177" s="101" t="str">
        <f>'Measure Tables'!A100</f>
        <v>BNI - Efficient Product Rebates; LED Exterior Fixtures-End of Life replacement; COM-Lighting; Other Commercial</v>
      </c>
      <c r="B177" s="271">
        <f>'Measure Tables'!P100</f>
        <v>3.0789769198330741</v>
      </c>
      <c r="C177" s="271">
        <f>'Measure Tables'!T100</f>
        <v>4.0523728160258514</v>
      </c>
      <c r="D177" s="273">
        <f>'Measure Tables'!U100</f>
        <v>0.31614264138282328</v>
      </c>
      <c r="E177" s="285">
        <v>5</v>
      </c>
    </row>
    <row r="178" spans="1:5">
      <c r="A178" s="101" t="str">
        <f>'Measure Tables'!A101</f>
        <v>BNI - Efficient Product Rebates; LED Exterior Fixtures-End of Life replacement; COM-Lighting; Retail</v>
      </c>
      <c r="B178" s="271">
        <f>'Measure Tables'!P101</f>
        <v>3.0789769198330741</v>
      </c>
      <c r="C178" s="271">
        <f>'Measure Tables'!T101</f>
        <v>4.0523728160258514</v>
      </c>
      <c r="D178" s="273">
        <f>'Measure Tables'!U101</f>
        <v>0.31614264138282328</v>
      </c>
      <c r="E178" s="285">
        <v>5</v>
      </c>
    </row>
    <row r="179" spans="1:5">
      <c r="A179" s="101" t="str">
        <f>'Measure Tables'!A102</f>
        <v>BNI - Efficient Product Rebates; LED Exterior Fixtures-End of Life replacement; COM-Lighting; School</v>
      </c>
      <c r="B179" s="271">
        <f>'Measure Tables'!P102</f>
        <v>3.0789769198330741</v>
      </c>
      <c r="C179" s="271">
        <f>'Measure Tables'!T102</f>
        <v>4.0523728160258514</v>
      </c>
      <c r="D179" s="273">
        <f>'Measure Tables'!U102</f>
        <v>0.31614264138282328</v>
      </c>
      <c r="E179" s="285">
        <v>5</v>
      </c>
    </row>
    <row r="180" spans="1:5">
      <c r="A180" s="101" t="str">
        <f>'Measure Tables'!A98</f>
        <v xml:space="preserve">BNI - Efficient Product Rebates; LED Exterior Fixtures-End of Life replacement; IND; Industrial </v>
      </c>
      <c r="B180" s="271">
        <f>'Measure Tables'!P98</f>
        <v>3.0866008466480577</v>
      </c>
      <c r="C180" s="271">
        <f>'Measure Tables'!T98</f>
        <v>4.059996742840835</v>
      </c>
      <c r="D180" s="273">
        <f>'Measure Tables'!U98</f>
        <v>0.3153617667311443</v>
      </c>
      <c r="E180" s="285">
        <v>5</v>
      </c>
    </row>
    <row r="181" spans="1:5">
      <c r="A181" s="101" t="str">
        <f>'Measure Tables'!A59</f>
        <v>BNI - Efficient Product Rebates; Variable Frequency Drives; COM-Motors; School</v>
      </c>
      <c r="B181" s="271">
        <f>'Measure Tables'!P59</f>
        <v>4.0017748784032516</v>
      </c>
      <c r="C181" s="271">
        <f>'Measure Tables'!T59</f>
        <v>4.0017748784032516</v>
      </c>
      <c r="D181" s="273">
        <f>'Measure Tables'!U59</f>
        <v>0</v>
      </c>
      <c r="E181" s="285">
        <v>2</v>
      </c>
    </row>
    <row r="182" spans="1:5">
      <c r="A182" s="101" t="str">
        <f>'Measure Tables'!A138</f>
        <v>BNI - Efficient Product Rebates; Zero-Energy Livestock Waterers; COM-Other; Other Commercial</v>
      </c>
      <c r="B182" s="271">
        <f>'Measure Tables'!P138</f>
        <v>4.0356654146487489</v>
      </c>
      <c r="C182" s="271">
        <f>'Measure Tables'!T138</f>
        <v>4.0356654146487489</v>
      </c>
      <c r="D182" s="273">
        <f>'Measure Tables'!U138</f>
        <v>0</v>
      </c>
      <c r="E182" s="285">
        <v>2</v>
      </c>
    </row>
    <row r="183" spans="1:5">
      <c r="A183" s="101" t="str">
        <f>'Measure Tables'!A131</f>
        <v>BNI - Efficient Product Rebates; Air Tanks for Load / No-Load Screw Compressors (10 – 40 hp); COM-Process; Other Commercial</v>
      </c>
      <c r="B183" s="271">
        <f>'Measure Tables'!P131</f>
        <v>4.0927165520587838</v>
      </c>
      <c r="C183" s="271">
        <f>'Measure Tables'!T131</f>
        <v>4.0927165520587838</v>
      </c>
      <c r="D183" s="273">
        <f>'Measure Tables'!U131</f>
        <v>0</v>
      </c>
      <c r="E183" s="285">
        <v>2</v>
      </c>
    </row>
    <row r="184" spans="1:5">
      <c r="A184" s="101" t="str">
        <f>'Measure Tables'!A56</f>
        <v>BNI - Efficient Product Rebates; Variable Frequency Drives; COM-Motors; Office</v>
      </c>
      <c r="B184" s="271">
        <f>'Measure Tables'!P56</f>
        <v>4.1686892583393647</v>
      </c>
      <c r="C184" s="271">
        <f>'Measure Tables'!T56</f>
        <v>4.1686892583393647</v>
      </c>
      <c r="D184" s="273">
        <f>'Measure Tables'!U56</f>
        <v>0</v>
      </c>
      <c r="E184" s="285">
        <v>2</v>
      </c>
    </row>
    <row r="185" spans="1:5">
      <c r="A185" s="101" t="str">
        <f>'Measure Tables'!A128</f>
        <v>BNI - Efficient Product Rebates; Air-Entraining Air Nozzles (up to 14CFM at 100 psi); COM-Process; School</v>
      </c>
      <c r="B185" s="271">
        <f>'Measure Tables'!P128</f>
        <v>4.1879484619140834</v>
      </c>
      <c r="C185" s="271">
        <f>'Measure Tables'!T128</f>
        <v>4.1879484619140834</v>
      </c>
      <c r="D185" s="273">
        <f>'Measure Tables'!U128</f>
        <v>0</v>
      </c>
      <c r="E185" s="285">
        <v>2</v>
      </c>
    </row>
    <row r="186" spans="1:5">
      <c r="A186" s="101" t="str">
        <f>'Measure Tables'!A57</f>
        <v>BNI - Efficient Product Rebates; Variable Frequency Drives; COM-Motors; Other Commercial</v>
      </c>
      <c r="B186" s="271">
        <f>'Measure Tables'!P57</f>
        <v>4.2776112798980721</v>
      </c>
      <c r="C186" s="271">
        <f>'Measure Tables'!T57</f>
        <v>4.2776112798980721</v>
      </c>
      <c r="D186" s="273">
        <f>'Measure Tables'!U57</f>
        <v>0</v>
      </c>
      <c r="E186" s="285">
        <v>2</v>
      </c>
    </row>
    <row r="187" spans="1:5">
      <c r="A187" s="101" t="str">
        <f>'Measure Tables'!A255</f>
        <v>Existing Residential; Advanced Automatic Pellet Combo Boiler; RES-HVAC/Shell; RES-SF</v>
      </c>
      <c r="B187" s="271">
        <f>'Measure Tables'!P255</f>
        <v>4.3127925968715299</v>
      </c>
      <c r="C187" s="271">
        <f>'Measure Tables'!T255</f>
        <v>4.3176275652338969</v>
      </c>
      <c r="D187" s="273">
        <f>'Measure Tables'!U255</f>
        <v>1.1210760206447714E-3</v>
      </c>
      <c r="E187" s="285">
        <v>3</v>
      </c>
    </row>
    <row r="188" spans="1:5">
      <c r="A188" s="101" t="str">
        <f>'Measure Tables'!A163</f>
        <v>BNI- Direct Installation; LED Lamps-Retrofit (dual baseline)-BES; COM-Lighting; Other Commercial</v>
      </c>
      <c r="B188" s="271">
        <f>'Measure Tables'!P163</f>
        <v>3.3413999304377922</v>
      </c>
      <c r="C188" s="271">
        <f>'Measure Tables'!T163</f>
        <v>4.5928033224511067</v>
      </c>
      <c r="D188" s="273">
        <f>'Measure Tables'!U163</f>
        <v>0.3745146998459879</v>
      </c>
      <c r="E188" s="285">
        <v>6</v>
      </c>
    </row>
    <row r="189" spans="1:5">
      <c r="A189" s="101" t="str">
        <f>'Measure Tables'!A164</f>
        <v>BNI- Direct Installation; LED Lamps-Retrofit (dual baseline)-BES; COM-Lighting; Retail</v>
      </c>
      <c r="B189" s="271">
        <f>'Measure Tables'!P164</f>
        <v>3.3726643573949788</v>
      </c>
      <c r="C189" s="271">
        <f>'Measure Tables'!T164</f>
        <v>4.6066341271930176</v>
      </c>
      <c r="D189" s="273">
        <f>'Measure Tables'!U164</f>
        <v>0.36587387271206195</v>
      </c>
      <c r="E189" s="285">
        <v>6</v>
      </c>
    </row>
    <row r="190" spans="1:5">
      <c r="A190" s="101" t="str">
        <f>'Measure Tables'!A238</f>
        <v>Existing Residential; 12 W LED: Blended 75W and 100W incandescent baseline; RES-Lighting; MURB</v>
      </c>
      <c r="B190" s="271">
        <f>'Measure Tables'!P238</f>
        <v>4.4514100456399515</v>
      </c>
      <c r="C190" s="271">
        <f>'Measure Tables'!T238</f>
        <v>4.6413208135546169</v>
      </c>
      <c r="D190" s="273">
        <f>'Measure Tables'!U238</f>
        <v>4.2663058664002079E-2</v>
      </c>
      <c r="E190" s="285">
        <v>3</v>
      </c>
    </row>
    <row r="191" spans="1:5">
      <c r="A191" s="101" t="str">
        <f>'Measure Tables'!A129</f>
        <v>BNI - Efficient Product Rebates; No-Loss Drains (Timed drains are not eligible); COM-Process; School</v>
      </c>
      <c r="B191" s="271">
        <f>'Measure Tables'!P129</f>
        <v>4.7743137872511001</v>
      </c>
      <c r="C191" s="271">
        <f>'Measure Tables'!T129</f>
        <v>4.7743137872511001</v>
      </c>
      <c r="D191" s="273">
        <f>'Measure Tables'!U129</f>
        <v>0</v>
      </c>
      <c r="E191" s="285">
        <v>2</v>
      </c>
    </row>
    <row r="192" spans="1:5">
      <c r="A192" s="101" t="str">
        <f>'Measure Tables'!A237</f>
        <v>Existing Residential; 8 W LED; RES-Lighting; MURB</v>
      </c>
      <c r="B192" s="271">
        <f>'Measure Tables'!P237</f>
        <v>4.5357347211809875</v>
      </c>
      <c r="C192" s="271">
        <f>'Measure Tables'!T237</f>
        <v>4.8039043435936533</v>
      </c>
      <c r="D192" s="273">
        <f>'Measure Tables'!U237</f>
        <v>5.9123744861084231E-2</v>
      </c>
      <c r="E192" s="285">
        <v>3</v>
      </c>
    </row>
    <row r="193" spans="1:5">
      <c r="A193" s="101" t="str">
        <f>'Measure Tables'!A266</f>
        <v>Existing Residential; Advanced Power Strip (load sensing or remote control/wireless APS); RES-Plug Load; MURB</v>
      </c>
      <c r="B193" s="271">
        <f>'Measure Tables'!P266</f>
        <v>4.8146892356973705</v>
      </c>
      <c r="C193" s="271">
        <f>'Measure Tables'!T266</f>
        <v>4.8146892356973705</v>
      </c>
      <c r="D193" s="273">
        <f>'Measure Tables'!U266</f>
        <v>0</v>
      </c>
      <c r="E193" s="285">
        <v>2</v>
      </c>
    </row>
    <row r="194" spans="1:5">
      <c r="A194" s="101" t="str">
        <f>'Measure Tables'!A14</f>
        <v>BNI - Efficient Product Rebates; Full Size Commercial Hot Food Holding Cabinet; COM-Other; Retail</v>
      </c>
      <c r="B194" s="271">
        <f>'Measure Tables'!P14</f>
        <v>4.8590592586241375</v>
      </c>
      <c r="C194" s="271">
        <f>'Measure Tables'!T14</f>
        <v>4.8590592586241375</v>
      </c>
      <c r="D194" s="273">
        <f>'Measure Tables'!U14</f>
        <v>0</v>
      </c>
      <c r="E194" s="285">
        <v>2</v>
      </c>
    </row>
    <row r="195" spans="1:5">
      <c r="A195" s="101" t="str">
        <f>'Measure Tables'!A122</f>
        <v xml:space="preserve">BNI - Efficient Product Rebates; Cycling Refrigerated Air Dryers (≤ 300 CFM capacity); IND; Industrial </v>
      </c>
      <c r="B195" s="271">
        <f>'Measure Tables'!P122</f>
        <v>4.8612234502198906</v>
      </c>
      <c r="C195" s="271">
        <f>'Measure Tables'!T122</f>
        <v>4.8612234502198906</v>
      </c>
      <c r="D195" s="273">
        <f>'Measure Tables'!U122</f>
        <v>0</v>
      </c>
      <c r="E195" s="285">
        <v>2</v>
      </c>
    </row>
    <row r="196" spans="1:5">
      <c r="A196" s="101" t="str">
        <f>'Measure Tables'!A264</f>
        <v>Existing Residential; Embertec Power Strip; RES-Plug Load; RES-SF</v>
      </c>
      <c r="B196" s="271">
        <f>'Measure Tables'!P264</f>
        <v>4.8871523172826956</v>
      </c>
      <c r="C196" s="271">
        <f>'Measure Tables'!T264</f>
        <v>4.8871523172826956</v>
      </c>
      <c r="D196" s="273">
        <f>'Measure Tables'!U264</f>
        <v>0</v>
      </c>
      <c r="E196" s="285">
        <v>2</v>
      </c>
    </row>
    <row r="197" spans="1:5">
      <c r="A197" s="101" t="str">
        <f>'Measure Tables'!A181</f>
        <v>BNI- Direct Installation; Ground/Water Source Heat Pumps; COM-HVAC; Other Commercial</v>
      </c>
      <c r="B197" s="271">
        <f>'Measure Tables'!P181</f>
        <v>2.3764804277599878</v>
      </c>
      <c r="C197" s="271">
        <f>'Measure Tables'!T181</f>
        <v>4.6868800084782851</v>
      </c>
      <c r="D197" s="273">
        <f>'Measure Tables'!U181</f>
        <v>0.97219381810605665</v>
      </c>
      <c r="E197" s="285">
        <v>10</v>
      </c>
    </row>
    <row r="198" spans="1:5">
      <c r="A198" s="101" t="str">
        <f>'Measure Tables'!A227</f>
        <v>Residential - Efficient Product Rebates; Dehumidifier (Retirement); RES-Appliance; RES-SF</v>
      </c>
      <c r="B198" s="271">
        <f>'Measure Tables'!P227</f>
        <v>5.1193233089433292</v>
      </c>
      <c r="C198" s="271">
        <f>'Measure Tables'!T227</f>
        <v>5.1193233089433292</v>
      </c>
      <c r="D198" s="273">
        <f>'Measure Tables'!U227</f>
        <v>0</v>
      </c>
      <c r="E198" s="285">
        <v>2</v>
      </c>
    </row>
    <row r="199" spans="1:5">
      <c r="A199" s="101" t="str">
        <f>'Measure Tables'!A251</f>
        <v>Existing Residential; Certified Wood Stove; RES-HVAC/Shell; RES-SF</v>
      </c>
      <c r="B199" s="271">
        <f>'Measure Tables'!P251</f>
        <v>5.1191656268814825</v>
      </c>
      <c r="C199" s="271">
        <f>'Measure Tables'!T251</f>
        <v>5.1420356210834397</v>
      </c>
      <c r="D199" s="273">
        <f>'Measure Tables'!U251</f>
        <v>4.4675237858809594E-3</v>
      </c>
      <c r="E199" s="285">
        <v>3</v>
      </c>
    </row>
    <row r="200" spans="1:5">
      <c r="A200" s="101" t="str">
        <f>'Measure Tables'!A235</f>
        <v>Existing Residential; 10.5 W LED; RES-Lighting; RES-SF</v>
      </c>
      <c r="B200" s="271">
        <f>'Measure Tables'!P235</f>
        <v>4.9249420065746916</v>
      </c>
      <c r="C200" s="271">
        <f>'Measure Tables'!T235</f>
        <v>5.1802459205541247</v>
      </c>
      <c r="D200" s="273">
        <f>'Measure Tables'!U235</f>
        <v>5.1838968588585985E-2</v>
      </c>
      <c r="E200" s="285">
        <v>3</v>
      </c>
    </row>
    <row r="201" spans="1:5">
      <c r="A201" s="101" t="str">
        <f>'Measure Tables'!A139</f>
        <v>BNI - Efficient Product Rebates; Single Heat Pad; COM-Other; Other Commercial</v>
      </c>
      <c r="B201" s="271">
        <f>'Measure Tables'!P139</f>
        <v>5.1828336538090118</v>
      </c>
      <c r="C201" s="271">
        <f>'Measure Tables'!T139</f>
        <v>5.1828336538090118</v>
      </c>
      <c r="D201" s="273">
        <f>'Measure Tables'!U139</f>
        <v>0</v>
      </c>
      <c r="E201" s="285">
        <v>2</v>
      </c>
    </row>
    <row r="202" spans="1:5">
      <c r="A202" s="101" t="str">
        <f>'Measure Tables'!A36</f>
        <v>BNI - Efficient Product Rebates; Humidity-Based Door Heater Controls for Reach-In Coolers and Freezers; COM-Refrigeration; School</v>
      </c>
      <c r="B202" s="271">
        <f>'Measure Tables'!P36</f>
        <v>5.357646650448336</v>
      </c>
      <c r="C202" s="271">
        <f>'Measure Tables'!T36</f>
        <v>5.357646650448336</v>
      </c>
      <c r="D202" s="273">
        <f>'Measure Tables'!U36</f>
        <v>0</v>
      </c>
      <c r="E202" s="285">
        <v>2</v>
      </c>
    </row>
    <row r="203" spans="1:5">
      <c r="A203" s="101" t="str">
        <f>'Measure Tables'!A34</f>
        <v>BNI - Efficient Product Rebates; Humidity-Based Door Heater Controls for Reach-In Coolers and Freezers; COM-Refrigeration; Other Commercial</v>
      </c>
      <c r="B203" s="271">
        <f>'Measure Tables'!P34</f>
        <v>5.4655267680454402</v>
      </c>
      <c r="C203" s="271">
        <f>'Measure Tables'!T34</f>
        <v>5.4655267680454402</v>
      </c>
      <c r="D203" s="273">
        <f>'Measure Tables'!U34</f>
        <v>0</v>
      </c>
      <c r="E203" s="285">
        <v>2</v>
      </c>
    </row>
    <row r="204" spans="1:5">
      <c r="A204" s="101" t="str">
        <f>'Measure Tables'!A182</f>
        <v>BNI- Direct Installation; Ground/Water Source Heat Pumps; COM-HVAC; Retail</v>
      </c>
      <c r="B204" s="271">
        <f>'Measure Tables'!P182</f>
        <v>2.5367606729149892</v>
      </c>
      <c r="C204" s="271">
        <f>'Measure Tables'!T182</f>
        <v>5.0462670160566061</v>
      </c>
      <c r="D204" s="273">
        <f>'Measure Tables'!U182</f>
        <v>0.98925624712478122</v>
      </c>
      <c r="E204" s="285">
        <v>10</v>
      </c>
    </row>
    <row r="205" spans="1:5">
      <c r="A205" s="101" t="str">
        <f>'Measure Tables'!A183</f>
        <v>BNI- Direct Installation; Ground/Water Source Heat Pumps; COM-HVAC; School</v>
      </c>
      <c r="B205" s="271">
        <f>'Measure Tables'!P183</f>
        <v>2.5336367661453703</v>
      </c>
      <c r="C205" s="271">
        <f>'Measure Tables'!T183</f>
        <v>5.0507858790609808</v>
      </c>
      <c r="D205" s="273">
        <f>'Measure Tables'!U183</f>
        <v>0.99349249527396</v>
      </c>
      <c r="E205" s="285">
        <v>10</v>
      </c>
    </row>
    <row r="206" spans="1:5">
      <c r="A206" s="101" t="str">
        <f>'Measure Tables'!A35</f>
        <v>BNI - Efficient Product Rebates; Humidity-Based Door Heater Controls for Reach-In Coolers and Freezers; COM-Refrigeration; Retail</v>
      </c>
      <c r="B206" s="271">
        <f>'Measure Tables'!P35</f>
        <v>5.5160737923588998</v>
      </c>
      <c r="C206" s="271">
        <f>'Measure Tables'!T35</f>
        <v>5.5160737923588998</v>
      </c>
      <c r="D206" s="273">
        <f>'Measure Tables'!U35</f>
        <v>0</v>
      </c>
      <c r="E206" s="285">
        <v>2</v>
      </c>
    </row>
    <row r="207" spans="1:5">
      <c r="A207" s="101" t="str">
        <f>'Measure Tables'!A180</f>
        <v>BNI- Direct Installation; Ground/Water Source Heat Pumps; COM-HVAC; Office</v>
      </c>
      <c r="B207" s="271">
        <f>'Measure Tables'!P180</f>
        <v>2.6361958616516206</v>
      </c>
      <c r="C207" s="271">
        <f>'Measure Tables'!T180</f>
        <v>5.1787490746847</v>
      </c>
      <c r="D207" s="273">
        <f>'Measure Tables'!U180</f>
        <v>0.96447811409586526</v>
      </c>
      <c r="E207" s="285">
        <v>10</v>
      </c>
    </row>
    <row r="208" spans="1:5">
      <c r="A208" s="101" t="str">
        <f>'Measure Tables'!A8</f>
        <v>BNI - Efficient Product Rebates; Multi-Tank Conveyor Commercial Dish Washer (Low Temp); COM-Other; Retail</v>
      </c>
      <c r="B208" s="271">
        <f>'Measure Tables'!P8</f>
        <v>3.885517984038104</v>
      </c>
      <c r="C208" s="271">
        <f>'Measure Tables'!T8</f>
        <v>5.6954416485446879</v>
      </c>
      <c r="D208" s="273">
        <f>'Measure Tables'!U8</f>
        <v>0.46581271067122532</v>
      </c>
      <c r="E208" s="285">
        <v>7</v>
      </c>
    </row>
    <row r="209" spans="1:5">
      <c r="A209" s="101" t="str">
        <f>'Measure Tables'!A236</f>
        <v>Existing Residential; 11 W LED; RES-Lighting; RES-SF</v>
      </c>
      <c r="B209" s="271">
        <f>'Measure Tables'!P236</f>
        <v>5.929683685261816</v>
      </c>
      <c r="C209" s="271">
        <f>'Measure Tables'!T236</f>
        <v>6.1216415336142784</v>
      </c>
      <c r="D209" s="273">
        <f>'Measure Tables'!U236</f>
        <v>3.2372358888143091E-2</v>
      </c>
      <c r="E209" s="285">
        <v>3</v>
      </c>
    </row>
    <row r="210" spans="1:5">
      <c r="A210" s="101" t="str">
        <f>'Measure Tables'!A248</f>
        <v>Existing Residential; DHW Pipe Insulation; RES-Water Heat; MURB</v>
      </c>
      <c r="B210" s="271">
        <f>'Measure Tables'!P248</f>
        <v>1.9307664448254718</v>
      </c>
      <c r="C210" s="271">
        <f>'Measure Tables'!T248</f>
        <v>6.1400926082785672</v>
      </c>
      <c r="D210" s="273">
        <f>'Measure Tables'!U248</f>
        <v>2.1801322343954399</v>
      </c>
      <c r="E210" s="285">
        <v>11</v>
      </c>
    </row>
    <row r="211" spans="1:5">
      <c r="A211" s="101" t="str">
        <f>'Measure Tables'!A244</f>
        <v>Existing Residential; Low Flow Faucet Aerator, 1.5 GPM; RES-Water Heat; MURB</v>
      </c>
      <c r="B211" s="271">
        <f>'Measure Tables'!P244</f>
        <v>5.9499958164573696</v>
      </c>
      <c r="C211" s="271">
        <f>'Measure Tables'!T244</f>
        <v>6.5884401099189223</v>
      </c>
      <c r="D211" s="273">
        <f>'Measure Tables'!U244</f>
        <v>0.10730163737185326</v>
      </c>
      <c r="E211" s="285">
        <v>3</v>
      </c>
    </row>
    <row r="212" spans="1:5">
      <c r="A212" s="101" t="str">
        <f>'Measure Tables'!A123</f>
        <v>BNI - Efficient Product Rebates; Cycling Refrigerated Air Dryers (≤ 300 CFM capacity); COM-Process; Other Commercial</v>
      </c>
      <c r="B212" s="271">
        <f>'Measure Tables'!P123</f>
        <v>6.7038661939833348</v>
      </c>
      <c r="C212" s="271">
        <f>'Measure Tables'!T123</f>
        <v>6.7038661939833348</v>
      </c>
      <c r="D212" s="273">
        <f>'Measure Tables'!U123</f>
        <v>0</v>
      </c>
      <c r="E212" s="285">
        <v>2</v>
      </c>
    </row>
    <row r="213" spans="1:5">
      <c r="A213" s="101" t="str">
        <f>'Measure Tables'!A189</f>
        <v>BNI- Direct Installation; DHW Pipe Insulation; COM-Other; Office</v>
      </c>
      <c r="B213" s="271">
        <f>'Measure Tables'!P189</f>
        <v>4.5616979617805971</v>
      </c>
      <c r="C213" s="271">
        <f>'Measure Tables'!T189</f>
        <v>7.2477900806778575</v>
      </c>
      <c r="D213" s="273">
        <f>'Measure Tables'!U189</f>
        <v>0.58883603022432041</v>
      </c>
      <c r="E213" s="285">
        <v>8</v>
      </c>
    </row>
    <row r="214" spans="1:5">
      <c r="A214" s="101" t="str">
        <f>'Measure Tables'!A190</f>
        <v>BNI- Direct Installation; DHW Pipe Insulation; COM-Other; Retail</v>
      </c>
      <c r="B214" s="271">
        <f>'Measure Tables'!P190</f>
        <v>4.5616979617805971</v>
      </c>
      <c r="C214" s="271">
        <f>'Measure Tables'!T190</f>
        <v>7.2477900806778575</v>
      </c>
      <c r="D214" s="273">
        <f>'Measure Tables'!U190</f>
        <v>0.58883603022432041</v>
      </c>
      <c r="E214" s="285">
        <v>8</v>
      </c>
    </row>
    <row r="215" spans="1:5">
      <c r="A215" s="101" t="str">
        <f>'Measure Tables'!A143</f>
        <v>BNI - Efficient Product Rebates; VSD for Milk Vacuum Pump; COM-Other; Other Commercial</v>
      </c>
      <c r="B215" s="271">
        <f>'Measure Tables'!P143</f>
        <v>7.2373324462945643</v>
      </c>
      <c r="C215" s="271">
        <f>'Measure Tables'!T143</f>
        <v>7.2373324462945643</v>
      </c>
      <c r="D215" s="273">
        <f>'Measure Tables'!U143</f>
        <v>0</v>
      </c>
      <c r="E215" s="285">
        <v>2</v>
      </c>
    </row>
    <row r="216" spans="1:5">
      <c r="A216" s="101" t="str">
        <f>'Measure Tables'!A75</f>
        <v>BNI - Efficient Product Rebates; LED Lamps-Retrofit (dual baseline); COM-Lighting; School</v>
      </c>
      <c r="B216" s="271">
        <f>'Measure Tables'!P75</f>
        <v>5.6272760722520125</v>
      </c>
      <c r="C216" s="271">
        <f>'Measure Tables'!T75</f>
        <v>7.7070827275977756</v>
      </c>
      <c r="D216" s="273">
        <f>'Measure Tables'!U75</f>
        <v>0.36959385476060941</v>
      </c>
      <c r="E216" s="285">
        <v>6</v>
      </c>
    </row>
    <row r="217" spans="1:5">
      <c r="A217" s="101" t="str">
        <f>'Measure Tables'!A9</f>
        <v>BNI - Efficient Product Rebates; Under Counter Dishwasher with Booster (High Temp); COM-Other; Retail</v>
      </c>
      <c r="B217" s="271">
        <f>'Measure Tables'!P9</f>
        <v>7.3181450135358475</v>
      </c>
      <c r="C217" s="271">
        <f>'Measure Tables'!T9</f>
        <v>7.8623065256251374</v>
      </c>
      <c r="D217" s="273">
        <f>'Measure Tables'!U9</f>
        <v>7.4357847662596663E-2</v>
      </c>
      <c r="E217" s="285">
        <v>3</v>
      </c>
    </row>
    <row r="218" spans="1:5">
      <c r="A218" s="101" t="str">
        <f>'Measure Tables'!A72</f>
        <v>BNI - Efficient Product Rebates; LED Lamps-Retrofit (dual baseline); COM-Lighting; Office</v>
      </c>
      <c r="B218" s="271">
        <f>'Measure Tables'!P72</f>
        <v>5.824291342962141</v>
      </c>
      <c r="C218" s="271">
        <f>'Measure Tables'!T72</f>
        <v>8.0322172581874991</v>
      </c>
      <c r="D218" s="273">
        <f>'Measure Tables'!U72</f>
        <v>0.37908919475557046</v>
      </c>
      <c r="E218" s="285">
        <v>6</v>
      </c>
    </row>
    <row r="219" spans="1:5">
      <c r="A219" s="101" t="str">
        <f>'Measure Tables'!A243</f>
        <v>Existing Residential; Low Flow Faucet Aerator, 1.5 GPM; RES-Water Heat; RES-SF</v>
      </c>
      <c r="B219" s="271">
        <f>'Measure Tables'!P243</f>
        <v>7.9783105416418145</v>
      </c>
      <c r="C219" s="271">
        <f>'Measure Tables'!T243</f>
        <v>8.0324693512452825</v>
      </c>
      <c r="D219" s="273">
        <f>'Measure Tables'!U243</f>
        <v>6.7882553982817166E-3</v>
      </c>
      <c r="E219" s="285">
        <v>3</v>
      </c>
    </row>
    <row r="220" spans="1:5">
      <c r="A220" s="101" t="str">
        <f>'Measure Tables'!A12</f>
        <v>BNI - Efficient Product Rebates; Multi Tank Conveyor Dishwasher with Booster (High Temp); COM-Other; Retail</v>
      </c>
      <c r="B220" s="271">
        <f>'Measure Tables'!P12</f>
        <v>6.7453177733697247</v>
      </c>
      <c r="C220" s="271">
        <f>'Measure Tables'!T12</f>
        <v>8.1271077628109509</v>
      </c>
      <c r="D220" s="273">
        <f>'Measure Tables'!U12</f>
        <v>0.20485172617018638</v>
      </c>
      <c r="E220" s="285">
        <v>4</v>
      </c>
    </row>
    <row r="221" spans="1:5">
      <c r="A221" s="101" t="str">
        <f>'Measure Tables'!A10</f>
        <v>BNI - Efficient Product Rebates; Single Tank Door Dishwasher with Booster (High Temp); COM-Other; Retail</v>
      </c>
      <c r="B221" s="271">
        <f>'Measure Tables'!P10</f>
        <v>6.7924516280248532</v>
      </c>
      <c r="C221" s="271">
        <f>'Measure Tables'!T10</f>
        <v>8.3688946017436816</v>
      </c>
      <c r="D221" s="273">
        <f>'Measure Tables'!U10</f>
        <v>0.23208747887355</v>
      </c>
      <c r="E221" s="285">
        <v>5</v>
      </c>
    </row>
    <row r="222" spans="1:5">
      <c r="A222" s="101" t="str">
        <f>'Measure Tables'!A245</f>
        <v>Existing Residential; Low Flow (1.25 GPM) showerhead; RES-Water Heat; RES-SF</v>
      </c>
      <c r="B222" s="271">
        <f>'Measure Tables'!P245</f>
        <v>6.5787828301034139</v>
      </c>
      <c r="C222" s="271">
        <f>'Measure Tables'!T245</f>
        <v>8.4592914352828377</v>
      </c>
      <c r="D222" s="273">
        <f>'Measure Tables'!U245</f>
        <v>0.28584445690691135</v>
      </c>
      <c r="E222" s="285">
        <v>5</v>
      </c>
    </row>
    <row r="223" spans="1:5">
      <c r="A223" s="101" t="str">
        <f>'Measure Tables'!A246</f>
        <v>Existing Residential; Low Flow (1.25 GPM) showerhead; RES-Water Heat; MURB</v>
      </c>
      <c r="B223" s="271">
        <f>'Measure Tables'!P246</f>
        <v>6.3489388844240331</v>
      </c>
      <c r="C223" s="271">
        <f>'Measure Tables'!T246</f>
        <v>8.8916689175117316</v>
      </c>
      <c r="D223" s="273">
        <f>'Measure Tables'!U246</f>
        <v>0.40049685142281399</v>
      </c>
      <c r="E223" s="285">
        <v>6</v>
      </c>
    </row>
    <row r="224" spans="1:5">
      <c r="A224" s="101" t="str">
        <f>'Measure Tables'!A169</f>
        <v>BNI- Direct Installation; High-Efficiency Air Source Heat Pumps: Air Source Heat Pumps (1-11) Tons, Baseline; COM-HVAC; Other Commercial</v>
      </c>
      <c r="B224" s="271">
        <f>'Measure Tables'!P169</f>
        <v>4.0562419715470224</v>
      </c>
      <c r="C224" s="271">
        <f>'Measure Tables'!T169</f>
        <v>7.999695341027361</v>
      </c>
      <c r="D224" s="273">
        <f>'Measure Tables'!U169</f>
        <v>0.97219381810605665</v>
      </c>
      <c r="E224" s="285">
        <v>10</v>
      </c>
    </row>
    <row r="225" spans="1:5">
      <c r="A225" s="101" t="str">
        <f>'Measure Tables'!A171</f>
        <v>BNI- Direct Installation; High-Efficiency Air Source Heat Pumps: Air Source Heat Pumps (1-11) Tons, Baseline; COM-HVAC; School</v>
      </c>
      <c r="B225" s="271">
        <f>'Measure Tables'!P171</f>
        <v>4.18573886868045</v>
      </c>
      <c r="C225" s="271">
        <f>'Measure Tables'!T171</f>
        <v>8.3442390218909939</v>
      </c>
      <c r="D225" s="273">
        <f>'Measure Tables'!U171</f>
        <v>0.99349249527396033</v>
      </c>
      <c r="E225" s="285">
        <v>10</v>
      </c>
    </row>
    <row r="226" spans="1:5">
      <c r="A226" s="101" t="str">
        <f>'Measure Tables'!A170</f>
        <v>BNI- Direct Installation; High-Efficiency Air Source Heat Pumps: Air Source Heat Pumps (1-11) Tons, Baseline; COM-HVAC; Retail</v>
      </c>
      <c r="B226" s="271">
        <f>'Measure Tables'!P170</f>
        <v>4.1958983339622291</v>
      </c>
      <c r="C226" s="271">
        <f>'Measure Tables'!T170</f>
        <v>8.346716973134825</v>
      </c>
      <c r="D226" s="273">
        <f>'Measure Tables'!U170</f>
        <v>0.989256247124781</v>
      </c>
      <c r="E226" s="285">
        <v>10</v>
      </c>
    </row>
    <row r="227" spans="1:5">
      <c r="A227" s="101" t="str">
        <f>'Measure Tables'!A168</f>
        <v>BNI- Direct Installation; High-Efficiency Air Source Heat Pumps: Air Source Heat Pumps (1-11) Tons, Baseline; COM-HVAC; Office</v>
      </c>
      <c r="B227" s="271">
        <f>'Measure Tables'!P168</f>
        <v>4.337315506168034</v>
      </c>
      <c r="C227" s="271">
        <f>'Measure Tables'!T168</f>
        <v>8.5205613857957303</v>
      </c>
      <c r="D227" s="273">
        <f>'Measure Tables'!U168</f>
        <v>0.9644781140958647</v>
      </c>
      <c r="E227" s="285">
        <v>10</v>
      </c>
    </row>
    <row r="228" spans="1:5">
      <c r="A228" s="101" t="str">
        <f>'Measure Tables'!A247</f>
        <v>Existing Residential; DHW Pipe Insulation; RES-Water Heat; RES-SF</v>
      </c>
      <c r="B228" s="271">
        <f>'Measure Tables'!P247</f>
        <v>6.2762334120278211</v>
      </c>
      <c r="C228" s="271">
        <f>'Measure Tables'!T247</f>
        <v>9.6890874900302641</v>
      </c>
      <c r="D228" s="273">
        <f>'Measure Tables'!U247</f>
        <v>0.54377424387404449</v>
      </c>
      <c r="E228" s="285">
        <v>8</v>
      </c>
    </row>
    <row r="229" spans="1:5">
      <c r="A229" s="101" t="str">
        <f>'Measure Tables'!A74</f>
        <v>BNI - Efficient Product Rebates; LED Lamps-Retrofit (dual baseline); COM-Lighting; Retail</v>
      </c>
      <c r="B229" s="271">
        <f>'Measure Tables'!P74</f>
        <v>7.749736902844651</v>
      </c>
      <c r="C229" s="271">
        <f>'Measure Tables'!T74</f>
        <v>10.585163155988003</v>
      </c>
      <c r="D229" s="273">
        <f>'Measure Tables'!U74</f>
        <v>0.36587387271206179</v>
      </c>
      <c r="E229" s="285">
        <v>6</v>
      </c>
    </row>
    <row r="230" spans="1:5">
      <c r="A230" s="101" t="str">
        <f>'Measure Tables'!A73</f>
        <v>BNI - Efficient Product Rebates; LED Lamps-Retrofit (dual baseline); COM-Lighting; Other Commercial</v>
      </c>
      <c r="B230" s="271">
        <f>'Measure Tables'!P73</f>
        <v>7.8213050975493505</v>
      </c>
      <c r="C230" s="271">
        <f>'Measure Tables'!T73</f>
        <v>10.750498828561939</v>
      </c>
      <c r="D230" s="273">
        <f>'Measure Tables'!U73</f>
        <v>0.37451469984598773</v>
      </c>
      <c r="E230" s="285">
        <v>6</v>
      </c>
    </row>
    <row r="231" spans="1:5">
      <c r="A231" s="101" t="str">
        <f>'Measure Tables'!A191</f>
        <v>BNI- Direct Installation; Low Flow Showerheads; COM-Other; Other Commercial</v>
      </c>
      <c r="B231" s="271">
        <f>'Measure Tables'!P191</f>
        <v>3.7610239897947744</v>
      </c>
      <c r="C231" s="271">
        <f>'Measure Tables'!T191</f>
        <v>11.254457614680046</v>
      </c>
      <c r="D231" s="273">
        <f>'Measure Tables'!U191</f>
        <v>1.9923918712611461</v>
      </c>
      <c r="E231" s="285">
        <v>11</v>
      </c>
    </row>
    <row r="232" spans="1:5">
      <c r="A232" s="101" t="str">
        <f>'Measure Tables'!A71</f>
        <v xml:space="preserve">BNI - Efficient Product Rebates; LED Lamps-Retrofit (dual baseline); IND; Industrial </v>
      </c>
      <c r="B232" s="271">
        <f>'Measure Tables'!P71</f>
        <v>8.3662239641464513</v>
      </c>
      <c r="C232" s="271">
        <f>'Measure Tables'!T71</f>
        <v>11.207689130637652</v>
      </c>
      <c r="D232" s="273">
        <f>'Measure Tables'!U71</f>
        <v>0.3396353215821537</v>
      </c>
      <c r="E232" s="285">
        <v>6</v>
      </c>
    </row>
    <row r="233" spans="1:5">
      <c r="A233" s="101" t="str">
        <f>'Measure Tables'!A11</f>
        <v>BNI - Efficient Product Rebates; Single Tank Conveyor Dishwasher with Booster (High Temp); COM-Other; Retail</v>
      </c>
      <c r="B233" s="271">
        <f>'Measure Tables'!P11</f>
        <v>10.538932977668187</v>
      </c>
      <c r="C233" s="271">
        <f>'Measure Tables'!T11</f>
        <v>11.549256635634311</v>
      </c>
      <c r="D233" s="273">
        <f>'Measure Tables'!U11</f>
        <v>9.5865839559562807E-2</v>
      </c>
      <c r="E233" s="285">
        <v>3</v>
      </c>
    </row>
    <row r="234" spans="1:5">
      <c r="A234" s="101" t="str">
        <f>'Measure Tables'!A6</f>
        <v>BNI - Efficient Product Rebates; Single-Tank Door Type Dishwasher (Low Temp); COM-Other; Retail</v>
      </c>
      <c r="B234" s="271">
        <f>'Measure Tables'!P6</f>
        <v>8.5628434778335656</v>
      </c>
      <c r="C234" s="271">
        <f>'Measure Tables'!T6</f>
        <v>12.792061660307972</v>
      </c>
      <c r="D234" s="273">
        <f>'Measure Tables'!U6</f>
        <v>0.49390347884116831</v>
      </c>
      <c r="E234" s="285">
        <v>7</v>
      </c>
    </row>
    <row r="235" spans="1:5">
      <c r="A235" s="101" t="str">
        <f>'Measure Tables'!A7</f>
        <v>BNI - Efficient Product Rebates; Single-Tank Conveyor Dishwasher (Low Temp); COM-Other; Retail</v>
      </c>
      <c r="B235" s="271">
        <f>'Measure Tables'!P7</f>
        <v>10.538932977668187</v>
      </c>
      <c r="C235" s="271">
        <f>'Measure Tables'!T7</f>
        <v>13.629334754976332</v>
      </c>
      <c r="D235" s="273">
        <f>'Measure Tables'!U7</f>
        <v>0.29323668571160399</v>
      </c>
      <c r="E235" s="285">
        <v>5</v>
      </c>
    </row>
    <row r="236" spans="1:5">
      <c r="A236" s="101" t="str">
        <f>'Measure Tables'!A184</f>
        <v>BNI- Direct Installation; Faucet Aerator; COM-Other; Office</v>
      </c>
      <c r="B236" s="271">
        <f>'Measure Tables'!P184</f>
        <v>3.5758821556355791</v>
      </c>
      <c r="C236" s="271">
        <f>'Measure Tables'!T184</f>
        <v>14.970946444269067</v>
      </c>
      <c r="D236" s="273">
        <f>'Measure Tables'!U184</f>
        <v>3.1866442440433622</v>
      </c>
      <c r="E236" s="285">
        <v>12</v>
      </c>
    </row>
    <row r="237" spans="1:5">
      <c r="A237" s="101" t="str">
        <f>'Measure Tables'!A185</f>
        <v>BNI- Direct Installation; Faucet Aerator; COM-Other; Other Commercial</v>
      </c>
      <c r="B237" s="271">
        <f>'Measure Tables'!P185</f>
        <v>3.5758821556355791</v>
      </c>
      <c r="C237" s="271">
        <f>'Measure Tables'!T185</f>
        <v>14.970946444269067</v>
      </c>
      <c r="D237" s="273">
        <f>'Measure Tables'!U185</f>
        <v>3.1866442440433622</v>
      </c>
      <c r="E237" s="285">
        <v>12</v>
      </c>
    </row>
    <row r="238" spans="1:5">
      <c r="A238" s="101" t="str">
        <f>'Measure Tables'!A186</f>
        <v>BNI- Direct Installation; Faucet Aerator; COM-Other; Retail</v>
      </c>
      <c r="B238" s="271">
        <f>'Measure Tables'!P186</f>
        <v>3.5758821556355791</v>
      </c>
      <c r="C238" s="271">
        <f>'Measure Tables'!T186</f>
        <v>14.970946444269067</v>
      </c>
      <c r="D238" s="273">
        <f>'Measure Tables'!U186</f>
        <v>3.1866442440433622</v>
      </c>
      <c r="E238" s="285">
        <v>12</v>
      </c>
    </row>
    <row r="239" spans="1:5">
      <c r="A239" s="101" t="str">
        <f>'Measure Tables'!A5</f>
        <v>BNI - Efficient Product Rebates; Under Counter Commercial Dishwasher (Low Temp); COM-Other; Retail</v>
      </c>
      <c r="B239" s="271">
        <f>'Measure Tables'!P5</f>
        <v>16.269016925903237</v>
      </c>
      <c r="C239" s="271">
        <f>'Measure Tables'!T5</f>
        <v>17.838565065141111</v>
      </c>
      <c r="D239" s="273">
        <f>'Measure Tables'!U5</f>
        <v>9.6474676151997077E-2</v>
      </c>
      <c r="E239" s="285">
        <v>3</v>
      </c>
    </row>
  </sheetData>
  <sortState ref="A1:E238">
    <sortCondition ref="C13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KM25"/>
  <sheetViews>
    <sheetView workbookViewId="0">
      <selection activeCell="A34" sqref="A34"/>
    </sheetView>
  </sheetViews>
  <sheetFormatPr defaultRowHeight="15"/>
  <cols>
    <col min="1" max="1" width="78.28515625" bestFit="1" customWidth="1"/>
    <col min="2" max="2" width="15.42578125" bestFit="1" customWidth="1"/>
    <col min="3" max="3" width="17" bestFit="1" customWidth="1"/>
    <col min="5" max="5" width="79" customWidth="1"/>
  </cols>
  <sheetData>
    <row r="1" spans="1:1651" ht="36" customHeight="1">
      <c r="A1" s="492" t="s">
        <v>411</v>
      </c>
      <c r="B1" s="493"/>
      <c r="C1" s="493"/>
      <c r="D1" s="493"/>
      <c r="E1" s="493"/>
    </row>
    <row r="2" spans="1:1651">
      <c r="A2" s="290" t="s">
        <v>25</v>
      </c>
      <c r="B2" s="290"/>
      <c r="C2" s="290"/>
      <c r="D2" s="290"/>
    </row>
    <row r="3" spans="1:1651">
      <c r="A3" s="36" t="s">
        <v>95</v>
      </c>
      <c r="B3" s="15" t="s">
        <v>27</v>
      </c>
      <c r="C3" s="15" t="s">
        <v>54</v>
      </c>
      <c r="D3" s="37">
        <v>15</v>
      </c>
      <c r="E3" t="s">
        <v>370</v>
      </c>
    </row>
    <row r="4" spans="1:1651">
      <c r="A4" s="36" t="s">
        <v>96</v>
      </c>
      <c r="B4" s="15" t="s">
        <v>27</v>
      </c>
      <c r="C4" s="15" t="s">
        <v>54</v>
      </c>
      <c r="D4" s="37">
        <v>15</v>
      </c>
      <c r="E4" t="s">
        <v>370</v>
      </c>
    </row>
    <row r="5" spans="1:1651">
      <c r="A5" s="36" t="s">
        <v>97</v>
      </c>
      <c r="B5" s="15" t="s">
        <v>27</v>
      </c>
      <c r="C5" s="15" t="s">
        <v>54</v>
      </c>
      <c r="D5" s="37">
        <v>15</v>
      </c>
      <c r="E5" t="s">
        <v>370</v>
      </c>
    </row>
    <row r="6" spans="1:1651">
      <c r="A6" s="36" t="s">
        <v>98</v>
      </c>
      <c r="B6" s="15" t="s">
        <v>27</v>
      </c>
      <c r="C6" s="15" t="s">
        <v>54</v>
      </c>
      <c r="D6" s="37">
        <v>15</v>
      </c>
      <c r="E6" t="s">
        <v>370</v>
      </c>
    </row>
    <row r="7" spans="1:1651" ht="15.75" thickBot="1">
      <c r="A7" s="53" t="s">
        <v>99</v>
      </c>
      <c r="B7" s="16" t="s">
        <v>27</v>
      </c>
      <c r="C7" s="16" t="s">
        <v>54</v>
      </c>
      <c r="D7" s="54">
        <v>15</v>
      </c>
      <c r="E7" s="168" t="s">
        <v>370</v>
      </c>
    </row>
    <row r="9" spans="1:1651">
      <c r="A9" s="291" t="s">
        <v>151</v>
      </c>
      <c r="B9" s="292"/>
      <c r="C9" s="292"/>
      <c r="D9" s="292"/>
    </row>
    <row r="10" spans="1:1651">
      <c r="A10" s="36" t="s">
        <v>168</v>
      </c>
      <c r="B10" s="15" t="s">
        <v>160</v>
      </c>
      <c r="C10" s="15" t="s">
        <v>136</v>
      </c>
      <c r="D10" s="37">
        <v>15</v>
      </c>
      <c r="E10" t="s">
        <v>333</v>
      </c>
    </row>
    <row r="11" spans="1:1651">
      <c r="A11" s="36" t="s">
        <v>169</v>
      </c>
      <c r="B11" s="15" t="s">
        <v>170</v>
      </c>
      <c r="C11" s="15" t="s">
        <v>136</v>
      </c>
      <c r="D11" s="37">
        <v>20</v>
      </c>
      <c r="E11" t="s">
        <v>333</v>
      </c>
    </row>
    <row r="12" spans="1:1651">
      <c r="A12" s="36" t="s">
        <v>171</v>
      </c>
      <c r="B12" s="15" t="s">
        <v>139</v>
      </c>
      <c r="C12" s="15" t="s">
        <v>136</v>
      </c>
      <c r="D12" s="37">
        <v>20</v>
      </c>
      <c r="E12" t="s">
        <v>333</v>
      </c>
    </row>
    <row r="13" spans="1:1651">
      <c r="A13" s="36" t="s">
        <v>176</v>
      </c>
      <c r="B13" s="15" t="s">
        <v>135</v>
      </c>
      <c r="C13" s="15" t="s">
        <v>155</v>
      </c>
      <c r="D13" s="37">
        <v>10</v>
      </c>
    </row>
    <row r="14" spans="1:1651" ht="30.75" thickBot="1">
      <c r="A14" s="53" t="s">
        <v>177</v>
      </c>
      <c r="B14" s="16" t="s">
        <v>139</v>
      </c>
      <c r="C14" s="16" t="s">
        <v>136</v>
      </c>
      <c r="D14" s="54">
        <v>25</v>
      </c>
      <c r="E14" s="255" t="s">
        <v>369</v>
      </c>
    </row>
    <row r="16" spans="1:1651">
      <c r="A16" s="291" t="s">
        <v>178</v>
      </c>
      <c r="B16" s="292"/>
      <c r="C16" s="292"/>
      <c r="D16" s="292"/>
    </row>
    <row r="17" spans="1:4">
      <c r="A17" s="36" t="s">
        <v>179</v>
      </c>
      <c r="B17" s="15" t="s">
        <v>170</v>
      </c>
      <c r="C17" s="15" t="s">
        <v>180</v>
      </c>
      <c r="D17" s="37">
        <v>30</v>
      </c>
    </row>
    <row r="18" spans="1:4">
      <c r="A18" s="36" t="s">
        <v>181</v>
      </c>
      <c r="B18" s="15" t="s">
        <v>170</v>
      </c>
      <c r="C18" s="15" t="s">
        <v>180</v>
      </c>
      <c r="D18" s="37">
        <v>30</v>
      </c>
    </row>
    <row r="19" spans="1:4">
      <c r="A19" s="36" t="s">
        <v>182</v>
      </c>
      <c r="B19" s="15" t="s">
        <v>170</v>
      </c>
      <c r="C19" s="15" t="s">
        <v>180</v>
      </c>
      <c r="D19" s="37">
        <v>30</v>
      </c>
    </row>
    <row r="20" spans="1:4">
      <c r="A20" s="36" t="s">
        <v>183</v>
      </c>
      <c r="B20" s="15" t="s">
        <v>170</v>
      </c>
      <c r="C20" s="15" t="s">
        <v>180</v>
      </c>
      <c r="D20" s="37">
        <v>30</v>
      </c>
    </row>
    <row r="21" spans="1:4">
      <c r="A21" s="36" t="s">
        <v>184</v>
      </c>
      <c r="B21" s="15" t="s">
        <v>170</v>
      </c>
      <c r="C21" s="15" t="s">
        <v>180</v>
      </c>
      <c r="D21" s="37">
        <v>30</v>
      </c>
    </row>
    <row r="22" spans="1:4">
      <c r="A22" s="36" t="s">
        <v>185</v>
      </c>
      <c r="B22" s="15" t="s">
        <v>170</v>
      </c>
      <c r="C22" s="15" t="s">
        <v>180</v>
      </c>
      <c r="D22" s="37">
        <v>30</v>
      </c>
    </row>
    <row r="23" spans="1:4">
      <c r="A23" s="36" t="s">
        <v>168</v>
      </c>
      <c r="B23" s="15" t="s">
        <v>160</v>
      </c>
      <c r="C23" s="15" t="s">
        <v>180</v>
      </c>
      <c r="D23" s="37">
        <v>15</v>
      </c>
    </row>
    <row r="24" spans="1:4">
      <c r="A24" s="36" t="s">
        <v>169</v>
      </c>
      <c r="B24" s="15" t="s">
        <v>170</v>
      </c>
      <c r="C24" s="15" t="s">
        <v>180</v>
      </c>
      <c r="D24" s="37">
        <v>20</v>
      </c>
    </row>
    <row r="25" spans="1:4" ht="15.75" thickBot="1">
      <c r="A25" s="53" t="s">
        <v>171</v>
      </c>
      <c r="B25" s="16" t="s">
        <v>139</v>
      </c>
      <c r="C25" s="16" t="s">
        <v>180</v>
      </c>
      <c r="D25" s="54">
        <v>20</v>
      </c>
    </row>
  </sheetData>
  <mergeCells count="1">
    <mergeCell ref="A1:E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3:J46"/>
  <sheetViews>
    <sheetView topLeftCell="B1" workbookViewId="0">
      <selection activeCell="D32" sqref="D32"/>
    </sheetView>
  </sheetViews>
  <sheetFormatPr defaultRowHeight="15"/>
  <cols>
    <col min="4" max="4" width="17.42578125" customWidth="1"/>
    <col min="5" max="5" width="24" customWidth="1"/>
    <col min="6" max="6" width="27.140625" customWidth="1"/>
    <col min="7" max="7" width="13.28515625" customWidth="1"/>
    <col min="8" max="8" width="22.28515625" customWidth="1"/>
  </cols>
  <sheetData>
    <row r="3" spans="4:10" ht="15.75" thickBot="1"/>
    <row r="4" spans="4:10" ht="15.75" thickBot="1">
      <c r="D4" s="494" t="s">
        <v>415</v>
      </c>
      <c r="E4" s="495"/>
      <c r="F4" s="495"/>
      <c r="G4" s="495"/>
      <c r="H4" s="496"/>
    </row>
    <row r="5" spans="4:10" ht="15.75" thickBot="1">
      <c r="D5" s="419" t="s">
        <v>416</v>
      </c>
      <c r="E5" s="420" t="s">
        <v>417</v>
      </c>
      <c r="F5" s="420" t="s">
        <v>418</v>
      </c>
      <c r="G5" s="420" t="s">
        <v>419</v>
      </c>
      <c r="H5" s="421" t="s">
        <v>420</v>
      </c>
    </row>
    <row r="6" spans="4:10">
      <c r="D6" s="422" t="s">
        <v>71</v>
      </c>
      <c r="E6" s="423">
        <f>(SUMIF('Measure Tables'!$C$5:$C$143,D6,'Measure Tables'!$AU$5:$AU$143)+SUMIF('Measure Tables'!$C$5:$C$143,D6,'Measure Tables'!$BI$5:$BI$143)+SUMIF('Measure Tables'!$C$5:$C$143,D6,'Measure Tables'!$BW$5:$BW$143))/(SUMIF('Measure Tables'!$C$5:$C$143,D6,'Measure Tables'!$AX$5:$AX$143)+SUMIF('Measure Tables'!$C$5:$C$143,D6,'Measure Tables'!$BL$5:$BL$143)+SUMIF('Measure Tables'!$C$5:$C$143,D6,'Measure Tables'!$BZ$5:$BZ$143))</f>
        <v>1.8971771431988289</v>
      </c>
      <c r="F6" s="424">
        <f>(SUMIF('Measure Tables'!$C$5:$C$143,D6,'Measure Tables'!$AU$5:$AU$143)+SUMIF('Measure Tables'!$C$5:$C$143,D6,'Measure Tables'!$BI$5:$BI$143)+SUMIF('Measure Tables'!$C$5:$C$143,D6,'Measure Tables'!$BW$5:$BW$143)+SUMIF('Measure Tables'!$C$5:$C$143,D6,'Measure Tables'!$AV$5:$AV$143)+SUMIF('Measure Tables'!$C$5:$C$143,D6,'Measure Tables'!$BJ$5:$BJ$143)+SUMIF('Measure Tables'!$C$5:$C$143,D6,'Measure Tables'!$BX$5:$BX$143))/(SUMIF('Measure Tables'!$C$5:$C$143,D6,'Measure Tables'!$AX$5:$AX$143)+SUMIF('Measure Tables'!$C$5:$C$143,D6,'Measure Tables'!$BL$5:$BL$143)+SUMIF('Measure Tables'!$C$5:$C$143,D6,'Measure Tables'!$BZ$5:$BZ$143))</f>
        <v>2.4760838533878191</v>
      </c>
      <c r="G6" s="425">
        <f>(F6-E6)/E6</f>
        <v>0.3051410946333119</v>
      </c>
      <c r="H6" s="426">
        <f>(SUMIF('Measure Tables'!$C$5:$C$143,D6,'Measure Tables'!$AV$5:$AV$143)+SUMIF('Measure Tables'!$C$5:$C$143,D6,'Measure Tables'!$BJ$5:$BJ$143)+SUMIF('Measure Tables'!$C$5:$C$143,D6,'Measure Tables'!$BX$5:$BX$143))/(SUM('Measure Tables'!$AV$5:$AV$143)+SUM('Measure Tables'!$BJ$5:$BJ$143)+SUM('Measure Tables'!$BX$5:$BX$143))</f>
        <v>0.76671097503271379</v>
      </c>
      <c r="J6" s="466"/>
    </row>
    <row r="7" spans="4:10">
      <c r="D7" s="427" t="s">
        <v>53</v>
      </c>
      <c r="E7" s="428">
        <f>(SUMIF('Measure Tables'!$C$5:$C$143,D7,'Measure Tables'!$AU$5:$AU$143)+SUMIF('Measure Tables'!$C$5:$C$143,D7,'Measure Tables'!$BI$5:$BI$143)+SUMIF('Measure Tables'!$C$5:$C$143,D7,'Measure Tables'!$BW$5:$BW$143))/(SUMIF('Measure Tables'!$C$5:$C$143,D7,'Measure Tables'!$AX$5:$AX$143)+SUMIF('Measure Tables'!$C$5:$C$143,D7,'Measure Tables'!$BL$5:$BL$143)+SUMIF('Measure Tables'!$C$5:$C$143,D7,'Measure Tables'!$BZ$5:$BZ$143))</f>
        <v>3.5119984873618386</v>
      </c>
      <c r="F7" s="429">
        <f>(SUMIF('Measure Tables'!$C$5:$C$143,D7,'Measure Tables'!$AU$5:$AU$143)+SUMIF('Measure Tables'!$C$5:$C$143,D7,'Measure Tables'!$BI$5:$BI$143)+SUMIF('Measure Tables'!$C$5:$C$143,D7,'Measure Tables'!$BW$5:$BW$143)+SUMIF('Measure Tables'!$C$5:$C$143,D7,'Measure Tables'!$AV$5:$AV$143)+SUMIF('Measure Tables'!$C$5:$C$143,D7,'Measure Tables'!$BJ$5:$BJ$143)+SUMIF('Measure Tables'!$C$5:$C$143,D7,'Measure Tables'!$BX$5:$BX$143))/(SUMIF('Measure Tables'!$C$5:$C$143,D7,'Measure Tables'!$AX$5:$AX$143)+SUMIF('Measure Tables'!$C$5:$C$143,D7,'Measure Tables'!$BL$5:$BL$143)+SUMIF('Measure Tables'!$C$5:$C$143,D7,'Measure Tables'!$BZ$5:$BZ$143))</f>
        <v>3.5119984873618386</v>
      </c>
      <c r="G7" s="430">
        <f t="shared" ref="G7:G12" si="0">(F7-E7)/E7</f>
        <v>0</v>
      </c>
      <c r="H7" s="431">
        <f>(SUMIF('Measure Tables'!$C$5:$C$143,D7,'Measure Tables'!$AV$5:$AV$143)+SUMIF('Measure Tables'!$C$5:$C$143,D7,'Measure Tables'!$BJ$5:$BJ$143)+SUMIF('Measure Tables'!$C$5:$C$143,D7,'Measure Tables'!$BX$5:$BX$143))/(SUM('Measure Tables'!$AV$5:$AV$143)+SUM('Measure Tables'!$BJ$5:$BJ$143)+SUM('Measure Tables'!$BX$5:$BX$143))</f>
        <v>0</v>
      </c>
      <c r="J7" s="466"/>
    </row>
    <row r="8" spans="4:10">
      <c r="D8" s="427" t="s">
        <v>87</v>
      </c>
      <c r="E8" s="428">
        <f>(SUMIF('Measure Tables'!$C$5:$C$143,D8,'Measure Tables'!$AU$5:$AU$143)+SUMIF('Measure Tables'!$C$5:$C$143,D8,'Measure Tables'!$BI$5:$BI$143)+SUMIF('Measure Tables'!$C$5:$C$143,D8,'Measure Tables'!$BW$5:$BW$143))/(SUMIF('Measure Tables'!$C$5:$C$143,D8,'Measure Tables'!$AX$5:$AX$143)+SUMIF('Measure Tables'!$C$5:$C$143,D8,'Measure Tables'!$BL$5:$BL$143)+SUMIF('Measure Tables'!$C$5:$C$143,D8,'Measure Tables'!$BZ$5:$BZ$143))</f>
        <v>2.7420012980431037</v>
      </c>
      <c r="F8" s="429">
        <f>(SUMIF('Measure Tables'!$C$5:$C$143,D8,'Measure Tables'!$AU$5:$AU$143)+SUMIF('Measure Tables'!$C$5:$C$143,D8,'Measure Tables'!$BI$5:$BI$143)+SUMIF('Measure Tables'!$C$5:$C$143,D8,'Measure Tables'!$BW$5:$BW$143)+SUMIF('Measure Tables'!$C$5:$C$143,D8,'Measure Tables'!$AV$5:$AV$143)+SUMIF('Measure Tables'!$C$5:$C$143,D8,'Measure Tables'!$BJ$5:$BJ$143)+SUMIF('Measure Tables'!$C$5:$C$143,D8,'Measure Tables'!$BX$5:$BX$143))/(SUMIF('Measure Tables'!$C$5:$C$143,D8,'Measure Tables'!$AX$5:$AX$143)+SUMIF('Measure Tables'!$C$5:$C$143,D8,'Measure Tables'!$BL$5:$BL$143)+SUMIF('Measure Tables'!$C$5:$C$143,D8,'Measure Tables'!$BZ$5:$BZ$143))</f>
        <v>2.7420012980431037</v>
      </c>
      <c r="G8" s="430">
        <f t="shared" si="0"/>
        <v>0</v>
      </c>
      <c r="H8" s="431">
        <f>(SUMIF('Measure Tables'!$C$5:$C$143,D8,'Measure Tables'!$AV$5:$AV$143)+SUMIF('Measure Tables'!$C$5:$C$143,D8,'Measure Tables'!$BJ$5:$BJ$143)+SUMIF('Measure Tables'!$C$5:$C$143,D8,'Measure Tables'!$BX$5:$BX$143))/(SUM('Measure Tables'!$AV$5:$AV$143)+SUM('Measure Tables'!$BJ$5:$BJ$143)+SUM('Measure Tables'!$BX$5:$BX$143))</f>
        <v>0</v>
      </c>
      <c r="J8" s="466"/>
    </row>
    <row r="9" spans="4:10">
      <c r="D9" s="427" t="s">
        <v>93</v>
      </c>
      <c r="E9" s="428">
        <f>(SUMIF('Measure Tables'!$C$5:$C$143,D9,'Measure Tables'!$AU$5:$AU$143)+SUMIF('Measure Tables'!$C$5:$C$143,D9,'Measure Tables'!$BI$5:$BI$143)+SUMIF('Measure Tables'!$C$5:$C$143,D9,'Measure Tables'!$BW$5:$BW$143))/(SUMIF('Measure Tables'!$C$5:$C$143,D9,'Measure Tables'!$AX$5:$AX$143)+SUMIF('Measure Tables'!$C$5:$C$143,D9,'Measure Tables'!$BL$5:$BL$143)+SUMIF('Measure Tables'!$C$5:$C$143,D9,'Measure Tables'!$BZ$5:$BZ$143))</f>
        <v>2.0146547130571468</v>
      </c>
      <c r="F9" s="429">
        <f>(SUMIF('Measure Tables'!$C$5:$C$143,D9,'Measure Tables'!$AU$5:$AU$143)+SUMIF('Measure Tables'!$C$5:$C$143,D9,'Measure Tables'!$BI$5:$BI$143)+SUMIF('Measure Tables'!$C$5:$C$143,D9,'Measure Tables'!$BW$5:$BW$143)+SUMIF('Measure Tables'!$C$5:$C$143,D9,'Measure Tables'!$AV$5:$AV$143)+SUMIF('Measure Tables'!$C$5:$C$143,D9,'Measure Tables'!$BJ$5:$BJ$143)+SUMIF('Measure Tables'!$C$5:$C$143,D9,'Measure Tables'!$BX$5:$BX$143))/(SUMIF('Measure Tables'!$C$5:$C$143,D9,'Measure Tables'!$AX$5:$AX$143)+SUMIF('Measure Tables'!$C$5:$C$143,D9,'Measure Tables'!$BL$5:$BL$143)+SUMIF('Measure Tables'!$C$5:$C$143,D9,'Measure Tables'!$BZ$5:$BZ$143))</f>
        <v>2.0146547130571468</v>
      </c>
      <c r="G9" s="430">
        <f t="shared" si="0"/>
        <v>0</v>
      </c>
      <c r="H9" s="431">
        <f>(SUMIF('Measure Tables'!$C$5:$C$143,D9,'Measure Tables'!$AV$5:$AV$143)+SUMIF('Measure Tables'!$C$5:$C$143,D9,'Measure Tables'!$BJ$5:$BJ$143)+SUMIF('Measure Tables'!$C$5:$C$143,D9,'Measure Tables'!$BX$5:$BX$143))/(SUM('Measure Tables'!$AV$5:$AV$143)+SUM('Measure Tables'!$BJ$5:$BJ$143)+SUM('Measure Tables'!$BX$5:$BX$143))</f>
        <v>0</v>
      </c>
      <c r="J9" s="466"/>
    </row>
    <row r="10" spans="4:10">
      <c r="D10" s="427" t="s">
        <v>44</v>
      </c>
      <c r="E10" s="428">
        <f>(SUMIF('Measure Tables'!$C$5:$C$143,D10,'Measure Tables'!$AU$5:$AU$143)+SUMIF('Measure Tables'!$C$5:$C$143,D10,'Measure Tables'!$BI$5:$BI$143)+SUMIF('Measure Tables'!$C$5:$C$143,D10,'Measure Tables'!$BW$5:$BW$143))/(SUMIF('Measure Tables'!$C$5:$C$143,D10,'Measure Tables'!$AX$5:$AX$143)+SUMIF('Measure Tables'!$C$5:$C$143,D10,'Measure Tables'!$BL$5:$BL$143)+SUMIF('Measure Tables'!$C$5:$C$143,D10,'Measure Tables'!$BZ$5:$BZ$143))</f>
        <v>2.5839619354135852</v>
      </c>
      <c r="F10" s="429">
        <f>(SUMIF('Measure Tables'!$C$5:$C$143,D10,'Measure Tables'!$AU$5:$AU$143)+SUMIF('Measure Tables'!$C$5:$C$143,D10,'Measure Tables'!$BI$5:$BI$143)+SUMIF('Measure Tables'!$C$5:$C$143,D10,'Measure Tables'!$BW$5:$BW$143)+SUMIF('Measure Tables'!$C$5:$C$143,D10,'Measure Tables'!$AV$5:$AV$143)+SUMIF('Measure Tables'!$C$5:$C$143,D10,'Measure Tables'!$BJ$5:$BJ$143)+SUMIF('Measure Tables'!$C$5:$C$143,D10,'Measure Tables'!$BX$5:$BX$143))/(SUMIF('Measure Tables'!$C$5:$C$143,D10,'Measure Tables'!$AX$5:$AX$143)+SUMIF('Measure Tables'!$C$5:$C$143,D10,'Measure Tables'!$BL$5:$BL$143)+SUMIF('Measure Tables'!$C$5:$C$143,D10,'Measure Tables'!$BZ$5:$BZ$143))</f>
        <v>2.6951527408184726</v>
      </c>
      <c r="G10" s="430">
        <f t="shared" si="0"/>
        <v>4.3031131334018785E-2</v>
      </c>
      <c r="H10" s="431">
        <f>(SUMIF('Measure Tables'!$C$5:$C$143,D10,'Measure Tables'!$AV$5:$AV$143)+SUMIF('Measure Tables'!$C$5:$C$143,D10,'Measure Tables'!$BJ$5:$BJ$143)+SUMIF('Measure Tables'!$C$5:$C$143,D10,'Measure Tables'!$BX$5:$BX$143))/(SUM('Measure Tables'!$AV$5:$AV$143)+SUM('Measure Tables'!$BJ$5:$BJ$143)+SUM('Measure Tables'!$BX$5:$BX$143))</f>
        <v>4.9139008249734486E-3</v>
      </c>
      <c r="J10" s="466"/>
    </row>
    <row r="11" spans="4:10">
      <c r="D11" s="427" t="s">
        <v>27</v>
      </c>
      <c r="E11" s="428">
        <f>(SUMIF('Measure Tables'!$C$5:$C$143,D11,'Measure Tables'!$AU$5:$AU$143)+SUMIF('Measure Tables'!$C$5:$C$143,D11,'Measure Tables'!$BI$5:$BI$143)+SUMIF('Measure Tables'!$C$5:$C$143,D11,'Measure Tables'!$BW$5:$BW$143))/(SUMIF('Measure Tables'!$C$5:$C$143,D11,'Measure Tables'!$AX$5:$AX$143)+SUMIF('Measure Tables'!$C$5:$C$143,D11,'Measure Tables'!$BL$5:$BL$143)+SUMIF('Measure Tables'!$C$5:$C$143,D11,'Measure Tables'!$BZ$5:$BZ$143))</f>
        <v>5.089092887627511</v>
      </c>
      <c r="F11" s="429">
        <f>(SUMIF('Measure Tables'!$C$5:$C$143,D11,'Measure Tables'!$AU$5:$AU$143)+SUMIF('Measure Tables'!$C$5:$C$143,D11,'Measure Tables'!$BI$5:$BI$143)+SUMIF('Measure Tables'!$C$5:$C$143,D11,'Measure Tables'!$BW$5:$BW$143)+SUMIF('Measure Tables'!$C$5:$C$143,D11,'Measure Tables'!$AV$5:$AV$143)+SUMIF('Measure Tables'!$C$5:$C$143,D11,'Measure Tables'!$BJ$5:$BJ$143)+SUMIF('Measure Tables'!$C$5:$C$143,D11,'Measure Tables'!$BX$5:$BX$143))/(SUMIF('Measure Tables'!$C$5:$C$143,D11,'Measure Tables'!$AX$5:$AX$143)+SUMIF('Measure Tables'!$C$5:$C$143,D11,'Measure Tables'!$BL$5:$BL$143)+SUMIF('Measure Tables'!$C$5:$C$143,D11,'Measure Tables'!$BZ$5:$BZ$143))</f>
        <v>5.9654357507785623</v>
      </c>
      <c r="G11" s="430">
        <f t="shared" si="0"/>
        <v>0.17220020984124626</v>
      </c>
      <c r="H11" s="431">
        <f>(SUMIF('Measure Tables'!$C$5:$C$143,D11,'Measure Tables'!$AV$5:$AV$143)+SUMIF('Measure Tables'!$C$5:$C$143,D11,'Measure Tables'!$BJ$5:$BJ$143)+SUMIF('Measure Tables'!$C$5:$C$143,D11,'Measure Tables'!$BX$5:$BX$143))/(SUM('Measure Tables'!$AV$5:$AV$143)+SUM('Measure Tables'!$BJ$5:$BJ$143)+SUM('Measure Tables'!$BX$5:$BX$143))</f>
        <v>3.7538349224930413E-2</v>
      </c>
      <c r="J11" s="466"/>
    </row>
    <row r="12" spans="4:10" ht="15.75" thickBot="1">
      <c r="D12" s="432" t="s">
        <v>67</v>
      </c>
      <c r="E12" s="433">
        <f>(SUMIF('Measure Tables'!$C$5:$C$143,D12,'Measure Tables'!$AU$5:$AU$143)+SUMIF('Measure Tables'!$C$5:$C$143,D12,'Measure Tables'!$BI$5:$BI$143)+SUMIF('Measure Tables'!$C$5:$C$143,D12,'Measure Tables'!$BW$5:$BW$143)+53725)/(SUMIF('Measure Tables'!$C$5:$C$143,D12,'Measure Tables'!$AX$5:$AX$143)+SUMIF('Measure Tables'!$C$5:$C$143,D12,'Measure Tables'!$BL$5:$BL$143)+SUMIF('Measure Tables'!$C$5:$C$143,D12,'Measure Tables'!$BZ$5:$BZ$143))</f>
        <v>2.5911807503009481</v>
      </c>
      <c r="F12" s="434">
        <f>(SUMIF('Measure Tables'!$C$5:$C$143,D12,'Measure Tables'!$AU$5:$AU$143)+SUMIF('Measure Tables'!$C$5:$C$143,D12,'Measure Tables'!$BI$5:$BI$143)+SUMIF('Measure Tables'!$C$5:$C$143,D12,'Measure Tables'!$BW$5:$BW$143)+SUMIF('Measure Tables'!$C$5:$C$143,D12,'Measure Tables'!$AV$5:$AV$143)+SUMIF('Measure Tables'!$C$5:$C$143,D12,'Measure Tables'!$BJ$5:$BJ$143)+SUMIF('Measure Tables'!$C$5:$C$143,D12,'Measure Tables'!$BX$5:$BX$143)+53725)/(SUMIF('Measure Tables'!$C$5:$C$143,D12,'Measure Tables'!$AX$5:$AX$143)+SUMIF('Measure Tables'!$C$5:$C$143,D12,'Measure Tables'!$BL$5:$BL$143)+SUMIF('Measure Tables'!$C$5:$C$143,D12,'Measure Tables'!$BZ$5:$BZ$143))</f>
        <v>3.2391709208511164</v>
      </c>
      <c r="G12" s="435">
        <f t="shared" si="0"/>
        <v>0.25007524869691494</v>
      </c>
      <c r="H12" s="436">
        <f>(SUMIF('Measure Tables'!$C$5:$C$143,D12,'Measure Tables'!$AV$5:$AV$143)+SUMIF('Measure Tables'!$C$5:$C$143,D12,'Measure Tables'!$BJ$5:$BJ$143)+SUMIF('Measure Tables'!$C$5:$C$143,D12,'Measure Tables'!$BX$5:$BX$143))/(SUM('Measure Tables'!$AV$5:$AV$143)+SUM('Measure Tables'!$BJ$5:$BJ$143)+SUM('Measure Tables'!$BX$5:$BX$143))</f>
        <v>0.19083677491738243</v>
      </c>
      <c r="J12" s="466"/>
    </row>
    <row r="13" spans="4:10" ht="15.75" thickBot="1">
      <c r="J13" s="466"/>
    </row>
    <row r="14" spans="4:10" ht="15.75" thickBot="1">
      <c r="D14" s="494" t="s">
        <v>421</v>
      </c>
      <c r="E14" s="495"/>
      <c r="F14" s="495"/>
      <c r="G14" s="495"/>
      <c r="H14" s="496"/>
      <c r="J14" s="466"/>
    </row>
    <row r="15" spans="4:10" ht="15.75" thickBot="1">
      <c r="D15" s="419" t="s">
        <v>416</v>
      </c>
      <c r="E15" s="420" t="s">
        <v>417</v>
      </c>
      <c r="F15" s="420" t="s">
        <v>418</v>
      </c>
      <c r="G15" s="420" t="s">
        <v>419</v>
      </c>
      <c r="H15" s="421" t="s">
        <v>420</v>
      </c>
    </row>
    <row r="16" spans="4:10">
      <c r="D16" s="422" t="s">
        <v>71</v>
      </c>
      <c r="E16" s="423">
        <f>(SUMIF('Measure Tables'!$C$151:$C$191,D16,'Measure Tables'!$AU$151:$AU$191)+SUMIF('Measure Tables'!$C$151:$C$191,D16,'Measure Tables'!$BI$151:$BI$191)+SUMIF('Measure Tables'!$C$151:$C$191,D16,'Measure Tables'!$BW$151:$BW$191))/(SUMIF('Measure Tables'!$C$151:$C$191,D16,'Measure Tables'!$AX$151:$AX$191)+SUMIF('Measure Tables'!$C$151:$C$191,D16,'Measure Tables'!$BL$151:$BL$191)+SUMIF('Measure Tables'!$C$151:$C$191,D16,'Measure Tables'!$BZ$151:$BZ$191))</f>
        <v>1.6837220910552491</v>
      </c>
      <c r="F16" s="424">
        <f>(SUMIF('Measure Tables'!$C$151:$C$191,D16,'Measure Tables'!$AU$151:$AU$191)+SUMIF('Measure Tables'!$C$151:$C$191,D16,'Measure Tables'!$BI$151:$BI$191)+SUMIF('Measure Tables'!$C$151:$C$191,D16,'Measure Tables'!$BW$151:$BW$191)+SUMIF('Measure Tables'!$C$151:$C$191,D16,'Measure Tables'!$AV$151:$AV$191)+SUMIF('Measure Tables'!$C$151:$C$191,D16,'Measure Tables'!$BJ$151:$BJ$191)+SUMIF('Measure Tables'!$C$151:$C$191,D16,'Measure Tables'!$BX$151:$BX$191))/(SUMIF('Measure Tables'!$C$151:$C$191,D16,'Measure Tables'!$AX$151:$AX$191)+SUMIF('Measure Tables'!$C$151:$C$191,D16,'Measure Tables'!$BL$151:$BL$191)+SUMIF('Measure Tables'!$C$151:$C$191,D16,'Measure Tables'!$BZ$151:$BZ$191))</f>
        <v>2.1906252470574019</v>
      </c>
      <c r="G16" s="425">
        <f>(F16-E16)/E16</f>
        <v>0.30106105912315878</v>
      </c>
      <c r="H16" s="426">
        <f>(SUMIF('Measure Tables'!$C$151:$C$191,D16,'Measure Tables'!$AV$151:$AV$191)+SUMIF('Measure Tables'!$C$151:$C$191,D16,'Measure Tables'!$BJ$151:$BJ$191)+SUMIF('Measure Tables'!$C$151:$C$191,D16,'Measure Tables'!$BX$151:$BX$191))/(SUM('Measure Tables'!$AV$151:$AV$191)+SUM('Measure Tables'!$BJ$151:$BJ$191)+SUM('Measure Tables'!$BX$151:$BX$191))</f>
        <v>4.3371434005773896E-2</v>
      </c>
    </row>
    <row r="17" spans="4:8">
      <c r="D17" s="427" t="s">
        <v>93</v>
      </c>
      <c r="E17" s="428">
        <f>(SUMIF('Measure Tables'!$C$151:$C$191,D17,'Measure Tables'!$AU$151:$AU$191)+SUMIF('Measure Tables'!$C$151:$C$191,D17,'Measure Tables'!$BI$151:$BI$191)+SUMIF('Measure Tables'!$C$151:$C$191,D17,'Measure Tables'!$BW$151:$BW$191))/(SUMIF('Measure Tables'!$C$151:$C$191,D17,'Measure Tables'!$AX$151:$AX$191)+SUMIF('Measure Tables'!$C$151:$C$191,D17,'Measure Tables'!$BL$151:$BL$191)+SUMIF('Measure Tables'!$C$151:$C$191,D17,'Measure Tables'!$BZ$151:$BZ$191))</f>
        <v>0.93556699963845125</v>
      </c>
      <c r="F17" s="429">
        <f>(SUMIF('Measure Tables'!$C$151:$C$191,D17,'Measure Tables'!$AU$151:$AU$191)+SUMIF('Measure Tables'!$C$151:$C$191,D17,'Measure Tables'!$BI$151:$BI$191)+SUMIF('Measure Tables'!$C$151:$C$191,D17,'Measure Tables'!$BW$151:$BW$191)+SUMIF('Measure Tables'!$C$151:$C$191,D17,'Measure Tables'!$AV$151:$AV$191)+SUMIF('Measure Tables'!$C$151:$C$191,D17,'Measure Tables'!$BJ$151:$BJ$191)+SUMIF('Measure Tables'!$C$151:$C$191,D17,'Measure Tables'!$BX$151:$BX$191))/(SUMIF('Measure Tables'!$C$151:$C$191,D17,'Measure Tables'!$AX$151:$AX$191)+SUMIF('Measure Tables'!$C$151:$C$191,D17,'Measure Tables'!$BL$151:$BL$191)+SUMIF('Measure Tables'!$C$151:$C$191,D17,'Measure Tables'!$BZ$151:$BZ$191))</f>
        <v>1.8116320479051324</v>
      </c>
      <c r="G17" s="430">
        <f t="shared" ref="G17:G19" si="1">(F17-E17)/E17</f>
        <v>0.93640011736758078</v>
      </c>
      <c r="H17" s="431">
        <f>(SUMIF('Measure Tables'!$C$151:$C$191,D17,'Measure Tables'!$AV$151:$AV$191)+SUMIF('Measure Tables'!$C$151:$C$191,D17,'Measure Tables'!$BJ$151:$BJ$191)+SUMIF('Measure Tables'!$C$151:$C$191,D17,'Measure Tables'!$BX$151:$BX$191))/(SUM('Measure Tables'!$AV$151:$AV$191)+SUM('Measure Tables'!$BJ$151:$BJ$191)+SUM('Measure Tables'!$BX$151:$BX$191))</f>
        <v>0.83793938092909237</v>
      </c>
    </row>
    <row r="18" spans="4:8">
      <c r="D18" s="427" t="s">
        <v>44</v>
      </c>
      <c r="E18" s="428">
        <f>(SUMIF('Measure Tables'!$C$151:$C$191,D18,'Measure Tables'!$AU$151:$AU$191)+SUMIF('Measure Tables'!$C$151:$C$191,D18,'Measure Tables'!$BI$151:$BI$191)+SUMIF('Measure Tables'!$C$151:$C$191,D18,'Measure Tables'!$BW$151:$BW$191))/(SUMIF('Measure Tables'!$C$151:$C$191,D18,'Measure Tables'!$AX$151:$AX$191)+SUMIF('Measure Tables'!$C$151:$C$191,D18,'Measure Tables'!$BL$151:$BL$191)+SUMIF('Measure Tables'!$C$151:$C$191,D18,'Measure Tables'!$BZ$151:$BZ$191))</f>
        <v>2.4806598247008331</v>
      </c>
      <c r="F18" s="429">
        <f>(SUMIF('Measure Tables'!$C$151:$C$191,D18,'Measure Tables'!$AU$151:$AU$191)+SUMIF('Measure Tables'!$C$151:$C$191,D18,'Measure Tables'!$BI$151:$BI$191)+SUMIF('Measure Tables'!$C$151:$C$191,D18,'Measure Tables'!$BW$151:$BW$191)+SUMIF('Measure Tables'!$C$151:$C$191,D18,'Measure Tables'!$AV$151:$AV$191)+SUMIF('Measure Tables'!$C$151:$C$191,D18,'Measure Tables'!$BJ$151:$BJ$191)+SUMIF('Measure Tables'!$C$151:$C$191,D18,'Measure Tables'!$BX$151:$BX$191))/(SUMIF('Measure Tables'!$C$151:$C$191,D18,'Measure Tables'!$AX$151:$AX$191)+SUMIF('Measure Tables'!$C$151:$C$191,D18,'Measure Tables'!$BL$151:$BL$191)+SUMIF('Measure Tables'!$C$151:$C$191,D18,'Measure Tables'!$BZ$151:$BZ$191))</f>
        <v>2.4806598247008331</v>
      </c>
      <c r="G18" s="430">
        <f t="shared" si="1"/>
        <v>0</v>
      </c>
      <c r="H18" s="431">
        <f>(SUMIF('Measure Tables'!$C$151:$C$191,D18,'Measure Tables'!$AV$151:$AV$191)+SUMIF('Measure Tables'!$C$151:$C$191,D18,'Measure Tables'!$BJ$151:$BJ$191)+SUMIF('Measure Tables'!$C$151:$C$191,D18,'Measure Tables'!$BX$151:$BX$191))/(SUM('Measure Tables'!$AV$151:$AV$191)+SUM('Measure Tables'!$BJ$151:$BJ$191)+SUM('Measure Tables'!$BX$151:$BX$191))</f>
        <v>0</v>
      </c>
    </row>
    <row r="19" spans="4:8" ht="15.75" thickBot="1">
      <c r="D19" s="432" t="s">
        <v>27</v>
      </c>
      <c r="E19" s="433">
        <f>(SUMIF('Measure Tables'!$C$151:$C$191,D19,'Measure Tables'!$AU$151:$AU$191)+SUMIF('Measure Tables'!$C$151:$C$191,D19,'Measure Tables'!$BI$151:$BI$191)+SUMIF('Measure Tables'!$C$151:$C$191,D19,'Measure Tables'!$BW$151:$BW$191))/(SUMIF('Measure Tables'!$C$151:$C$191,D19,'Measure Tables'!$AX$151:$AX$191)+SUMIF('Measure Tables'!$C$151:$C$191,D19,'Measure Tables'!$BL$151:$BL$191)+SUMIF('Measure Tables'!$C$151:$C$191,D19,'Measure Tables'!$BZ$151:$BZ$191))</f>
        <v>3.5853434265066686</v>
      </c>
      <c r="F19" s="434">
        <f>(SUMIF('Measure Tables'!$C$151:$C$191,D19,'Measure Tables'!$AU$151:$AU$191)+SUMIF('Measure Tables'!$C$151:$C$191,D19,'Measure Tables'!$BI$151:$BI$191)+SUMIF('Measure Tables'!$C$151:$C$191,D19,'Measure Tables'!$BW$151:$BW$191)+SUMIF('Measure Tables'!$C$151:$C$191,D19,'Measure Tables'!$AV$151:$AV$191)+SUMIF('Measure Tables'!$C$151:$C$191,D19,'Measure Tables'!$BJ$151:$BJ$191)+SUMIF('Measure Tables'!$C$151:$C$191,D19,'Measure Tables'!$BX$151:$BX$191))/(SUMIF('Measure Tables'!$C$151:$C$191,D19,'Measure Tables'!$AX$151:$AX$191)+SUMIF('Measure Tables'!$C$151:$C$191,D19,'Measure Tables'!$BL$151:$BL$191)+SUMIF('Measure Tables'!$C$151:$C$191,D19,'Measure Tables'!$BZ$151:$BZ$191))</f>
        <v>12.609360798909808</v>
      </c>
      <c r="G19" s="435">
        <f t="shared" si="1"/>
        <v>2.5169185483566272</v>
      </c>
      <c r="H19" s="436">
        <f>(SUMIF('Measure Tables'!$C$151:$C$191,D19,'Measure Tables'!$AV$151:$AV$191)+SUMIF('Measure Tables'!$C$151:$C$191,D19,'Measure Tables'!$BJ$151:$BJ$191)+SUMIF('Measure Tables'!$C$151:$C$191,D19,'Measure Tables'!$BX$151:$BX$191))/(SUM('Measure Tables'!$AV$151:$AV$191)+SUM('Measure Tables'!$BJ$151:$BJ$191)+SUM('Measure Tables'!$BX$151:$BX$191))</f>
        <v>0.11868918506513373</v>
      </c>
    </row>
    <row r="20" spans="4:8" ht="15.75" thickBot="1"/>
    <row r="21" spans="4:8" ht="15.75" thickBot="1">
      <c r="D21" s="494" t="s">
        <v>422</v>
      </c>
      <c r="E21" s="495"/>
      <c r="F21" s="495"/>
      <c r="G21" s="495"/>
      <c r="H21" s="496"/>
    </row>
    <row r="22" spans="4:8" ht="15.75" thickBot="1">
      <c r="D22" s="419" t="s">
        <v>416</v>
      </c>
      <c r="E22" s="420" t="s">
        <v>417</v>
      </c>
      <c r="F22" s="420" t="s">
        <v>418</v>
      </c>
      <c r="G22" s="420" t="s">
        <v>419</v>
      </c>
      <c r="H22" s="421" t="s">
        <v>420</v>
      </c>
    </row>
    <row r="23" spans="4:8">
      <c r="D23" s="427" t="s">
        <v>27</v>
      </c>
      <c r="E23" s="428">
        <f>SUM('Measure Tables'!AU199,'Measure Tables'!BI199,'Measure Tables'!BW199)/SUM('Measure Tables'!AX199,'Measure Tables'!BL199,'Measure Tables'!BZ199)</f>
        <v>2.8110148028917572</v>
      </c>
      <c r="F23" s="429">
        <f>(SUM('Measure Tables'!AU199,'Measure Tables'!BI199,'Measure Tables'!BW199)+SUM('Measure Tables'!AV199,'Measure Tables'!BJ199,'Measure Tables'!BX199))/SUM('Measure Tables'!AX199,'Measure Tables'!BL199,'Measure Tables'!BZ199)</f>
        <v>4.012422114223539</v>
      </c>
      <c r="G23" s="425">
        <f>(F23-E23)/E23</f>
        <v>0.42739273734733296</v>
      </c>
      <c r="H23" s="431">
        <f>SUM('Measure Tables'!AV199,'Measure Tables'!BJ199,'Measure Tables'!BX199)/(SUM('Measure Tables'!$AV$199,'Measure Tables'!$BJ$199,'Measure Tables'!$BX$199)+SUM('Measure Tables'!$AV$200,'Measure Tables'!$BJ$200,'Measure Tables'!$BX$200))</f>
        <v>0.60758056938402172</v>
      </c>
    </row>
    <row r="24" spans="4:8" ht="15.75" thickBot="1">
      <c r="D24" s="432" t="s">
        <v>67</v>
      </c>
      <c r="E24" s="433">
        <f>SUM('Measure Tables'!AU200,'Measure Tables'!BI200,'Measure Tables'!BW200)/SUM('Measure Tables'!AX200,'Measure Tables'!BL200,'Measure Tables'!BZ200)</f>
        <v>2.7223347959376638</v>
      </c>
      <c r="F24" s="434">
        <f>(SUM('Measure Tables'!AU200,'Measure Tables'!BI200,'Measure Tables'!BW200)+SUM('Measure Tables'!AV200,'Measure Tables'!BJ200,'Measure Tables'!BX200))/SUM('Measure Tables'!AX200,'Measure Tables'!BL200,'Measure Tables'!BZ200)</f>
        <v>3.9237421072694452</v>
      </c>
      <c r="G24" s="435">
        <f>(F24-E24)/E24</f>
        <v>0.44131504806996974</v>
      </c>
      <c r="H24" s="436">
        <f>SUM('Measure Tables'!AV200,'Measure Tables'!BJ200,'Measure Tables'!BX200)/(SUM('Measure Tables'!$AV$199,'Measure Tables'!$BJ$199,'Measure Tables'!$BX$199)+SUM('Measure Tables'!$AV$200,'Measure Tables'!$BJ$200,'Measure Tables'!$BX$200))</f>
        <v>0.39241943061597828</v>
      </c>
    </row>
    <row r="25" spans="4:8" ht="15.75" thickBot="1"/>
    <row r="26" spans="4:8" ht="15.75" thickBot="1">
      <c r="D26" s="494" t="s">
        <v>423</v>
      </c>
      <c r="E26" s="495"/>
      <c r="F26" s="495"/>
      <c r="G26" s="495"/>
      <c r="H26" s="496"/>
    </row>
    <row r="27" spans="4:8" ht="15.75" thickBot="1">
      <c r="D27" s="419" t="s">
        <v>416</v>
      </c>
      <c r="E27" s="420" t="s">
        <v>417</v>
      </c>
      <c r="F27" s="420" t="s">
        <v>418</v>
      </c>
      <c r="G27" s="420" t="s">
        <v>419</v>
      </c>
      <c r="H27" s="421" t="s">
        <v>420</v>
      </c>
    </row>
    <row r="28" spans="4:8">
      <c r="D28" s="422" t="s">
        <v>135</v>
      </c>
      <c r="E28" s="423">
        <f>(SUMIF('Measure Tables'!$C$216:$C$227,D28,'Measure Tables'!$AU$216:$AU$227)+SUMIF('Measure Tables'!$C$216:$C$227,D28,'Measure Tables'!$BI$216:$BI$227)+SUMIF('Measure Tables'!$C$216:$C$227,D28,'Measure Tables'!$BW$216:$BW$227))/(SUMIF('Measure Tables'!$C$216:$C$227,D28,'Measure Tables'!$AX$216:$AX$227)+SUMIF('Measure Tables'!$C$216:$C$227,D28,'Measure Tables'!$BL$216:$BL$227)+SUMIF('Measure Tables'!$C$216:$C$227,D28,'Measure Tables'!$BZ$216:$BZ$227))</f>
        <v>1.4125406644813134</v>
      </c>
      <c r="F28" s="424">
        <f>(SUMIF('Measure Tables'!$C$216:$C$227,D28,'Measure Tables'!$AU$216:$AU$227)+SUMIF('Measure Tables'!$C$216:$C$227,D28,'Measure Tables'!$BI$216:$BI$227)+SUMIF('Measure Tables'!$C$216:$C$227,D28,'Measure Tables'!$BW$216:$BW$227)+SUMIF('Measure Tables'!$C$216:$C$227,D28,'Measure Tables'!$AV$216:$AV$227)+SUMIF('Measure Tables'!$C$216:$C$227,D28,'Measure Tables'!$BJ$216:$BJ$227)+SUMIF('Measure Tables'!$C$216:$C$227,D28,'Measure Tables'!$BX$216:$BX$227))/(SUMIF('Measure Tables'!$C$216:$C$227,D28,'Measure Tables'!$AX$216:$AX$227)+SUMIF('Measure Tables'!$C$216:$C$227,D28,'Measure Tables'!$BL$216:$BL$227)+SUMIF('Measure Tables'!$C$216:$C$227,D28,'Measure Tables'!$BZ$216:$BZ$227))</f>
        <v>1.4125406644813134</v>
      </c>
      <c r="G28" s="425">
        <f>(F28-E28)/E28</f>
        <v>0</v>
      </c>
      <c r="H28" s="426">
        <f>(SUMIF('Measure Tables'!$C$216:$C$227,D28,'Measure Tables'!$AV$216:$AV$227)+SUMIF('Measure Tables'!$C$216:$C$227,D28,'Measure Tables'!$BJ$216:$BJ$227)+SUMIF('Measure Tables'!$C$216:$C$227,D28,'Measure Tables'!$BX$216:$BX$227))/(SUM('Measure Tables'!$AV$216:$AV$227)+SUM('Measure Tables'!$BJ$216:$BJ$227)+SUM('Measure Tables'!$BX$216:$BX$227))</f>
        <v>0</v>
      </c>
    </row>
    <row r="29" spans="4:8">
      <c r="D29" s="427" t="s">
        <v>139</v>
      </c>
      <c r="E29" s="428">
        <f>(SUMIF('Measure Tables'!$C$216:$C$227,D29,'Measure Tables'!$AU$216:$AU$227)+SUMIF('Measure Tables'!$C$216:$C$227,D29,'Measure Tables'!$BI$216:$BI$227)+SUMIF('Measure Tables'!$C$216:$C$227,D29,'Measure Tables'!$BW$216:$BW$227))/(SUMIF('Measure Tables'!$C$216:$C$227,D29,'Measure Tables'!$AX$216:$AX$227)+SUMIF('Measure Tables'!$C$216:$C$227,D29,'Measure Tables'!$BL$216:$BL$227)+SUMIF('Measure Tables'!$C$216:$C$227,D29,'Measure Tables'!$BZ$216:$BZ$227))</f>
        <v>0.79904818521659271</v>
      </c>
      <c r="F29" s="429">
        <f>(SUMIF('Measure Tables'!$C$216:$C$227,D29,'Measure Tables'!$AU$216:$AU$227)+SUMIF('Measure Tables'!$C$216:$C$227,D29,'Measure Tables'!$BI$216:$BI$227)+SUMIF('Measure Tables'!$C$216:$C$227,D29,'Measure Tables'!$BW$216:$BW$227)+SUMIF('Measure Tables'!$C$216:$C$227,D29,'Measure Tables'!$AV$216:$AV$227)+SUMIF('Measure Tables'!$C$216:$C$227,D29,'Measure Tables'!$BJ$216:$BJ$227)+SUMIF('Measure Tables'!$C$216:$C$227,D29,'Measure Tables'!$BX$216:$BX$227))/(SUMIF('Measure Tables'!$C$216:$C$227,D29,'Measure Tables'!$AX$216:$AX$227)+SUMIF('Measure Tables'!$C$216:$C$227,D29,'Measure Tables'!$BL$216:$BL$227)+SUMIF('Measure Tables'!$C$216:$C$227,D29,'Measure Tables'!$BZ$216:$BZ$227))</f>
        <v>2.6926094065430997</v>
      </c>
      <c r="G29" s="430">
        <f t="shared" ref="G29:G31" si="2">(F29-E29)/E29</f>
        <v>2.3697710055035439</v>
      </c>
      <c r="H29" s="431">
        <f>(SUMIF('Measure Tables'!$C$216:$C$227,D29,'Measure Tables'!$AV$216:$AV$227)+SUMIF('Measure Tables'!$C$216:$C$227,D29,'Measure Tables'!$BJ$216:$BJ$227)+SUMIF('Measure Tables'!$C$216:$C$227,D29,'Measure Tables'!$BX$216:$BX$227))/(SUM('Measure Tables'!$AV$216:$AV$227)+SUM('Measure Tables'!$BJ$216:$BJ$227)+SUM('Measure Tables'!$BX$216:$BX$227))</f>
        <v>4.6393118752209974E-3</v>
      </c>
    </row>
    <row r="30" spans="4:8">
      <c r="D30" s="427" t="s">
        <v>141</v>
      </c>
      <c r="E30" s="428">
        <f>(SUMIF('Measure Tables'!$C$216:$C$227,D30,'Measure Tables'!$AU$216:$AU$227)+SUMIF('Measure Tables'!$C$216:$C$227,D30,'Measure Tables'!$BI$216:$BI$227)+SUMIF('Measure Tables'!$C$216:$C$227,D30,'Measure Tables'!$BW$216:$BW$227))/(SUMIF('Measure Tables'!$C$216:$C$227,D30,'Measure Tables'!$AX$216:$AX$227)+SUMIF('Measure Tables'!$C$216:$C$227,D30,'Measure Tables'!$BL$216:$BL$227)+SUMIF('Measure Tables'!$C$216:$C$227,D30,'Measure Tables'!$BZ$216:$BZ$227))</f>
        <v>1.7383200314374807</v>
      </c>
      <c r="F30" s="429">
        <f>(SUMIF('Measure Tables'!$C$216:$C$227,D30,'Measure Tables'!$AU$216:$AU$227)+SUMIF('Measure Tables'!$C$216:$C$227,D30,'Measure Tables'!$BI$216:$BI$227)+SUMIF('Measure Tables'!$C$216:$C$227,D30,'Measure Tables'!$BW$216:$BW$227)+SUMIF('Measure Tables'!$C$216:$C$227,D30,'Measure Tables'!$AV$216:$AV$227)+SUMIF('Measure Tables'!$C$216:$C$227,D30,'Measure Tables'!$BJ$216:$BJ$227)+SUMIF('Measure Tables'!$C$216:$C$227,D30,'Measure Tables'!$BX$216:$BX$227))/(SUMIF('Measure Tables'!$C$216:$C$227,D30,'Measure Tables'!$AX$216:$AX$227)+SUMIF('Measure Tables'!$C$216:$C$227,D30,'Measure Tables'!$BL$216:$BL$227)+SUMIF('Measure Tables'!$C$216:$C$227,D30,'Measure Tables'!$BZ$216:$BZ$227))</f>
        <v>1.8801899007642511</v>
      </c>
      <c r="G30" s="430">
        <f t="shared" si="2"/>
        <v>8.161320514120346E-2</v>
      </c>
      <c r="H30" s="431">
        <f>(SUMIF('Measure Tables'!$C$216:$C$227,D30,'Measure Tables'!$AV$216:$AV$227)+SUMIF('Measure Tables'!$C$216:$C$227,D30,'Measure Tables'!$BJ$216:$BJ$227)+SUMIF('Measure Tables'!$C$216:$C$227,D30,'Measure Tables'!$BX$216:$BX$227))/(SUM('Measure Tables'!$AV$216:$AV$227)+SUM('Measure Tables'!$BJ$216:$BJ$227)+SUM('Measure Tables'!$BX$216:$BX$227))</f>
        <v>0.99035753665426751</v>
      </c>
    </row>
    <row r="31" spans="4:8" ht="15.75" thickBot="1">
      <c r="D31" s="432" t="s">
        <v>146</v>
      </c>
      <c r="E31" s="433">
        <f>(SUMIF('Measure Tables'!$C$216:$C$227,'Measure Tables'!$C$223,'Measure Tables'!$AU$216:$AU$227)+SUMIF('Measure Tables'!$C$216:$C$227,'Measure Tables'!$C$223,'Measure Tables'!$BI$216:$BI$227)+SUMIF('Measure Tables'!$C$216:$C$227,'Measure Tables'!$C$223,'Measure Tables'!$BW$216:$BW$227))/(SUMIF('Measure Tables'!$C$216:$C$227,'Measure Tables'!$C$223,'Measure Tables'!$AX$216:$AX$227)+SUMIF('Measure Tables'!$C$216:$C$227,'Measure Tables'!$C$223,'Measure Tables'!$BL$216:$BL$227)+SUMIF('Measure Tables'!$C$216:$C$227,'Measure Tables'!$C$223,'Measure Tables'!$BZ$216:$BZ$227))</f>
        <v>2.0478506811589718</v>
      </c>
      <c r="F31" s="434">
        <f>(SUMIF('Measure Tables'!$C$216:$C$227,'Measure Tables'!$C$223,'Measure Tables'!$AU$216:$AU$227)+SUMIF('Measure Tables'!$C$216:$C$227,'Measure Tables'!$C$223,'Measure Tables'!$BI$216:$BI$227)+SUMIF('Measure Tables'!$C$216:$C$227,'Measure Tables'!$C$223,'Measure Tables'!$BW$216:$BW$227)+SUMIF('Measure Tables'!$C$216:$C$227,'Measure Tables'!$C$223,'Measure Tables'!$AV$216:$AV$227)+SUMIF('Measure Tables'!$C$216:$C$227,'Measure Tables'!$C$223,'Measure Tables'!$BJ$216:$BJ$227)+SUMIF('Measure Tables'!$C$216:$C$227,'Measure Tables'!$C$223,'Measure Tables'!$BX$216:$BX$227))/(SUMIF('Measure Tables'!$C$216:$C$227,'Measure Tables'!$C$223,'Measure Tables'!$AX$216:$AX$227)+SUMIF('Measure Tables'!$C$216:$C$227,'Measure Tables'!$C$223,'Measure Tables'!$BL$216:$BL$227)+SUMIF('Measure Tables'!$C$216:$C$227,'Measure Tables'!$C$223,'Measure Tables'!$BZ$216:$BZ$227))</f>
        <v>2.0491241622019909</v>
      </c>
      <c r="G31" s="435">
        <f t="shared" si="2"/>
        <v>6.2186225525892971E-4</v>
      </c>
      <c r="H31" s="436">
        <f>(SUMIF('Measure Tables'!$C$216:$C$227,D31,'Measure Tables'!$AV$216:$AV$227)+SUMIF('Measure Tables'!$C$216:$C$227,D31,'Measure Tables'!$BJ$216:$BJ$227)+SUMIF('Measure Tables'!$C$216:$C$227,D31,'Measure Tables'!$BX$216:$BX$227))/(SUM('Measure Tables'!$AV$216:$AV$227)+SUM('Measure Tables'!$BJ$216:$BJ$227)+SUM('Measure Tables'!$BX$216:$BX$227))</f>
        <v>5.0031514705115082E-3</v>
      </c>
    </row>
    <row r="32" spans="4:8" ht="15.75" thickBot="1"/>
    <row r="33" spans="4:8" ht="15.75" thickBot="1">
      <c r="D33" s="494" t="s">
        <v>425</v>
      </c>
      <c r="E33" s="495"/>
      <c r="F33" s="495"/>
      <c r="G33" s="495"/>
      <c r="H33" s="496"/>
    </row>
    <row r="34" spans="4:8" ht="15.75" thickBot="1">
      <c r="D34" s="419" t="s">
        <v>416</v>
      </c>
      <c r="E34" s="420" t="s">
        <v>417</v>
      </c>
      <c r="F34" s="420" t="s">
        <v>418</v>
      </c>
      <c r="G34" s="420" t="s">
        <v>419</v>
      </c>
      <c r="H34" s="421" t="s">
        <v>420</v>
      </c>
    </row>
    <row r="35" spans="4:8">
      <c r="D35" s="422" t="s">
        <v>141</v>
      </c>
      <c r="E35" s="423">
        <f>(SUMIF('Measure Tables'!$C$235:$C$267,D35,'Measure Tables'!$AU$235:$AU$267)+SUMIF('Measure Tables'!$C$235:$C$267,D35,'Measure Tables'!$BI$235:$BI$267)+SUMIF('Measure Tables'!$C$235:$C$267,D35,'Measure Tables'!$BW$235:$BW$267))/(SUMIF('Measure Tables'!$C$235:$C$267,D35,'Measure Tables'!$AX$235:$AX$267)+SUMIF('Measure Tables'!$C$235:$C$267,D35,'Measure Tables'!$BL$235:$BL$267)+SUMIF('Measure Tables'!$C$235:$C$267,D35,'Measure Tables'!$BZ$235:$BZ$267))</f>
        <v>5.0621685457184009</v>
      </c>
      <c r="F35" s="424">
        <f>(SUMIF('Measure Tables'!$C$235:$C$267,D35,'Measure Tables'!$AU$235:$AU$267)+SUMIF('Measure Tables'!$C$235:$C$267,D35,'Measure Tables'!$BI$235:$BI$267)+SUMIF('Measure Tables'!$C$235:$C$267,D35,'Measure Tables'!$BW$235:$BW$267)+SUMIF('Measure Tables'!$C$235:$C$267,D35,'Measure Tables'!$AV$235:$AV$267)+SUMIF('Measure Tables'!$C$235:$C$267,D35,'Measure Tables'!$BJ$235:$BJ$267)+SUMIF('Measure Tables'!$C$235:$C$267,D35,'Measure Tables'!$BX$235:$BX$267))/(SUMIF('Measure Tables'!$C$235:$C$267,D35,'Measure Tables'!$AX$235:$AX$267)+SUMIF('Measure Tables'!$C$235:$C$267,D35,'Measure Tables'!$BL$235:$BL$267)+SUMIF('Measure Tables'!$C$235:$C$267,D35,'Measure Tables'!$BZ$235:$BZ$267))</f>
        <v>5.3189150367279758</v>
      </c>
      <c r="G35" s="425">
        <f>(F35-E35)/E35</f>
        <v>5.0718676924878754E-2</v>
      </c>
      <c r="H35" s="426">
        <f>(SUMIF('Measure Tables'!$C$235:$C$267,D35,'Measure Tables'!$AV$235:$AV$267)+SUMIF('Measure Tables'!$C$235:$C$267,D35,'Measure Tables'!$BJ$235:$BJ$267)+SUMIF('Measure Tables'!$C$235:$C$267,D35,'Measure Tables'!$BX$235:$BX$267))/(SUM('Measure Tables'!$AV$235:$AV$267)+SUM('Measure Tables'!$BJ$235:$BJ$267)+SUM('Measure Tables'!$BX$235:$BX$267))</f>
        <v>0.20777136949234662</v>
      </c>
    </row>
    <row r="36" spans="4:8">
      <c r="D36" s="427" t="s">
        <v>160</v>
      </c>
      <c r="E36" s="428">
        <f>(SUMIF('Measure Tables'!$C$235:$C$267,D36,'Measure Tables'!$AU$235:$AU$267)+SUMIF('Measure Tables'!$C$235:$C$267,D36,'Measure Tables'!$BI$235:$BI$267)+SUMIF('Measure Tables'!$C$235:$C$267,D36,'Measure Tables'!$BW$235:$BW$267))/(SUMIF('Measure Tables'!$C$235:$C$267,D36,'Measure Tables'!$AX$235:$AX$267)+SUMIF('Measure Tables'!$C$235:$C$267,D36,'Measure Tables'!$BL$235:$BL$267)+SUMIF('Measure Tables'!$C$235:$C$267,D36,'Measure Tables'!$BZ$235:$BZ$267))</f>
        <v>1.0930143982958491</v>
      </c>
      <c r="F36" s="429">
        <f>(SUMIF('Measure Tables'!$C$235:$C$267,D36,'Measure Tables'!$AU$235:$AU$267)+SUMIF('Measure Tables'!$C$235:$C$267,D36,'Measure Tables'!$BI$235:$BI$267)+SUMIF('Measure Tables'!$C$235:$C$267,D36,'Measure Tables'!$BW$235:$BW$267)+SUMIF('Measure Tables'!$C$235:$C$267,D36,'Measure Tables'!$AV$235:$AV$267)+SUMIF('Measure Tables'!$C$235:$C$267,D36,'Measure Tables'!$BJ$235:$BJ$267)+SUMIF('Measure Tables'!$C$235:$C$267,D36,'Measure Tables'!$BX$235:$BX$267))/(SUMIF('Measure Tables'!$C$235:$C$267,D36,'Measure Tables'!$AX$235:$AX$267)+SUMIF('Measure Tables'!$C$235:$C$267,D36,'Measure Tables'!$BL$235:$BL$267)+SUMIF('Measure Tables'!$C$235:$C$267,D36,'Measure Tables'!$BZ$235:$BZ$267))</f>
        <v>1.3550613167279206</v>
      </c>
      <c r="G36" s="430">
        <f t="shared" ref="G36:G40" si="3">(F36-E36)/E36</f>
        <v>0.23974699586815743</v>
      </c>
      <c r="H36" s="431">
        <f>(SUMIF('Measure Tables'!$C$235:$C$267,D36,'Measure Tables'!$AV$235:$AV$267)+SUMIF('Measure Tables'!$C$235:$C$267,D36,'Measure Tables'!$BJ$235:$BJ$267)+SUMIF('Measure Tables'!$C$235:$C$267,D36,'Measure Tables'!$BX$235:$BX$267))/(SUM('Measure Tables'!$AV$235:$AV$267)+SUM('Measure Tables'!$BJ$235:$BJ$267)+SUM('Measure Tables'!$BX$235:$BX$267))</f>
        <v>0.24390002444313191</v>
      </c>
    </row>
    <row r="37" spans="4:8">
      <c r="D37" s="427" t="s">
        <v>139</v>
      </c>
      <c r="E37" s="428">
        <f>(SUMIF('Measure Tables'!$C$235:$C$267,D37,'Measure Tables'!$AU$235:$AU$267)+SUMIF('Measure Tables'!$C$235:$C$267,D37,'Measure Tables'!$BI$235:$BI$267)+SUMIF('Measure Tables'!$C$235:$C$267,D37,'Measure Tables'!$BW$235:$BW$267))/(SUMIF('Measure Tables'!$C$235:$C$267,D37,'Measure Tables'!$AX$235:$AX$267)+SUMIF('Measure Tables'!$C$235:$C$267,D37,'Measure Tables'!$BL$235:$BL$267)+SUMIF('Measure Tables'!$C$235:$C$267,D37,'Measure Tables'!$BZ$235:$BZ$267))</f>
        <v>1.5141953787563409</v>
      </c>
      <c r="F37" s="429">
        <f>(SUMIF('Measure Tables'!$C$235:$C$267,D37,'Measure Tables'!$AU$235:$AU$267)+SUMIF('Measure Tables'!$C$235:$C$267,D37,'Measure Tables'!$BI$235:$BI$267)+SUMIF('Measure Tables'!$C$235:$C$267,D37,'Measure Tables'!$BW$235:$BW$267)+SUMIF('Measure Tables'!$C$235:$C$267,D37,'Measure Tables'!$AV$235:$AV$267)+SUMIF('Measure Tables'!$C$235:$C$267,D37,'Measure Tables'!$BJ$235:$BJ$267)+SUMIF('Measure Tables'!$C$235:$C$267,D37,'Measure Tables'!$BX$235:$BX$267))/(SUMIF('Measure Tables'!$C$235:$C$267,D37,'Measure Tables'!$AX$235:$AX$267)+SUMIF('Measure Tables'!$C$235:$C$267,D37,'Measure Tables'!$BL$235:$BL$267)+SUMIF('Measure Tables'!$C$235:$C$267,D37,'Measure Tables'!$BZ$235:$BZ$267))</f>
        <v>1.6178450827685855</v>
      </c>
      <c r="G37" s="430">
        <f t="shared" si="3"/>
        <v>6.8452001284917116E-2</v>
      </c>
      <c r="H37" s="431">
        <f>(SUMIF('Measure Tables'!$C$235:$C$267,D37,'Measure Tables'!$AV$235:$AV$267)+SUMIF('Measure Tables'!$C$235:$C$267,D37,'Measure Tables'!$BJ$235:$BJ$267)+SUMIF('Measure Tables'!$C$235:$C$267,D37,'Measure Tables'!$BX$235:$BX$267))/(SUM('Measure Tables'!$AV$235:$AV$267)+SUM('Measure Tables'!$BJ$235:$BJ$267)+SUM('Measure Tables'!$BX$235:$BX$267))</f>
        <v>0.54832860606452127</v>
      </c>
    </row>
    <row r="38" spans="4:8">
      <c r="D38" s="427" t="s">
        <v>170</v>
      </c>
      <c r="E38" s="428">
        <f>(SUMIF('Measure Tables'!$C$235:$C$267,D38,'Measure Tables'!$AU$235:$AU$267)+SUMIF('Measure Tables'!$C$235:$C$267,D38,'Measure Tables'!$BI$235:$BI$267)+SUMIF('Measure Tables'!$C$235:$C$267,D38,'Measure Tables'!$BW$235:$BW$267))/(SUMIF('Measure Tables'!$C$235:$C$267,D38,'Measure Tables'!$AX$235:$AX$267)+SUMIF('Measure Tables'!$C$235:$C$267,D38,'Measure Tables'!$BL$235:$BL$267)+SUMIF('Measure Tables'!$C$235:$C$267,D38,'Measure Tables'!$BZ$235:$BZ$267))</f>
        <v>0.38133056907129592</v>
      </c>
      <c r="F38" s="429">
        <f>(SUMIF('Measure Tables'!$C$235:$C$267,D38,'Measure Tables'!$AU$235:$AU$267)+SUMIF('Measure Tables'!$C$235:$C$267,D38,'Measure Tables'!$BI$235:$BI$267)+SUMIF('Measure Tables'!$C$235:$C$267,D38,'Measure Tables'!$BW$235:$BW$267)+SUMIF('Measure Tables'!$C$235:$C$267,D38,'Measure Tables'!$AV$235:$AV$267)+SUMIF('Measure Tables'!$C$235:$C$267,D38,'Measure Tables'!$BJ$235:$BJ$267)+SUMIF('Measure Tables'!$C$235:$C$267,D38,'Measure Tables'!$BX$235:$BX$267))/(SUMIF('Measure Tables'!$C$235:$C$267,D38,'Measure Tables'!$AX$235:$AX$267)+SUMIF('Measure Tables'!$C$235:$C$267,D38,'Measure Tables'!$BL$235:$BL$267)+SUMIF('Measure Tables'!$C$235:$C$267,D38,'Measure Tables'!$BZ$235:$BZ$267))</f>
        <v>0.38133056907129592</v>
      </c>
      <c r="G38" s="430">
        <f t="shared" si="3"/>
        <v>0</v>
      </c>
      <c r="H38" s="431">
        <f>(SUMIF('Measure Tables'!$C$235:$C$267,D38,'Measure Tables'!$AV$235:$AV$267)+SUMIF('Measure Tables'!$C$235:$C$267,D38,'Measure Tables'!$BJ$235:$BJ$267)+SUMIF('Measure Tables'!$C$235:$C$267,D38,'Measure Tables'!$BX$235:$BX$267))/(SUM('Measure Tables'!$AV$235:$AV$267)+SUM('Measure Tables'!$BJ$235:$BJ$267)+SUM('Measure Tables'!$BX$235:$BX$267))</f>
        <v>0</v>
      </c>
    </row>
    <row r="39" spans="4:8">
      <c r="D39" s="427" t="s">
        <v>135</v>
      </c>
      <c r="E39" s="428">
        <f>(SUMIF('Measure Tables'!$C$235:$C$267,D39,'Measure Tables'!$AU$235:$AU$267)+SUMIF('Measure Tables'!$C$235:$C$267,D39,'Measure Tables'!$BI$235:$BI$267)+SUMIF('Measure Tables'!$C$235:$C$267,D39,'Measure Tables'!$BW$235:$BW$267))/(SUMIF('Measure Tables'!$C$235:$C$267,D39,'Measure Tables'!$AX$235:$AX$267)+SUMIF('Measure Tables'!$C$235:$C$267,D39,'Measure Tables'!$BL$235:$BL$267)+SUMIF('Measure Tables'!$C$235:$C$267,D39,'Measure Tables'!$BZ$235:$BZ$267))</f>
        <v>1.0719125217621261</v>
      </c>
      <c r="F39" s="429">
        <f>(SUMIF('Measure Tables'!$C$235:$C$267,D39,'Measure Tables'!$AU$235:$AU$267)+SUMIF('Measure Tables'!$C$235:$C$267,D39,'Measure Tables'!$BI$235:$BI$267)+SUMIF('Measure Tables'!$C$235:$C$267,D39,'Measure Tables'!$BW$235:$BW$267)+SUMIF('Measure Tables'!$C$235:$C$267,D39,'Measure Tables'!$AV$235:$AV$267)+SUMIF('Measure Tables'!$C$235:$C$267,D39,'Measure Tables'!$BJ$235:$BJ$267)+SUMIF('Measure Tables'!$C$235:$C$267,D39,'Measure Tables'!$BX$235:$BX$267))/(SUMIF('Measure Tables'!$C$235:$C$267,D39,'Measure Tables'!$AX$235:$AX$267)+SUMIF('Measure Tables'!$C$235:$C$267,D39,'Measure Tables'!$BL$235:$BL$267)+SUMIF('Measure Tables'!$C$235:$C$267,D39,'Measure Tables'!$BZ$235:$BZ$267))</f>
        <v>1.0719125217621261</v>
      </c>
      <c r="G39" s="430">
        <f t="shared" si="3"/>
        <v>0</v>
      </c>
      <c r="H39" s="431">
        <f>(SUMIF('Measure Tables'!$C$235:$C$267,D39,'Measure Tables'!$AV$235:$AV$267)+SUMIF('Measure Tables'!$C$235:$C$267,D39,'Measure Tables'!$BJ$235:$BJ$267)+SUMIF('Measure Tables'!$C$235:$C$267,D39,'Measure Tables'!$BX$235:$BX$267))/(SUM('Measure Tables'!$AV$235:$AV$267)+SUM('Measure Tables'!$BJ$235:$BJ$267)+SUM('Measure Tables'!$BX$235:$BX$267))</f>
        <v>0</v>
      </c>
    </row>
    <row r="40" spans="4:8" ht="15.75" thickBot="1">
      <c r="D40" s="432" t="s">
        <v>424</v>
      </c>
      <c r="E40" s="433">
        <f>(SUMIF('Measure Tables'!$C$235:$C$267,'Measure Tables'!$C$223,'Measure Tables'!$AU$235:$AU$267)+SUMIF('Measure Tables'!$C$235:$C$267,'Measure Tables'!$C$223,'Measure Tables'!$BI$235:$BI$267)+SUMIF('Measure Tables'!$C$235:$C$267,'Measure Tables'!$C$223,'Measure Tables'!$BW$235:$BW$267))/(SUMIF('Measure Tables'!$C$235:$C$267,'Measure Tables'!$C$223,'Measure Tables'!$AX$235:$AX$267)+SUMIF('Measure Tables'!$C$235:$C$267,'Measure Tables'!$C$223,'Measure Tables'!$BL$235:$BL$267)+SUMIF('Measure Tables'!$C$235:$C$267,'Measure Tables'!$C$223,'Measure Tables'!$BZ$235:$BZ$267))</f>
        <v>5.1034545997928955</v>
      </c>
      <c r="F40" s="434">
        <f>(SUMIF('Measure Tables'!$C$235:$C$267,'Measure Tables'!$C$223,'Measure Tables'!$AU$235:$AU$267)+SUMIF('Measure Tables'!$C$235:$C$267,'Measure Tables'!$C$223,'Measure Tables'!$BI$235:$BI$267)+SUMIF('Measure Tables'!$C$235:$C$267,'Measure Tables'!$C$223,'Measure Tables'!$BW$235:$BW$267)+SUMIF('Measure Tables'!$C$235:$C$267,'Measure Tables'!$C$223,'Measure Tables'!$AV$235:$AV$267)+SUMIF('Measure Tables'!$C$235:$C$267,'Measure Tables'!$C$223,'Measure Tables'!$BJ$235:$BJ$267)+SUMIF('Measure Tables'!$C$235:$C$267,'Measure Tables'!$C$223,'Measure Tables'!$BX$235:$BX$267))/(SUMIF('Measure Tables'!$C$235:$C$267,'Measure Tables'!$C$223,'Measure Tables'!$AX$235:$AX$267)+SUMIF('Measure Tables'!$C$235:$C$267,'Measure Tables'!$C$223,'Measure Tables'!$BL$235:$BL$267)+SUMIF('Measure Tables'!$C$235:$C$267,'Measure Tables'!$C$223,'Measure Tables'!$BZ$235:$BZ$267))</f>
        <v>5.1034545997928955</v>
      </c>
      <c r="G40" s="435">
        <f t="shared" si="3"/>
        <v>0</v>
      </c>
      <c r="H40" s="436">
        <f>(SUMIF('Measure Tables'!$C$235:$C$267,D40,'Measure Tables'!$AV$235:$AV$267)+SUMIF('Measure Tables'!$C$235:$C$267,D40,'Measure Tables'!$BJ$235:$BJ$267)+SUMIF('Measure Tables'!$C$235:$C$267,D40,'Measure Tables'!$BX$235:$BX$267))/(SUM('Measure Tables'!$AV$235:$AV$267)+SUM('Measure Tables'!$BJ$235:$BJ$267)+SUM('Measure Tables'!$BX$235:$BX$267))</f>
        <v>0</v>
      </c>
    </row>
    <row r="41" spans="4:8" ht="15.75" thickBot="1"/>
    <row r="42" spans="4:8" ht="15.75" thickBot="1">
      <c r="D42" s="494" t="s">
        <v>426</v>
      </c>
      <c r="E42" s="495"/>
      <c r="F42" s="495"/>
      <c r="G42" s="495"/>
      <c r="H42" s="496"/>
    </row>
    <row r="43" spans="4:8" ht="15.75" thickBot="1">
      <c r="D43" s="419" t="s">
        <v>416</v>
      </c>
      <c r="E43" s="420" t="s">
        <v>417</v>
      </c>
      <c r="F43" s="420" t="s">
        <v>418</v>
      </c>
      <c r="G43" s="420" t="s">
        <v>419</v>
      </c>
      <c r="H43" s="421" t="s">
        <v>420</v>
      </c>
    </row>
    <row r="44" spans="4:8">
      <c r="D44" s="427" t="s">
        <v>160</v>
      </c>
      <c r="E44" s="428">
        <f>(SUMIF('Measure Tables'!$C$275:$C$283,D44,'Measure Tables'!$AU$275:$AU$283)+SUMIF('Measure Tables'!$C$275:$C$283,D44,'Measure Tables'!$BI$275:$BI$283)+SUMIF('Measure Tables'!$C$275:$C$283,D44,'Measure Tables'!$BW$275:$BW$283))/(SUMIF('Measure Tables'!$C$275:$C$283,D44,'Measure Tables'!$AX$275:$AX$283)+SUMIF('Measure Tables'!$C$275:$C$283,D44,'Measure Tables'!$BL$275:$BL$283)+SUMIF('Measure Tables'!$C$275:$C$283,D44,'Measure Tables'!$BZ$275:$BZ$283))</f>
        <v>0.30233429785920196</v>
      </c>
      <c r="F44" s="429">
        <f>(SUMIF('Measure Tables'!$C$275:$C$283,D44,'Measure Tables'!$AU$275:$AU$283)+SUMIF('Measure Tables'!$C$275:$C$283,D44,'Measure Tables'!$BI$275:$BI$283)+SUMIF('Measure Tables'!$C$275:$C$283,D44,'Measure Tables'!$BW$275:$BW$283)+SUMIF('Measure Tables'!$C$275:$C$283,D44,'Measure Tables'!$AV$275:$AV$283)+SUMIF('Measure Tables'!$C$275:$C$283,D44,'Measure Tables'!$BJ$275:$BJ$283)+SUMIF('Measure Tables'!$C$275:$C$283,D44,'Measure Tables'!$BX$275:$BX$283))/(SUMIF('Measure Tables'!$C$275:$C$283,D44,'Measure Tables'!$AX$275:$AX$283)+SUMIF('Measure Tables'!$C$275:$C$283,D44,'Measure Tables'!$BL$275:$BL$283)+SUMIF('Measure Tables'!$C$275:$C$283,D44,'Measure Tables'!$BZ$275:$BZ$283))</f>
        <v>0.30233429785920196</v>
      </c>
      <c r="G44" s="430">
        <f t="shared" ref="G44:G46" si="4">(F44-E44)/E44</f>
        <v>0</v>
      </c>
      <c r="H44" s="431">
        <f>(SUMIF('Measure Tables'!$C$275:$C$283,D44,'Measure Tables'!$AV$275:$AV$283)+SUMIF('Measure Tables'!$C$275:$C$283,D44,'Measure Tables'!$BJ$275:$BJ$283)+SUMIF('Measure Tables'!$C$275:$C$283,D44,'Measure Tables'!$BX$275:$BX$283))/(SUM('Measure Tables'!$AV$275:$AV$283)+SUM('Measure Tables'!$BJ$275:$BJ$283)+SUM('Measure Tables'!$BX$275:$BX$283))</f>
        <v>0</v>
      </c>
    </row>
    <row r="45" spans="4:8">
      <c r="D45" s="427" t="s">
        <v>139</v>
      </c>
      <c r="E45" s="428">
        <f>(SUMIF('Measure Tables'!$C$275:$C$283,D45,'Measure Tables'!$AU$275:$AU$283)+SUMIF('Measure Tables'!$C$275:$C$283,D45,'Measure Tables'!$BI$275:$BI$283)+SUMIF('Measure Tables'!$C$275:$C$283,D45,'Measure Tables'!$BW$275:$BW$283))/(SUMIF('Measure Tables'!$C$275:$C$283,D45,'Measure Tables'!$AX$275:$AX$283)+SUMIF('Measure Tables'!$C$275:$C$283,D45,'Measure Tables'!$BL$275:$BL$283)+SUMIF('Measure Tables'!$C$275:$C$283,D45,'Measure Tables'!$BZ$275:$BZ$283))</f>
        <v>0.53535593023367423</v>
      </c>
      <c r="F45" s="429">
        <f>(SUMIF('Measure Tables'!$C$275:$C$283,D45,'Measure Tables'!$AU$275:$AU$283)+SUMIF('Measure Tables'!$C$275:$C$283,D45,'Measure Tables'!$BI$275:$BI$283)+SUMIF('Measure Tables'!$C$275:$C$283,D45,'Measure Tables'!$BW$275:$BW$283)+SUMIF('Measure Tables'!$C$275:$C$283,D45,'Measure Tables'!$AV$275:$AV$283)+SUMIF('Measure Tables'!$C$275:$C$283,D45,'Measure Tables'!$BJ$275:$BJ$283)+SUMIF('Measure Tables'!$C$275:$C$283,D45,'Measure Tables'!$BX$275:$BX$283))/(SUMIF('Measure Tables'!$C$275:$C$283,D45,'Measure Tables'!$AX$275:$AX$283)+SUMIF('Measure Tables'!$C$275:$C$283,D45,'Measure Tables'!$BL$275:$BL$283)+SUMIF('Measure Tables'!$C$275:$C$283,D45,'Measure Tables'!$BZ$275:$BZ$283))</f>
        <v>0.53535593023367423</v>
      </c>
      <c r="G45" s="430">
        <f t="shared" si="4"/>
        <v>0</v>
      </c>
      <c r="H45" s="431">
        <f>(SUMIF('Measure Tables'!$C$275:$C$283,D45,'Measure Tables'!$AV$275:$AV$283)+SUMIF('Measure Tables'!$C$275:$C$283,D45,'Measure Tables'!$BJ$275:$BJ$283)+SUMIF('Measure Tables'!$C$275:$C$283,D45,'Measure Tables'!$BX$275:$BX$283))/(SUM('Measure Tables'!$AV$275:$AV$283)+SUM('Measure Tables'!$BJ$275:$BJ$283)+SUM('Measure Tables'!$BX$275:$BX$283))</f>
        <v>0</v>
      </c>
    </row>
    <row r="46" spans="4:8" ht="15.75" thickBot="1">
      <c r="D46" s="432" t="s">
        <v>170</v>
      </c>
      <c r="E46" s="433">
        <f>(SUMIF('Measure Tables'!$C$275:$C$283,D46,'Measure Tables'!$AU$275:$AU$283)+SUMIF('Measure Tables'!$C$275:$C$283,D46,'Measure Tables'!$BI$275:$BI$283)+SUMIF('Measure Tables'!$C$275:$C$283,D46,'Measure Tables'!$BW$275:$BW$283))/(SUMIF('Measure Tables'!$C$275:$C$283,D46,'Measure Tables'!$AX$275:$AX$283)+SUMIF('Measure Tables'!$C$275:$C$283,D46,'Measure Tables'!$BL$275:$BL$283)+SUMIF('Measure Tables'!$C$275:$C$283,D46,'Measure Tables'!$BZ$275:$BZ$283))</f>
        <v>2.6295194623906943</v>
      </c>
      <c r="F46" s="434">
        <f>(SUMIF('Measure Tables'!$C$275:$C$283,D46,'Measure Tables'!$AU$275:$AU$283)+SUMIF('Measure Tables'!$C$275:$C$283,D46,'Measure Tables'!$BI$275:$BI$283)+SUMIF('Measure Tables'!$C$275:$C$283,D46,'Measure Tables'!$BW$275:$BW$283)+SUMIF('Measure Tables'!$C$275:$C$283,D46,'Measure Tables'!$AV$275:$AV$283)+SUMIF('Measure Tables'!$C$275:$C$283,D46,'Measure Tables'!$BJ$275:$BJ$283)+SUMIF('Measure Tables'!$C$275:$C$283,D46,'Measure Tables'!$BX$275:$BX$283))/(SUMIF('Measure Tables'!$C$275:$C$283,D46,'Measure Tables'!$AX$275:$AX$283)+SUMIF('Measure Tables'!$C$275:$C$283,D46,'Measure Tables'!$BL$275:$BL$283)+SUMIF('Measure Tables'!$C$275:$C$283,D46,'Measure Tables'!$BZ$275:$BZ$283))</f>
        <v>2.9256788416722728</v>
      </c>
      <c r="G46" s="435">
        <f t="shared" si="4"/>
        <v>0.11262870783710328</v>
      </c>
      <c r="H46" s="436">
        <f>(SUMIF('Measure Tables'!$C$275:$C$283,D46,'Measure Tables'!$AV$275:$AV$283)+SUMIF('Measure Tables'!$C$275:$C$283,D46,'Measure Tables'!$BJ$275:$BJ$283)+SUMIF('Measure Tables'!$C$275:$C$283,D46,'Measure Tables'!$BX$275:$BX$283))/(SUM('Measure Tables'!$AV$275:$AV$283)+SUM('Measure Tables'!$BJ$275:$BJ$283)+SUM('Measure Tables'!$BX$275:$BX$283))</f>
        <v>1</v>
      </c>
    </row>
  </sheetData>
  <mergeCells count="6">
    <mergeCell ref="D42:H42"/>
    <mergeCell ref="D4:H4"/>
    <mergeCell ref="D14:H14"/>
    <mergeCell ref="D21:H21"/>
    <mergeCell ref="D26:H26"/>
    <mergeCell ref="D33:H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ed0a3ef885b30895f6a0abc1e77b7635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1cf20a0235fe3c570a2363729a2bb1fe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 (to draft)"/>
                        <xsd:enumeration value="Kate (1st Review)"/>
                        <xsd:enumeration value="Gina (1st Review)"/>
                        <xsd:enumeration value="Amelia"/>
                        <xsd:enumeration value="Kate (Placeholder - Changes)"/>
                        <xsd:enumeration value="Matt (1st Review)"/>
                        <xsd:enumeration value="Kate (2nd Review)"/>
                        <xsd:enumeration value="Gina (2nd Review)"/>
                        <xsd:enumeration value="Steve"/>
                        <xsd:enumeration value="Kate (to approve)"/>
                        <xsd:enumeration value="Jim"/>
                        <xsd:enumeration value="Matt (with legal edits)"/>
                        <xsd:enumeration value="Kate (to approve legal edits)"/>
                        <xsd:enumeration value="QA"/>
                        <xsd:enumeration value="Kate (to finalize)"/>
                        <xsd:enumeration value="File with UARB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Gina (to draft)"/>
                        <xsd:enumeration value="Kate (to draft)"/>
                        <xsd:enumeration value="Matt (to draft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Cora</Owner>
    <RoutingPriority xmlns="http://schemas.microsoft.com/sharepoint/v3">-</RoutingPriority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RT4TSYFRP5F3-85-1537</_dlc_DocId>
    <_dlc_DocIdUrl xmlns="a7ab817b-4faa-45d5-80bc-22d50aff3ce5">
      <Url>https://collaboration.efficiencyns.ca/dsmplan/_layouts/15/DocIdRedir.aspx?ID=RT4TSYFRP5F3-85-1537</Url>
      <Description>RT4TSYFRP5F3-85-1537</Description>
    </_dlc_DocIdUrl>
  </documentManagement>
</p:properties>
</file>

<file path=customXml/itemProps1.xml><?xml version="1.0" encoding="utf-8"?>
<ds:datastoreItem xmlns:ds="http://schemas.openxmlformats.org/officeDocument/2006/customXml" ds:itemID="{36EED38F-8259-4BE2-B1C9-1B606FAAB15C}"/>
</file>

<file path=customXml/itemProps2.xml><?xml version="1.0" encoding="utf-8"?>
<ds:datastoreItem xmlns:ds="http://schemas.openxmlformats.org/officeDocument/2006/customXml" ds:itemID="{3EB6B793-E66F-43A5-A4EA-D5A5EAB88D0C}"/>
</file>

<file path=customXml/itemProps3.xml><?xml version="1.0" encoding="utf-8"?>
<ds:datastoreItem xmlns:ds="http://schemas.openxmlformats.org/officeDocument/2006/customXml" ds:itemID="{23AB863A-43E5-484D-AB37-1B3721A904DD}"/>
</file>

<file path=customXml/itemProps4.xml><?xml version="1.0" encoding="utf-8"?>
<ds:datastoreItem xmlns:ds="http://schemas.openxmlformats.org/officeDocument/2006/customXml" ds:itemID="{BA1580EB-F339-4700-A6B1-71DCC23CAC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Measure Tables</vt:lpstr>
      <vt:lpstr>TRC Figure</vt:lpstr>
      <vt:lpstr>Adaptation</vt:lpstr>
      <vt:lpstr>Sorted</vt:lpstr>
      <vt:lpstr>VEIC Flag</vt:lpstr>
      <vt:lpstr>Figures by Program and End Use </vt:lpstr>
      <vt:lpstr>measure_name</vt:lpstr>
      <vt:lpstr>perc_change</vt:lpstr>
      <vt:lpstr>RDR</vt:lpstr>
      <vt:lpstr>trc</vt:lpstr>
      <vt:lpstr>trc_neb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Malmgren</dc:creator>
  <cp:lastModifiedBy>Asa Parker</cp:lastModifiedBy>
  <cp:lastPrinted>2017-08-09T13:01:39Z</cp:lastPrinted>
  <dcterms:created xsi:type="dcterms:W3CDTF">2017-07-19T15:07:50Z</dcterms:created>
  <dcterms:modified xsi:type="dcterms:W3CDTF">2018-11-06T18:55:28Z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8daab009-792f-4af8-b360-51e95b511f98</vt:lpwstr>
  </property>
</Properties>
</file>